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6.xml.rels" ContentType="application/vnd.openxmlformats-package.relationships+xml"/>
  <Override PartName="/xl/worksheets/_rels/sheet1.xml.rels" ContentType="application/vnd.openxmlformats-package.relationships+xml"/>
  <Override PartName="/xl/worksheets/_rels/sheet2.xml.rels" ContentType="application/vnd.openxmlformats-package.relationships+xml"/>
  <Override PartName="/xl/worksheets/_rels/sheet19.xml.rels" ContentType="application/vnd.openxmlformats-package.relationships+xml"/>
  <Override PartName="/xl/worksheets/sheet2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7.xml" ContentType="application/vnd.openxmlformats-officedocument.spreadsheetml.worksheet+xml"/>
  <Override PartName="/xl/worksheets/sheet26.xml" ContentType="application/vnd.openxmlformats-officedocument.spreadsheetml.worksheet+xml"/>
  <Override PartName="/xl/worksheets/sheet7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8.xml" ContentType="application/vnd.openxmlformats-officedocument.spreadsheetml.worksheet+xml"/>
  <Override PartName="/xl/worksheets/sheet30.xml" ContentType="application/vnd.openxmlformats-officedocument.spreadsheetml.worksheet+xml"/>
  <Override PartName="/xl/worksheets/sheet14.xml" ContentType="application/vnd.openxmlformats-officedocument.spreadsheetml.worksheet+xml"/>
  <Override PartName="/xl/worksheets/sheet9.xml" ContentType="application/vnd.openxmlformats-officedocument.spreadsheetml.worksheet+xml"/>
  <Override PartName="/xl/worksheets/sheet31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worksheets/sheet6.xml" ContentType="application/vnd.openxmlformats-officedocument.spreadsheetml.worksheet+xml"/>
  <Override PartName="/xl/worksheets/sheet1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4.xml" ContentType="application/vnd.openxmlformats-officedocument.spreadsheetml.worksheet+xml"/>
  <Override PartName="/xl/worksheets/sheet3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.xml" ContentType="application/vnd.openxmlformats-officedocument.spreadsheetml.worksheet+xml"/>
  <Override PartName="/xl/worksheets/sheet18.xml" ContentType="application/vnd.openxmlformats-officedocument.spreadsheetml.worksheet+xml"/>
  <Override PartName="/xl/worksheets/sheet20.xml" ContentType="application/vnd.openxmlformats-officedocument.spreadsheetml.worksheet+xml"/>
  <Override PartName="/xl/worksheets/sheet2.xml" ContentType="application/vnd.openxmlformats-officedocument.spreadsheetml.worksheet+xml"/>
  <Override PartName="/xl/worksheets/sheet19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sharedStrings.xml" ContentType="application/vnd.openxmlformats-officedocument.spreadsheetml.sharedStrings+xml"/>
  <Override PartName="/xl/ctrlProps/ctrlProps10.xml" ContentType="application/vnd.ms-excel.controlproperties+xml"/>
  <Override PartName="/xl/ctrlProps/ctrlProps2.xml" ContentType="application/vnd.ms-excel.controlproperties+xml"/>
  <Override PartName="/xl/ctrlProps/ctrlProps11.xml" ContentType="application/vnd.ms-excel.controlproperties+xml"/>
  <Override PartName="/xl/ctrlProps/ctrlProps3.xml" ContentType="application/vnd.ms-excel.controlproperties+xml"/>
  <Override PartName="/xl/ctrlProps/ctrlProps12.xml" ContentType="application/vnd.ms-excel.controlproperties+xml"/>
  <Override PartName="/xl/ctrlProps/ctrlProps4.xml" ContentType="application/vnd.ms-excel.controlproperties+xml"/>
  <Override PartName="/xl/ctrlProps/ctrlProps13.xml" ContentType="application/vnd.ms-excel.controlproperties+xml"/>
  <Override PartName="/xl/ctrlProps/ctrlProps5.xml" ContentType="application/vnd.ms-excel.controlproperties+xml"/>
  <Override PartName="/xl/ctrlProps/ctrlProps14.xml" ContentType="application/vnd.ms-excel.controlproperties+xml"/>
  <Override PartName="/xl/ctrlProps/ctrlProps15.xml" ContentType="application/vnd.ms-excel.controlproperties+xml"/>
  <Override PartName="/xl/ctrlProps/ctrlProps6.xml" ContentType="application/vnd.ms-excel.controlproperties+xml"/>
  <Override PartName="/xl/ctrlProps/ctrlProps7.xml" ContentType="application/vnd.ms-excel.controlproperties+xml"/>
  <Override PartName="/xl/ctrlProps/ctrlProps8.xml" ContentType="application/vnd.ms-excel.controlproperties+xml"/>
  <Override PartName="/xl/ctrlProps/ctrlProps9.xml" ContentType="application/vnd.ms-excel.controlproperties+xml"/>
  <Override PartName="/xl/drawings/_rels/drawing17.xml.rels" ContentType="application/vnd.openxmlformats-package.relationships+xml"/>
  <Override PartName="/xl/drawings/drawing1.xml" ContentType="application/vnd.openxmlformats-officedocument.drawing+xml"/>
  <Override PartName="/xl/drawings/drawing18.xml" ContentType="application/vnd.openxmlformats-officedocument.drawing+xml"/>
  <Override PartName="/xl/drawings/vmlDrawing1.vml" ContentType="application/vnd.openxmlformats-officedocument.vmlDrawing"/>
  <Override PartName="/xl/drawings/drawing16.xml" ContentType="application/vnd.openxmlformats-officedocument.drawing+xml"/>
  <Override PartName="/xl/drawings/drawing17.xml" ContentType="application/vnd.openxmlformats-officedocument.drawing+xml"/>
  <Override PartName="/xl/_rels/workbook.xml.rels" ContentType="application/vnd.openxmlformats-package.relationships+xml"/>
  <Override PartName="/xl/media/image14.wmf" ContentType="image/x-wmf"/>
  <Override PartName="/xl/media/image5.wmf" ContentType="image/x-wmf"/>
  <Override PartName="/xl/media/image6.wmf" ContentType="image/x-wmf"/>
  <Override PartName="/xl/media/image10.wmf" ContentType="image/x-wmf"/>
  <Override PartName="/xl/media/image1.wmf" ContentType="image/x-wmf"/>
  <Override PartName="/xl/media/image7.wmf" ContentType="image/x-wmf"/>
  <Override PartName="/xl/media/image11.wmf" ContentType="image/x-wmf"/>
  <Override PartName="/xl/media/image2.wmf" ContentType="image/x-wmf"/>
  <Override PartName="/xl/media/image8.wmf" ContentType="image/x-wmf"/>
  <Override PartName="/xl/media/image12.wmf" ContentType="image/x-wmf"/>
  <Override PartName="/xl/media/image3.wmf" ContentType="image/x-wmf"/>
  <Override PartName="/xl/media/image9.wmf" ContentType="image/x-wmf"/>
  <Override PartName="/xl/media/image13.wmf" ContentType="image/x-wmf"/>
  <Override PartName="/xl/media/image4.wmf" ContentType="image/x-wmf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Top_Menu" sheetId="1" state="visible" r:id="rId3"/>
    <sheet name="Weather_Input" sheetId="2" state="visible" r:id="rId4"/>
    <sheet name="PGL_Deliveries" sheetId="3" state="visible" r:id="rId5"/>
    <sheet name="NSG_Deliveries" sheetId="4" state="visible" r:id="rId6"/>
    <sheet name="PGL_Requirements" sheetId="5" state="visible" r:id="rId7"/>
    <sheet name="PGL_Supplies" sheetId="6" state="visible" r:id="rId8"/>
    <sheet name="NSG_Requirements" sheetId="7" state="visible" r:id="rId9"/>
    <sheet name="NSG_Supplies" sheetId="8" state="visible" r:id="rId10"/>
    <sheet name="PGL_6_Day_Report" sheetId="9" state="visible" r:id="rId11"/>
    <sheet name="NSG_6_Day_Report" sheetId="10" state="visible" r:id="rId12"/>
    <sheet name="PGL_Nine_to_Nine" sheetId="11" state="visible" r:id="rId13"/>
    <sheet name="NSG_Nine_to_Nine" sheetId="12" state="visible" r:id="rId14"/>
    <sheet name="Nine_to_Nine" sheetId="13" state="visible" r:id="rId15"/>
    <sheet name="PGL_Midcon_Form" sheetId="14" state="visible" r:id="rId16"/>
    <sheet name="NSG_Midcon_Form" sheetId="15" state="visible" r:id="rId17"/>
    <sheet name="Six_Day_Summary" sheetId="16" state="visible" r:id="rId18"/>
    <sheet name="NPGL_Forecast" sheetId="17" state="visible" r:id="rId19"/>
    <sheet name="Billy_Sheet" sheetId="18" state="visible" r:id="rId20"/>
    <sheet name="MAHOMET PIPELINE GRAPHICS" sheetId="19" state="visible" r:id="rId21"/>
    <sheet name="PGL_Gas_Summary" sheetId="20" state="visible" r:id="rId22"/>
    <sheet name="NSG_Gas_Summary" sheetId="21" state="visible" r:id="rId23"/>
    <sheet name="NGPL_Gas_Summary" sheetId="22" state="visible" r:id="rId24"/>
    <sheet name="Code_6day" sheetId="23" state="hidden" r:id="rId25"/>
    <sheet name="New_sheet_Code" sheetId="24" state="hidden" r:id="rId26"/>
    <sheet name="File_Operations" sheetId="25" state="hidden" r:id="rId27"/>
    <sheet name="Import_Routines" sheetId="26" state="hidden" r:id="rId28"/>
    <sheet name="Printing_Routines" sheetId="27" state="hidden" r:id="rId29"/>
    <sheet name="Screen_Manipulation" sheetId="28" state="hidden" r:id="rId30"/>
    <sheet name="Sheet1" sheetId="29" state="visible" r:id="rId31"/>
    <sheet name="End_of_Month_Reports" sheetId="30" state="visible" r:id="rId32"/>
    <sheet name="Imbalances" sheetId="31" state="visible" r:id="rId33"/>
    <sheet name="Export_Weather" sheetId="32" state="hidden" r:id="rId34"/>
    <sheet name="Normal_Degree_Day_Data" sheetId="33" state="visible" r:id="rId35"/>
  </sheets>
  <definedNames>
    <definedName function="false" hidden="false" localSheetId="32" name="_xlnm.Print_Area" vbProcedure="false">Normal_Degree_Day_Data!$A$124:$D$128</definedName>
    <definedName function="false" hidden="false" localSheetId="9" name="_xlnm.Print_Area" vbProcedure="false">NSG_6_Day_Report!$A$1:$I$45</definedName>
    <definedName function="false" hidden="false" localSheetId="6" name="_xlnm.Print_Area" vbProcedure="false">NSG_Requirements!$S$3:$AF$12</definedName>
    <definedName function="false" hidden="false" localSheetId="7" name="_xlnm.Print_Area" vbProcedure="false">NSG_Supplies!$A$3:$S$12</definedName>
    <definedName function="false" hidden="false" localSheetId="10" name="_xlnm.Print_Area" vbProcedure="false">PGL_Nine_to_Nine!$P$1:$AD$40</definedName>
    <definedName function="false" hidden="false" localSheetId="4" name="_xlnm.Print_Area" vbProcedure="false">PGL_Requirements!$I$3:$AJ$12</definedName>
    <definedName function="false" hidden="false" localSheetId="5" name="_xlnm.Print_Area" vbProcedure="false">PGL_Supplies!$T$3:$AF$12</definedName>
    <definedName function="false" hidden="false" localSheetId="1" name="_xlnm.Print_Area" vbProcedure="false">Weather_Input!$A$2:$H$5</definedName>
    <definedName function="false" hidden="false" name="Average_Temp" vbProcedure="false">Weather_Input!$E$5</definedName>
    <definedName function="false" hidden="false" name="Day_1_Cell" vbProcedure="false">Six_Day_Summary!$C$5</definedName>
    <definedName function="false" hidden="false" name="Day_1_Code" vbProcedure="false">Weather_Input!$K$5</definedName>
    <definedName function="false" hidden="false" name="Day_2_Cell" vbProcedure="false">Six_Day_Summary!$C$10</definedName>
    <definedName function="false" hidden="false" name="Day_2_Code" vbProcedure="false">Weather_Input!$K$6</definedName>
    <definedName function="false" hidden="false" name="Day_3_Cell" vbProcedure="false">Six_Day_Summary!$C$15</definedName>
    <definedName function="false" hidden="false" name="Day_3_Code" vbProcedure="false">Weather_Input!$K$7</definedName>
    <definedName function="false" hidden="false" name="Day_4_Cell" vbProcedure="false">Six_Day_Summary!$C$20</definedName>
    <definedName function="false" hidden="false" name="Day_4_Code" vbProcedure="false">Weather_Input!$K$8</definedName>
    <definedName function="false" hidden="false" name="Day_5_Cell" vbProcedure="false">Six_Day_Summary!$C$25</definedName>
    <definedName function="false" hidden="false" name="Day_5_Code" vbProcedure="false">Weather_Input!$K$9</definedName>
    <definedName function="false" hidden="false" name="Day_6_Cell" vbProcedure="false">Six_Day_Summary!$C$30</definedName>
    <definedName function="false" hidden="false" name="Day_6_Code" vbProcedure="false">Weather_Input!$K$10</definedName>
    <definedName function="false" hidden="false" name="DD_Normal_Data" vbProcedure="false">Normal_Degree_Day_Data!$A$3:$D$374</definedName>
    <definedName function="false" hidden="false" name="First_date" vbProcedure="false">Weather_Input!$A$5</definedName>
    <definedName function="false" hidden="false" name="Imbalances" vbProcedure="false">Imbalances!$B$7:$S$7</definedName>
    <definedName function="false" hidden="false" name="NSG_Sendouts" vbProcedure="false">NSG_Deliveries!$A$5:$G$11</definedName>
    <definedName function="false" hidden="false" name="NSG_Sendout_Input" vbProcedure="false">NSG_Deliveries!$C$6:$C$10</definedName>
    <definedName function="false" hidden="false" name="Old_Imbalance" vbProcedure="false">Imbalances!$B$6:$S$6</definedName>
    <definedName function="false" hidden="false" name="PGL_Noms" vbProcedure="false">PGL_Requirements!$A$7:$Z$12</definedName>
    <definedName function="false" hidden="false" name="PGL_Nom_Input" vbProcedure="false">PGL_Requirements!$K$8:$AE$12</definedName>
    <definedName function="false" hidden="false" name="PGL_Sendouts" vbProcedure="false">PGL_Deliveries!$A$5:$S$10</definedName>
    <definedName function="false" hidden="false" name="PGL_Sendout_Input" vbProcedure="false">PGL_Deliveries!$C$6:$C$10</definedName>
    <definedName function="false" hidden="false" name="Print_Area_MI" vbProcedure="false">NSG_6_Day_Report!$A$1:$A$38</definedName>
    <definedName function="false" hidden="false" name="Six_day_NSG_PRANGE" vbProcedure="false">NSG_6_Day_Report!$A$1:$I$42</definedName>
    <definedName function="false" hidden="false" name="Six_Day_PGL_PRANGE" vbProcedure="false">PGL_6_Day_Report!$A$1:$I$64</definedName>
    <definedName function="false" hidden="false" name="Six_Day_SUM_PRANGE" vbProcedure="false">Six_Day_Summary!$A$1:$I$60</definedName>
    <definedName function="false" hidden="false" name="Weather_Input" vbProcedure="false">Weather_Input!$B$6:$K$10</definedName>
    <definedName function="false" hidden="false" localSheetId="1" name="Z_66C35B70_1DF5_11D4_B46C_0004ACEC7D4A__wvu_Cols" vbProcedure="false">Weather_Input!$K:$K</definedName>
    <definedName function="false" hidden="false" localSheetId="1" name="Z_66C35B70_1DF5_11D4_B46C_0004ACEC7D4A__wvu_PrintArea" vbProcedure="false">Weather_Input!$A$2:$H$5</definedName>
    <definedName function="false" hidden="false" localSheetId="4" name="Z_66C35B70_1DF5_11D4_B46C_0004ACEC7D4A__wvu_PrintArea" vbProcedure="false">PGL_Requirements!$I$3:$AJ$12</definedName>
    <definedName function="false" hidden="false" localSheetId="5" name="Z_66C35B70_1DF5_11D4_B46C_0004ACEC7D4A__wvu_PrintArea" vbProcedure="false">PGL_Supplies!$T$3:$AF$12</definedName>
    <definedName function="false" hidden="false" localSheetId="6" name="Z_66C35B70_1DF5_11D4_B46C_0004ACEC7D4A__wvu_PrintArea" vbProcedure="false">NSG_Requirements!$S$3:$AF$12</definedName>
    <definedName function="false" hidden="false" localSheetId="7" name="Z_66C35B70_1DF5_11D4_B46C_0004ACEC7D4A__wvu_PrintArea" vbProcedure="false">NSG_Supplies!$A$3:$S$12</definedName>
    <definedName function="false" hidden="false" localSheetId="9" name="Z_66C35B70_1DF5_11D4_B46C_0004ACEC7D4A__wvu_PrintArea" vbProcedure="false">NSG_6_Day_Report!$A$1:$I$35</definedName>
    <definedName function="false" hidden="false" localSheetId="30" name="Z_66C35B70_1DF5_11D4_B46C_0004ACEC7D4A__wvu_Cols" vbProcedure="false">Imbalances!$D:$E,Imbalances!$J:$K,Imbalances!$P:$Q</definedName>
    <definedName function="false" hidden="false" localSheetId="32" name="Z_66C35B70_1DF5_11D4_B46C_0004ACEC7D4A__wvu_PrintArea" vbProcedure="false">Normal_Degree_Day_Data!$A$124:$D$128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<sst xmlns="http://schemas.openxmlformats.org/spreadsheetml/2006/main" count="2340" uniqueCount="838">
  <si>
    <t xml:space="preserve">   </t>
  </si>
  <si>
    <t xml:space="preserve"> </t>
  </si>
  <si>
    <t xml:space="preserve">Click on any button to perform the appropriate action.</t>
  </si>
  <si>
    <t xml:space="preserve">  </t>
  </si>
  <si>
    <r>
      <rPr>
        <sz val="12"/>
        <rFont val="Arial"/>
        <family val="0"/>
      </rPr>
      <t xml:space="preserve"> </t>
    </r>
    <r>
      <rPr>
        <u val="single"/>
        <sz val="12"/>
        <rFont val="Arial"/>
        <family val="2"/>
      </rPr>
      <t xml:space="preserve"> </t>
    </r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</si>
  <si>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</si>
  <si>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        </t>
  </si>
  <si>
    <t xml:space="preserve">Weather</t>
  </si>
  <si>
    <t xml:space="preserve">SUNNY</t>
  </si>
  <si>
    <t xml:space="preserve">Actual</t>
  </si>
  <si>
    <t xml:space="preserve">CLOUDY</t>
  </si>
  <si>
    <t xml:space="preserve">Average</t>
  </si>
  <si>
    <t xml:space="preserve">Monthly</t>
  </si>
  <si>
    <t xml:space="preserve">Seasonal</t>
  </si>
  <si>
    <t xml:space="preserve">Degree</t>
  </si>
  <si>
    <t xml:space="preserve">1 Word</t>
  </si>
  <si>
    <t xml:space="preserve">PARTLY</t>
  </si>
  <si>
    <t xml:space="preserve">High</t>
  </si>
  <si>
    <t xml:space="preserve">Low</t>
  </si>
  <si>
    <t xml:space="preserve">Wind Speed</t>
  </si>
  <si>
    <t xml:space="preserve">Temp</t>
  </si>
  <si>
    <t xml:space="preserve">Degree Day</t>
  </si>
  <si>
    <t xml:space="preserve">Day</t>
  </si>
  <si>
    <t xml:space="preserve">Forecast Line #1</t>
  </si>
  <si>
    <t xml:space="preserve">Forecast Line #2</t>
  </si>
  <si>
    <t xml:space="preserve">W. Code</t>
  </si>
  <si>
    <t xml:space="preserve">Description</t>
  </si>
  <si>
    <t xml:space="preserve">SNOW</t>
  </si>
  <si>
    <t xml:space="preserve">N/A</t>
  </si>
  <si>
    <t xml:space="preserve">CLOUDY AND COOL WITH SHOWERS DEVELOPING THIS A.M. T'STORMS LIKELY. S.W.</t>
  </si>
  <si>
    <t xml:space="preserve">WINDS 10/15 MPH. CHANCE OF RAIN 80%. OVERNIGHT…CLOUDY WITH SHOWERS.</t>
  </si>
  <si>
    <t xml:space="preserve">RAIN</t>
  </si>
  <si>
    <t xml:space="preserve">CLOUDY WITH SHOWERS AND A FEW T'STORMS LIKELY. CHANCE OF RAIN 70%. OVER</t>
  </si>
  <si>
    <t xml:space="preserve">NIGHT…MOSTLY CLOUDY WITH A 50% CHANCE OF SHOWERS.</t>
  </si>
  <si>
    <t xml:space="preserve">S</t>
  </si>
  <si>
    <t xml:space="preserve">TSTORM</t>
  </si>
  <si>
    <t xml:space="preserve">SHOWERS LIKELY.</t>
  </si>
  <si>
    <t xml:space="preserve">A CHANCE OF SHOWERS.</t>
  </si>
  <si>
    <t xml:space="preserve">v </t>
  </si>
  <si>
    <t xml:space="preserve">These four generators are included in sendout</t>
  </si>
  <si>
    <t xml:space="preserve">not included in sendout</t>
  </si>
  <si>
    <t xml:space="preserve">Measured Deliveries</t>
  </si>
  <si>
    <t xml:space="preserve">Trunkline</t>
  </si>
  <si>
    <t xml:space="preserve">NGPL</t>
  </si>
  <si>
    <t xml:space="preserve">          Daniels</t>
  </si>
  <si>
    <t xml:space="preserve">SCADA</t>
  </si>
  <si>
    <t xml:space="preserve">Mean</t>
  </si>
  <si>
    <t xml:space="preserve">73rd</t>
  </si>
  <si>
    <t xml:space="preserve">Calumet</t>
  </si>
  <si>
    <t xml:space="preserve">Crawford</t>
  </si>
  <si>
    <t xml:space="preserve">Oakton</t>
  </si>
  <si>
    <t xml:space="preserve">O'Hare</t>
  </si>
  <si>
    <t xml:space="preserve">US Steel/</t>
  </si>
  <si>
    <t xml:space="preserve">112th &amp;</t>
  </si>
  <si>
    <t xml:space="preserve">Republic</t>
  </si>
  <si>
    <t xml:space="preserve">                     Northern Border</t>
  </si>
  <si>
    <t xml:space="preserve">injected to</t>
  </si>
  <si>
    <t xml:space="preserve">10"</t>
  </si>
  <si>
    <t xml:space="preserve">16"</t>
  </si>
  <si>
    <t xml:space="preserve">SNG</t>
  </si>
  <si>
    <t xml:space="preserve">Union</t>
  </si>
  <si>
    <t xml:space="preserve">Mobil</t>
  </si>
  <si>
    <t xml:space="preserve">PERC</t>
  </si>
  <si>
    <t xml:space="preserve">PGL</t>
  </si>
  <si>
    <t xml:space="preserve">         Linepack</t>
  </si>
  <si>
    <t xml:space="preserve"> NGPL No-Notice</t>
  </si>
  <si>
    <t xml:space="preserve">             LNG</t>
  </si>
  <si>
    <t xml:space="preserve">MANLOVE</t>
  </si>
  <si>
    <t xml:space="preserve">             Midwest Generation</t>
  </si>
  <si>
    <t xml:space="preserve">Elwood</t>
  </si>
  <si>
    <t xml:space="preserve">Sendout</t>
  </si>
  <si>
    <t xml:space="preserve">Street</t>
  </si>
  <si>
    <t xml:space="preserve">Edison</t>
  </si>
  <si>
    <t xml:space="preserve">Natural</t>
  </si>
  <si>
    <t xml:space="preserve">Manlove</t>
  </si>
  <si>
    <t xml:space="preserve">LPG</t>
  </si>
  <si>
    <t xml:space="preserve">Stn.</t>
  </si>
  <si>
    <t xml:space="preserve">ACME</t>
  </si>
  <si>
    <t xml:space="preserve">138th St.</t>
  </si>
  <si>
    <t xml:space="preserve">(LTV 2)</t>
  </si>
  <si>
    <t xml:space="preserve">LTV 3</t>
  </si>
  <si>
    <t xml:space="preserve">Ford</t>
  </si>
  <si>
    <t xml:space="preserve">Unmetered</t>
  </si>
  <si>
    <t xml:space="preserve">NICOR</t>
  </si>
  <si>
    <t xml:space="preserve">Alliance</t>
  </si>
  <si>
    <t xml:space="preserve">ANR</t>
  </si>
  <si>
    <t xml:space="preserve">Midwestern</t>
  </si>
  <si>
    <t xml:space="preserve">Man. North</t>
  </si>
  <si>
    <t xml:space="preserve">Man. South</t>
  </si>
  <si>
    <t xml:space="preserve">Sharp Rd.</t>
  </si>
  <si>
    <t xml:space="preserve">to LNG</t>
  </si>
  <si>
    <t xml:space="preserve">to Pipeline</t>
  </si>
  <si>
    <t xml:space="preserve">Injection</t>
  </si>
  <si>
    <t xml:space="preserve">TAP</t>
  </si>
  <si>
    <t xml:space="preserve">RFG</t>
  </si>
  <si>
    <t xml:space="preserve">Peaking</t>
  </si>
  <si>
    <t xml:space="preserve">BTU'S</t>
  </si>
  <si>
    <t xml:space="preserve">In</t>
  </si>
  <si>
    <t xml:space="preserve">Out</t>
  </si>
  <si>
    <t xml:space="preserve">INJECTION</t>
  </si>
  <si>
    <t xml:space="preserve">Plant &amp; Field</t>
  </si>
  <si>
    <t xml:space="preserve">FUEL USED</t>
  </si>
  <si>
    <t xml:space="preserve">WITHDRAW</t>
  </si>
  <si>
    <t xml:space="preserve">Fisk</t>
  </si>
  <si>
    <t xml:space="preserve">Unicom</t>
  </si>
  <si>
    <t xml:space="preserve">Lincoln</t>
  </si>
  <si>
    <t xml:space="preserve">**FORMULA**</t>
  </si>
  <si>
    <t xml:space="preserve">^^^^^^^^^^</t>
  </si>
  <si>
    <t xml:space="preserve">NATIONAL</t>
  </si>
  <si>
    <t xml:space="preserve">Note: that Crawford Edision</t>
  </si>
  <si>
    <t xml:space="preserve">HOLNAM</t>
  </si>
  <si>
    <t xml:space="preserve">is included in the</t>
  </si>
  <si>
    <t xml:space="preserve">STEELMET</t>
  </si>
  <si>
    <t xml:space="preserve">Crawford Natural Total.</t>
  </si>
  <si>
    <t xml:space="preserve">MRBLHD#1</t>
  </si>
  <si>
    <t xml:space="preserve">122ND</t>
  </si>
  <si>
    <t xml:space="preserve">134TH</t>
  </si>
  <si>
    <t xml:space="preserve">MRBLHD#2</t>
  </si>
  <si>
    <t xml:space="preserve">SH BELL</t>
  </si>
  <si>
    <t xml:space="preserve">GNRL MILLS</t>
  </si>
  <si>
    <t xml:space="preserve"> NO</t>
  </si>
  <si>
    <t xml:space="preserve">Busse</t>
  </si>
  <si>
    <t xml:space="preserve">Somers</t>
  </si>
  <si>
    <t xml:space="preserve">Tonne</t>
  </si>
  <si>
    <t xml:space="preserve">NSG</t>
  </si>
  <si>
    <t xml:space="preserve">NOTICE</t>
  </si>
  <si>
    <t xml:space="preserve">Temp.</t>
  </si>
  <si>
    <t xml:space="preserve">Road</t>
  </si>
  <si>
    <t xml:space="preserve">Grayslake</t>
  </si>
  <si>
    <t xml:space="preserve">AVE. BTU</t>
  </si>
  <si>
    <t xml:space="preserve">IN</t>
  </si>
  <si>
    <t xml:space="preserve">OUT</t>
  </si>
  <si>
    <t xml:space="preserve">Gas Owed By PGL</t>
  </si>
  <si>
    <t xml:space="preserve">Elwood burn</t>
  </si>
  <si>
    <t xml:space="preserve">Oani</t>
  </si>
  <si>
    <t xml:space="preserve">Payback</t>
  </si>
  <si>
    <t xml:space="preserve">Elwood Burns by Units</t>
  </si>
  <si>
    <t xml:space="preserve">MGT</t>
  </si>
  <si>
    <t xml:space="preserve">NBDR</t>
  </si>
  <si>
    <t xml:space="preserve">LNG</t>
  </si>
  <si>
    <t xml:space="preserve">HUB</t>
  </si>
  <si>
    <t xml:space="preserve">Wilton</t>
  </si>
  <si>
    <t xml:space="preserve">Anr</t>
  </si>
  <si>
    <t xml:space="preserve">Units </t>
  </si>
  <si>
    <t xml:space="preserve">Ultrasonic</t>
  </si>
  <si>
    <t xml:space="preserve">Turbine</t>
  </si>
  <si>
    <t xml:space="preserve">to</t>
  </si>
  <si>
    <t xml:space="preserve">Liquefaction</t>
  </si>
  <si>
    <t xml:space="preserve">TGC</t>
  </si>
  <si>
    <t xml:space="preserve">Linepack In</t>
  </si>
  <si>
    <t xml:space="preserve">Activities</t>
  </si>
  <si>
    <t xml:space="preserve">PGL to Alliance</t>
  </si>
  <si>
    <t xml:space="preserve">Allegheny</t>
  </si>
  <si>
    <t xml:space="preserve">No-Notice</t>
  </si>
  <si>
    <t xml:space="preserve">Fuel</t>
  </si>
  <si>
    <t xml:space="preserve">Plant Use</t>
  </si>
  <si>
    <t xml:space="preserve">NSS</t>
  </si>
  <si>
    <t xml:space="preserve">NGPL-DSS</t>
  </si>
  <si>
    <t xml:space="preserve">1 - 4</t>
  </si>
  <si>
    <t xml:space="preserve">5 - 8</t>
  </si>
  <si>
    <t xml:space="preserve">            </t>
  </si>
  <si>
    <t xml:space="preserve">Gas Owed to PGL</t>
  </si>
  <si>
    <t xml:space="preserve">Other Supplies</t>
  </si>
  <si>
    <t xml:space="preserve">Storage Withdrawals</t>
  </si>
  <si>
    <t xml:space="preserve">System Supply</t>
  </si>
  <si>
    <t xml:space="preserve">Elwood nom</t>
  </si>
  <si>
    <t xml:space="preserve">Pegasys</t>
  </si>
  <si>
    <t xml:space="preserve">Forecasted</t>
  </si>
  <si>
    <t xml:space="preserve">TGC VIA</t>
  </si>
  <si>
    <t xml:space="preserve">Transportation</t>
  </si>
  <si>
    <t xml:space="preserve">TGC QNT</t>
  </si>
  <si>
    <t xml:space="preserve">Linepack Out</t>
  </si>
  <si>
    <t xml:space="preserve">NO-NOTICE</t>
  </si>
  <si>
    <t xml:space="preserve">PANHANDLE</t>
  </si>
  <si>
    <t xml:space="preserve">N Border only</t>
  </si>
  <si>
    <t xml:space="preserve">Totals</t>
  </si>
  <si>
    <t xml:space="preserve">Payback to PGL</t>
  </si>
  <si>
    <t xml:space="preserve">TPC/Hess</t>
  </si>
  <si>
    <t xml:space="preserve">Gas Owed</t>
  </si>
  <si>
    <t xml:space="preserve">Off_System Sales</t>
  </si>
  <si>
    <t xml:space="preserve">No Notice</t>
  </si>
  <si>
    <t xml:space="preserve">NSG Displacement to PGL</t>
  </si>
  <si>
    <t xml:space="preserve">by NSG</t>
  </si>
  <si>
    <t xml:space="preserve">NPGL</t>
  </si>
  <si>
    <t xml:space="preserve">Calculated</t>
  </si>
  <si>
    <t xml:space="preserve">NSG to PGL</t>
  </si>
  <si>
    <t xml:space="preserve">Midcon -50</t>
  </si>
  <si>
    <t xml:space="preserve">                     NBDR</t>
  </si>
  <si>
    <t xml:space="preserve">EOD ADJ.</t>
  </si>
  <si>
    <t xml:space="preserve">Tolerance</t>
  </si>
  <si>
    <t xml:space="preserve">via NBDR</t>
  </si>
  <si>
    <t xml:space="preserve">via NGPL</t>
  </si>
  <si>
    <t xml:space="preserve">via MGT</t>
  </si>
  <si>
    <t xml:space="preserve">via ANR</t>
  </si>
  <si>
    <t xml:space="preserve">DSS</t>
  </si>
  <si>
    <t xml:space="preserve">BESS</t>
  </si>
  <si>
    <t xml:space="preserve">to ANR</t>
  </si>
  <si>
    <t xml:space="preserve">to NGPL</t>
  </si>
  <si>
    <t xml:space="preserve">to MGT</t>
  </si>
  <si>
    <t xml:space="preserve">to NBDR</t>
  </si>
  <si>
    <t xml:space="preserve">Contractual</t>
  </si>
  <si>
    <t xml:space="preserve">Flowing Supply</t>
  </si>
  <si>
    <t xml:space="preserve">To NSG</t>
  </si>
  <si>
    <t xml:space="preserve">                            ANR</t>
  </si>
  <si>
    <t xml:space="preserve">Midcon-50</t>
  </si>
  <si>
    <t xml:space="preserve">Sys. Supply</t>
  </si>
  <si>
    <t xml:space="preserve">     Transportation Gas</t>
  </si>
  <si>
    <t xml:space="preserve">EOD-ADJ</t>
  </si>
  <si>
    <t xml:space="preserve">50 @ Busse</t>
  </si>
  <si>
    <t xml:space="preserve">50 @ E.J.</t>
  </si>
  <si>
    <t xml:space="preserve">@Manhattan</t>
  </si>
  <si>
    <t xml:space="preserve">@E.J.</t>
  </si>
  <si>
    <t xml:space="preserve">@Somers</t>
  </si>
  <si>
    <t xml:space="preserve">.</t>
  </si>
  <si>
    <t xml:space="preserve">Peoples Gas 6-day nomination Report</t>
  </si>
  <si>
    <t xml:space="preserve">Starting on:</t>
  </si>
  <si>
    <t xml:space="preserve">All values in 1000 DTH</t>
  </si>
  <si>
    <t xml:space="preserve">Weather:</t>
  </si>
  <si>
    <t xml:space="preserve">High/Low/Mean</t>
  </si>
  <si>
    <t xml:space="preserve">Sendout:</t>
  </si>
  <si>
    <t xml:space="preserve">Elwood Energy</t>
  </si>
  <si>
    <t xml:space="preserve">Hub Activities Oakton NICOR and Allegheny</t>
  </si>
  <si>
    <t xml:space="preserve">Off-System Sales:</t>
  </si>
  <si>
    <t xml:space="preserve">ANR:</t>
  </si>
  <si>
    <t xml:space="preserve">MGT:</t>
  </si>
  <si>
    <t xml:space="preserve">NGPL:</t>
  </si>
  <si>
    <t xml:space="preserve">Injection:</t>
  </si>
  <si>
    <t xml:space="preserve">PGL:</t>
  </si>
  <si>
    <t xml:space="preserve">LNG Liquefaction</t>
  </si>
  <si>
    <t xml:space="preserve">PGL Displacements to NSG:</t>
  </si>
  <si>
    <t xml:space="preserve">PGL(Manlove):</t>
  </si>
  <si>
    <t xml:space="preserve">Line Pack In:</t>
  </si>
  <si>
    <t xml:space="preserve">Gas Owed By PGL to:</t>
  </si>
  <si>
    <t xml:space="preserve">ALLI</t>
  </si>
  <si>
    <t xml:space="preserve">TOTAL REQUIREMENTS:</t>
  </si>
  <si>
    <t xml:space="preserve">Supply</t>
  </si>
  <si>
    <t xml:space="preserve">Storage Withdrawal:</t>
  </si>
  <si>
    <t xml:space="preserve">NSG Displacement to PGL:</t>
  </si>
  <si>
    <t xml:space="preserve">NSG:</t>
  </si>
  <si>
    <t xml:space="preserve">to PGL (Manlove disp)</t>
  </si>
  <si>
    <t xml:space="preserve">Hub Activities</t>
  </si>
  <si>
    <t xml:space="preserve">Elwood / NICOR</t>
  </si>
  <si>
    <t xml:space="preserve">System Supply &amp; Transportation</t>
  </si>
  <si>
    <t xml:space="preserve">ALLI:</t>
  </si>
  <si>
    <t xml:space="preserve">TGC:</t>
  </si>
  <si>
    <t xml:space="preserve">RFG:</t>
  </si>
  <si>
    <t xml:space="preserve">PERC Peaking:</t>
  </si>
  <si>
    <t xml:space="preserve">Line Pack Out:</t>
  </si>
  <si>
    <t xml:space="preserve">Gas Owed To PGL By:</t>
  </si>
  <si>
    <t xml:space="preserve">TOTAL SUPPLY:</t>
  </si>
  <si>
    <t xml:space="preserve">SUPPLY SURPLUS:</t>
  </si>
  <si>
    <t xml:space="preserve">SUPPLY SHORTAGE:</t>
  </si>
  <si>
    <t xml:space="preserve">PGL Transportation (RIDER)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</si>
  <si>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</si>
  <si>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North Shore 6-day nomination Report</t>
  </si>
  <si>
    <t xml:space="preserve">All Values in 1000 DTH</t>
  </si>
  <si>
    <t xml:space="preserve">Requirements</t>
  </si>
  <si>
    <t xml:space="preserve">Gas Owed by NSG:</t>
  </si>
  <si>
    <t xml:space="preserve">NICOR:</t>
  </si>
  <si>
    <t xml:space="preserve">Storage</t>
  </si>
  <si>
    <t xml:space="preserve">Manlove Field</t>
  </si>
  <si>
    <t xml:space="preserve">50 @ Busse Road</t>
  </si>
  <si>
    <t xml:space="preserve">Somers Rd No-Notice</t>
  </si>
  <si>
    <t xml:space="preserve">LP</t>
  </si>
  <si>
    <t xml:space="preserve">PGL Displacement to NSG:</t>
  </si>
  <si>
    <t xml:space="preserve">Flowing Supply:</t>
  </si>
  <si>
    <t xml:space="preserve">System Supply @ E.J.</t>
  </si>
  <si>
    <t xml:space="preserve">System Supply @ NGPL</t>
  </si>
  <si>
    <t xml:space="preserve">System Supply @ Som.</t>
  </si>
  <si>
    <t xml:space="preserve">System Supply @ U.H.</t>
  </si>
  <si>
    <t xml:space="preserve">System Supply </t>
  </si>
  <si>
    <t xml:space="preserve">NSG Transportation (RIDER)</t>
  </si>
  <si>
    <t xml:space="preserve">Average Wind Speed MPH (From 4am WSC Weather)</t>
  </si>
  <si>
    <t xml:space="preserve">Gas Date:</t>
  </si>
  <si>
    <t xml:space="preserve">BTU</t>
  </si>
  <si>
    <t xml:space="preserve">SNG/RFG</t>
  </si>
  <si>
    <t xml:space="preserve">Morning Avg.       </t>
  </si>
  <si>
    <t xml:space="preserve">Evening Avg.</t>
  </si>
  <si>
    <t xml:space="preserve">Nights Avg. </t>
  </si>
  <si>
    <t xml:space="preserve">                     FINAL</t>
  </si>
  <si>
    <t xml:space="preserve">Payback Alliance to PGL</t>
  </si>
  <si>
    <t xml:space="preserve">Elwood Tap</t>
  </si>
  <si>
    <t xml:space="preserve">        Temperatures</t>
  </si>
  <si>
    <t xml:space="preserve">High    </t>
  </si>
  <si>
    <t xml:space="preserve">Low:</t>
  </si>
  <si>
    <t xml:space="preserve">Payback PGL to Alliance</t>
  </si>
  <si>
    <t xml:space="preserve">Union ( Citgo) RFG</t>
  </si>
  <si>
    <t xml:space="preserve">Alliance to NGPL to Manl.</t>
  </si>
  <si>
    <t xml:space="preserve">Mobil RFG</t>
  </si>
  <si>
    <t xml:space="preserve">SENDOUT:</t>
  </si>
  <si>
    <t xml:space="preserve">       Elwood Usage</t>
  </si>
  <si>
    <t xml:space="preserve">System Supply Alliance</t>
  </si>
  <si>
    <t xml:space="preserve">Deliveries to Pipeline</t>
  </si>
  <si>
    <t xml:space="preserve">Oakton NICOR</t>
  </si>
  <si>
    <t xml:space="preserve">Nominated to Pipeline</t>
  </si>
  <si>
    <t xml:space="preserve">QNT</t>
  </si>
  <si>
    <t xml:space="preserve">131st &amp; Bell Road</t>
  </si>
  <si>
    <t xml:space="preserve">ANR No-Notice Injection</t>
  </si>
  <si>
    <t xml:space="preserve">Payback PGL to TRNK</t>
  </si>
  <si>
    <t xml:space="preserve">Alliance thru Manlove</t>
  </si>
  <si>
    <t xml:space="preserve">ANR No-Notice Withdraw</t>
  </si>
  <si>
    <t xml:space="preserve">Payback TRNK to PGL</t>
  </si>
  <si>
    <t xml:space="preserve">ANR </t>
  </si>
  <si>
    <t xml:space="preserve">Payback PGL to ANR</t>
  </si>
  <si>
    <t xml:space="preserve">System Supply**</t>
  </si>
  <si>
    <t xml:space="preserve">ANR total delivery</t>
  </si>
  <si>
    <t xml:space="preserve">Payback ANR to PGL</t>
  </si>
  <si>
    <t xml:space="preserve">Deliveries to Manlove</t>
  </si>
  <si>
    <t xml:space="preserve">Midwestern </t>
  </si>
  <si>
    <t xml:space="preserve">Manlove Lng/Injection (-)</t>
  </si>
  <si>
    <t xml:space="preserve">System Supply ANR</t>
  </si>
  <si>
    <t xml:space="preserve">73rd &amp; Crawford </t>
  </si>
  <si>
    <t xml:space="preserve">Northern Border </t>
  </si>
  <si>
    <t xml:space="preserve">Midwestern total delivery</t>
  </si>
  <si>
    <t xml:space="preserve">73rd Totals</t>
  </si>
  <si>
    <t xml:space="preserve">RFG/Dilution Gas</t>
  </si>
  <si>
    <t xml:space="preserve">Northern Border total del.</t>
  </si>
  <si>
    <t xml:space="preserve">Crawford Mahomet</t>
  </si>
  <si>
    <t xml:space="preserve">Trunkline </t>
  </si>
  <si>
    <t xml:space="preserve">Total Mahomet</t>
  </si>
  <si>
    <t xml:space="preserve">Linepack Out   (+)</t>
  </si>
  <si>
    <t xml:space="preserve">Trunkline total delivery</t>
  </si>
  <si>
    <t xml:space="preserve">Withdrawal</t>
  </si>
  <si>
    <t xml:space="preserve">Linepack In      (-)</t>
  </si>
  <si>
    <t xml:space="preserve">LNG In </t>
  </si>
  <si>
    <t xml:space="preserve">PERK Peaking</t>
  </si>
  <si>
    <t xml:space="preserve">Alleghney Energy</t>
  </si>
  <si>
    <t xml:space="preserve">LNG Out</t>
  </si>
  <si>
    <t xml:space="preserve">Electric Power Plants</t>
  </si>
  <si>
    <t xml:space="preserve">Plant &amp; Field Gas Use</t>
  </si>
  <si>
    <t xml:space="preserve">Alleghney / Lincoln / Wilton</t>
  </si>
  <si>
    <t xml:space="preserve">                  Minimum take :</t>
  </si>
  <si>
    <t xml:space="preserve">Manlove Compressor Fuel</t>
  </si>
  <si>
    <t xml:space="preserve">            Minimum take :</t>
  </si>
  <si>
    <t xml:space="preserve">Crawford LPG</t>
  </si>
  <si>
    <t xml:space="preserve">Elwood Nicor 1 units (1-4)</t>
  </si>
  <si>
    <t xml:space="preserve">Chicago District (NGPL)</t>
  </si>
  <si>
    <t xml:space="preserve">NGPL 10"</t>
  </si>
  <si>
    <t xml:space="preserve">Elwood Nicor 2 Turbine</t>
  </si>
  <si>
    <t xml:space="preserve">NGPL 16"</t>
  </si>
  <si>
    <t xml:space="preserve">Elwood Nicor 2 Ultrasonic</t>
  </si>
  <si>
    <t xml:space="preserve">Manlove Tap</t>
  </si>
  <si>
    <t xml:space="preserve">Utrasonic Bi-Directional</t>
  </si>
  <si>
    <t xml:space="preserve">Total Elwood</t>
  </si>
  <si>
    <t xml:space="preserve">NGPL Takes</t>
  </si>
  <si>
    <t xml:space="preserve">Sharp Rd. Northern Border</t>
  </si>
  <si>
    <t xml:space="preserve">NGPL / Manlove</t>
  </si>
  <si>
    <t xml:space="preserve">Payback PGL to Midw.</t>
  </si>
  <si>
    <t xml:space="preserve">No-Notice In</t>
  </si>
  <si>
    <t xml:space="preserve">Payback Midw to PGL </t>
  </si>
  <si>
    <t xml:space="preserve">Wisvest Calumet 3</t>
  </si>
  <si>
    <t xml:space="preserve">No-Notice Out</t>
  </si>
  <si>
    <t xml:space="preserve">NGPL FTS</t>
  </si>
  <si>
    <t xml:space="preserve">TGL - 30 @ Midwestern</t>
  </si>
  <si>
    <t xml:space="preserve">Calumet Edison</t>
  </si>
  <si>
    <t xml:space="preserve">NGPL CHICAGO DISTRICT</t>
  </si>
  <si>
    <t xml:space="preserve">Crawford Edison</t>
  </si>
  <si>
    <t xml:space="preserve">Alliance thu Manlove</t>
  </si>
  <si>
    <t xml:space="preserve">112th Street</t>
  </si>
  <si>
    <t xml:space="preserve">Northern Border</t>
  </si>
  <si>
    <t xml:space="preserve">Fisk Edison</t>
  </si>
  <si>
    <t xml:space="preserve">126th &amp; Saginaw (Ford)</t>
  </si>
  <si>
    <t xml:space="preserve">138th Street</t>
  </si>
  <si>
    <t xml:space="preserve">Payback PGL- NBDR</t>
  </si>
  <si>
    <t xml:space="preserve">Total Edison</t>
  </si>
  <si>
    <t xml:space="preserve">Republic (LTV) 2</t>
  </si>
  <si>
    <t xml:space="preserve">Payback NBDR - PGL</t>
  </si>
  <si>
    <t xml:space="preserve">Calumet 3</t>
  </si>
  <si>
    <t xml:space="preserve">Calumet 2</t>
  </si>
  <si>
    <t xml:space="preserve">Crawford NGPL</t>
  </si>
  <si>
    <t xml:space="preserve">US Steel</t>
  </si>
  <si>
    <t xml:space="preserve">US/ACME</t>
  </si>
  <si>
    <t xml:space="preserve">Elwood/NICOR Nom</t>
  </si>
  <si>
    <t xml:space="preserve">Acme Steel</t>
  </si>
  <si>
    <t xml:space="preserve">TOTAL Northern Border</t>
  </si>
  <si>
    <t xml:space="preserve">Ohare 1</t>
  </si>
  <si>
    <t xml:space="preserve">LTV Steel</t>
  </si>
  <si>
    <t xml:space="preserve">Deliveries to Manhattan North </t>
  </si>
  <si>
    <t xml:space="preserve">Ohare 2 </t>
  </si>
  <si>
    <t xml:space="preserve">Nonmetered</t>
  </si>
  <si>
    <t xml:space="preserve">Deliveries to Manhattan South </t>
  </si>
  <si>
    <t xml:space="preserve">NGPL TOTALS</t>
  </si>
  <si>
    <t xml:space="preserve">126th &amp; Saginaw ( Ford)</t>
  </si>
  <si>
    <t xml:space="preserve">Deliveries to Sharp Rd. </t>
  </si>
  <si>
    <t xml:space="preserve">** includes Trunkline 15,000 payback to PGL today.</t>
  </si>
  <si>
    <t xml:space="preserve">N. Border Deliveries to PGL</t>
  </si>
  <si>
    <t xml:space="preserve">Ave Wind</t>
  </si>
  <si>
    <t xml:space="preserve">Ave Temp</t>
  </si>
  <si>
    <t xml:space="preserve">Ave BTU</t>
  </si>
  <si>
    <t xml:space="preserve">System Supply NSG &amp; PGL</t>
  </si>
  <si>
    <t xml:space="preserve">TGL-30 @ Midwestern</t>
  </si>
  <si>
    <t xml:space="preserve">Payback Midw. to PGL</t>
  </si>
  <si>
    <t xml:space="preserve">                                 </t>
  </si>
  <si>
    <t xml:space="preserve">Elwood Gas Usage</t>
  </si>
  <si>
    <t xml:space="preserve">Deliveries to Manhattan North +</t>
  </si>
  <si>
    <t xml:space="preserve">Deliveries to Manhattan South +</t>
  </si>
  <si>
    <t xml:space="preserve">Deliveries to Sharp Rd. +</t>
  </si>
  <si>
    <t xml:space="preserve">Del to Elwood NICOR 100% -</t>
  </si>
  <si>
    <t xml:space="preserve">Calumet Edison       (NGPL)</t>
  </si>
  <si>
    <t xml:space="preserve">Crawford Edison     (Daniel)</t>
  </si>
  <si>
    <t xml:space="preserve">Allegheny Energy (Wilton/Lincoln) </t>
  </si>
  <si>
    <t xml:space="preserve">Fisk Edison             (Daniel)</t>
  </si>
  <si>
    <t xml:space="preserve">Edison Misson Total</t>
  </si>
  <si>
    <t xml:space="preserve">Elwood 100% (NBDR)</t>
  </si>
  <si>
    <t xml:space="preserve">Lincoln Energy     (SCADA)</t>
  </si>
  <si>
    <t xml:space="preserve">Unicom                  (SCADA)</t>
  </si>
  <si>
    <t xml:space="preserve">Ave. Temp.</t>
  </si>
  <si>
    <t xml:space="preserve">Ave. Wind</t>
  </si>
  <si>
    <t xml:space="preserve">Morning Avg.</t>
  </si>
  <si>
    <t xml:space="preserve">                 Final</t>
  </si>
  <si>
    <t xml:space="preserve">Temperature</t>
  </si>
  <si>
    <t xml:space="preserve">SOMERS Rd.</t>
  </si>
  <si>
    <t xml:space="preserve">Busse Road</t>
  </si>
  <si>
    <t xml:space="preserve">Tonne Road</t>
  </si>
  <si>
    <t xml:space="preserve">Lake Cook Totals</t>
  </si>
  <si>
    <t xml:space="preserve">Peterson Road LP</t>
  </si>
  <si>
    <t xml:space="preserve">NGPL TAKES</t>
  </si>
  <si>
    <t xml:space="preserve">Off System Sales</t>
  </si>
  <si>
    <t xml:space="preserve">BESS Injection</t>
  </si>
  <si>
    <t xml:space="preserve">BESS Withdrawal</t>
  </si>
  <si>
    <t xml:space="preserve">NGPL Displacement</t>
  </si>
  <si>
    <t xml:space="preserve">NGPL Transportation</t>
  </si>
  <si>
    <t xml:space="preserve">Manlove PGL-NSG</t>
  </si>
  <si>
    <t xml:space="preserve">ANR-50 Injection</t>
  </si>
  <si>
    <t xml:space="preserve">Notes:</t>
  </si>
  <si>
    <t xml:space="preserve">ANR-50 W/D @ Busse</t>
  </si>
  <si>
    <t xml:space="preserve">ANR-50 W/D @ E. Joliet</t>
  </si>
  <si>
    <t xml:space="preserve">Displ. NSG to PGL</t>
  </si>
  <si>
    <t xml:space="preserve">Off-System Sales</t>
  </si>
  <si>
    <t xml:space="preserve">NSG owes NICOR</t>
  </si>
  <si>
    <t xml:space="preserve">NICOR owes NSG</t>
  </si>
  <si>
    <t xml:space="preserve">Delivery to Pipeline</t>
  </si>
  <si>
    <t xml:space="preserve">Somers Road</t>
  </si>
  <si>
    <t xml:space="preserve">ANR - 50 Withdrawal</t>
  </si>
  <si>
    <t xml:space="preserve">No-Notice Injection</t>
  </si>
  <si>
    <t xml:space="preserve">No-Notice Withdrawal</t>
  </si>
  <si>
    <t xml:space="preserve">PBack NBDR to PGL</t>
  </si>
  <si>
    <t xml:space="preserve">PBack PGL to NBDR</t>
  </si>
  <si>
    <t xml:space="preserve">Sys Supply @ Somers Rd.</t>
  </si>
  <si>
    <t xml:space="preserve">Displacement to PGL</t>
  </si>
  <si>
    <t xml:space="preserve">Injection to Manlove</t>
  </si>
  <si>
    <t xml:space="preserve">Peterson Road LP Plant</t>
  </si>
  <si>
    <t xml:space="preserve">Gallons Used (x.09083)</t>
  </si>
  <si>
    <t xml:space="preserve">Dekatherm Flow</t>
  </si>
  <si>
    <t xml:space="preserve">Morning Ave. Temp.     </t>
  </si>
  <si>
    <t xml:space="preserve">Night Ave. Temp.</t>
  </si>
  <si>
    <t xml:space="preserve">Nine to Nine</t>
  </si>
  <si>
    <t xml:space="preserve">TEMPERATURES</t>
  </si>
  <si>
    <t xml:space="preserve">GRAYSLAKE</t>
  </si>
  <si>
    <t xml:space="preserve">BUSSE RD.</t>
  </si>
  <si>
    <t xml:space="preserve">TOTAL SENDOUT:</t>
  </si>
  <si>
    <t xml:space="preserve">MIDWESTERN</t>
  </si>
  <si>
    <t xml:space="preserve">131st &amp; BELL RD.</t>
  </si>
  <si>
    <t xml:space="preserve">TRUNKLINE</t>
  </si>
  <si>
    <t xml:space="preserve">LINEPACK IN</t>
  </si>
  <si>
    <t xml:space="preserve">LINEPACK OUT</t>
  </si>
  <si>
    <t xml:space="preserve">73 RD &amp; CM / BUSSE</t>
  </si>
  <si>
    <t xml:space="preserve">CHICAGO DISTRICT| NGPL</t>
  </si>
  <si>
    <t xml:space="preserve">ELWOOD TAP </t>
  </si>
  <si>
    <t xml:space="preserve">MAHOMET TAP</t>
  </si>
  <si>
    <t xml:space="preserve">NGPL TAKES    </t>
  </si>
  <si>
    <t xml:space="preserve">MANLOVE DISPLACEMENT</t>
  </si>
  <si>
    <t xml:space="preserve">NGPL OFF SYSTEM SALES</t>
  </si>
  <si>
    <t xml:space="preserve">DSS  (INJ.)</t>
  </si>
  <si>
    <t xml:space="preserve">MIDCON</t>
  </si>
  <si>
    <t xml:space="preserve">DSS   (OUT)</t>
  </si>
  <si>
    <t xml:space="preserve">NSS  (OUT)</t>
  </si>
  <si>
    <t xml:space="preserve">NGPL DISPLACEMENT</t>
  </si>
  <si>
    <t xml:space="preserve">Transportation Gas</t>
  </si>
  <si>
    <t xml:space="preserve">NSS  (INJ.)</t>
  </si>
  <si>
    <t xml:space="preserve">NO-NOTICE  IN</t>
  </si>
  <si>
    <t xml:space="preserve">NO-NOTICE  OUT</t>
  </si>
  <si>
    <t xml:space="preserve">NICOR OFFSYSTEM SALES</t>
  </si>
  <si>
    <t xml:space="preserve">BESS (IN)</t>
  </si>
  <si>
    <t xml:space="preserve">MANLOVE FIELD</t>
  </si>
  <si>
    <t xml:space="preserve">112 TH &amp; 138 STREET</t>
  </si>
  <si>
    <t xml:space="preserve">WITHDRAWAL</t>
  </si>
  <si>
    <t xml:space="preserve">REPUBLIC (LTV) 2</t>
  </si>
  <si>
    <t xml:space="preserve">LNG     (IN)</t>
  </si>
  <si>
    <t xml:space="preserve">CALUMET 2</t>
  </si>
  <si>
    <t xml:space="preserve">LNG (OUT)</t>
  </si>
  <si>
    <t xml:space="preserve">US STEEL &amp; ACME</t>
  </si>
  <si>
    <t xml:space="preserve">LTV STEEL</t>
  </si>
  <si>
    <t xml:space="preserve">NONMETERED</t>
  </si>
  <si>
    <t xml:space="preserve">DELIVERIES TO PIPELINE</t>
  </si>
  <si>
    <t xml:space="preserve">FORD</t>
  </si>
  <si>
    <t xml:space="preserve">CALUMET EDISON</t>
  </si>
  <si>
    <t xml:space="preserve">CALUMET 3</t>
  </si>
  <si>
    <t xml:space="preserve">                            MIDWESTERN</t>
  </si>
  <si>
    <t xml:space="preserve">CRAWFORD NATURAL</t>
  </si>
  <si>
    <t xml:space="preserve">Transportation Gas+P/BACK</t>
  </si>
  <si>
    <t xml:space="preserve">OAKTON ST.</t>
  </si>
  <si>
    <t xml:space="preserve">SYS  SUPPLY  PGL</t>
  </si>
  <si>
    <t xml:space="preserve">OHARE 2</t>
  </si>
  <si>
    <t xml:space="preserve">SYS  SUPPLY  NS+TGL30</t>
  </si>
  <si>
    <t xml:space="preserve">OHARE 1</t>
  </si>
  <si>
    <t xml:space="preserve">OFF SYSTEM SALES</t>
  </si>
  <si>
    <t xml:space="preserve">DELIVERED TO PIPELINE</t>
  </si>
  <si>
    <t xml:space="preserve">NORTH SHORE ANR</t>
  </si>
  <si>
    <t xml:space="preserve">ANR SYSTEM SUPPLY</t>
  </si>
  <si>
    <t xml:space="preserve">NI-GAS PAYBACK</t>
  </si>
  <si>
    <t xml:space="preserve">System Supply +Payback</t>
  </si>
  <si>
    <t xml:space="preserve">NS TO PGL DISPLACEMENT</t>
  </si>
  <si>
    <t xml:space="preserve">ANR-50 STORAGE (INJ.)</t>
  </si>
  <si>
    <t xml:space="preserve">A-HESS SYSTEM SUPPLY</t>
  </si>
  <si>
    <t xml:space="preserve">ANR-50 STORAGE (WITHDR)</t>
  </si>
  <si>
    <t xml:space="preserve">ANR-50 @ BUSSE RD.</t>
  </si>
  <si>
    <t xml:space="preserve">DISPLACEMENT</t>
  </si>
  <si>
    <t xml:space="preserve">ANR-50 @ E. JOLIET</t>
  </si>
  <si>
    <t xml:space="preserve">DELIVERY TO EAST JOLIET</t>
  </si>
  <si>
    <t xml:space="preserve">         TRUNKLINE TOTAL:</t>
  </si>
  <si>
    <t xml:space="preserve">DELIVERY TO BUSSE RD.</t>
  </si>
  <si>
    <t xml:space="preserve">NORTH SHORE MIDWESTERN</t>
  </si>
  <si>
    <t xml:space="preserve">System Supply+Payback</t>
  </si>
  <si>
    <t xml:space="preserve">MGT SYSTEM SUPPLY</t>
  </si>
  <si>
    <t xml:space="preserve">TEJAS/ QNT</t>
  </si>
  <si>
    <t xml:space="preserve">MGT INJ TO MANLOVE</t>
  </si>
  <si>
    <t xml:space="preserve">TGL-30 (INJ.)</t>
  </si>
  <si>
    <t xml:space="preserve">MGT DISPLACEMENT</t>
  </si>
  <si>
    <t xml:space="preserve">TGL-30 (WITHDRAWAL)</t>
  </si>
  <si>
    <t xml:space="preserve">SNG TAP</t>
  </si>
  <si>
    <t xml:space="preserve">USED FOR HEAT NOT DILUTION GAS</t>
  </si>
  <si>
    <t xml:space="preserve">DELIVER TO FIELD (INJ)</t>
  </si>
  <si>
    <t xml:space="preserve">RFG Union       </t>
  </si>
  <si>
    <t xml:space="preserve">        Total RFG</t>
  </si>
  <si>
    <t xml:space="preserve">GAS OWED BY PGL</t>
  </si>
  <si>
    <t xml:space="preserve">MOBIL</t>
  </si>
  <si>
    <t xml:space="preserve">73 RD AND CRAWFORD STATIONS</t>
  </si>
  <si>
    <t xml:space="preserve">Gas Day</t>
  </si>
  <si>
    <t xml:space="preserve">73RD   TOTALS</t>
  </si>
  <si>
    <t xml:space="preserve">CRAWFORD MAHOMET</t>
  </si>
  <si>
    <t xml:space="preserve">TOTAL MAHOMET PIPELINE</t>
  </si>
  <si>
    <t xml:space="preserve">Ave. TEMP.</t>
  </si>
  <si>
    <t xml:space="preserve">Ave. wind</t>
  </si>
  <si>
    <t xml:space="preserve">PGL Nine to Nine</t>
  </si>
  <si>
    <t xml:space="preserve">Morning Ave.      49</t>
  </si>
  <si>
    <t xml:space="preserve">Evening Ave.</t>
  </si>
  <si>
    <t xml:space="preserve">Nights Ave. </t>
  </si>
  <si>
    <t xml:space="preserve">                         Temperatures</t>
  </si>
  <si>
    <t xml:space="preserve">Mahomet Deliveries</t>
  </si>
  <si>
    <t xml:space="preserve">Crawford LP</t>
  </si>
  <si>
    <t xml:space="preserve">Manlove Displacement</t>
  </si>
  <si>
    <t xml:space="preserve">DSS  Injection</t>
  </si>
  <si>
    <t xml:space="preserve">NSS Injection</t>
  </si>
  <si>
    <t xml:space="preserve">DSS Out</t>
  </si>
  <si>
    <t xml:space="preserve">NSS Out</t>
  </si>
  <si>
    <t xml:space="preserve">ANR-50 Withdrawal</t>
  </si>
  <si>
    <t xml:space="preserve">Displacement NSG - PGL</t>
  </si>
  <si>
    <t xml:space="preserve">System Supply NSG</t>
  </si>
  <si>
    <t xml:space="preserve">System Supply PGL</t>
  </si>
  <si>
    <t xml:space="preserve">Fuel Used</t>
  </si>
  <si>
    <t xml:space="preserve">Off- System</t>
  </si>
  <si>
    <t xml:space="preserve">Off-System</t>
  </si>
  <si>
    <t xml:space="preserve">TGL - 30 Injection</t>
  </si>
  <si>
    <t xml:space="preserve">Deliveries to Manhattan</t>
  </si>
  <si>
    <t xml:space="preserve">TGL - 30 Withdrawal</t>
  </si>
  <si>
    <t xml:space="preserve">Deliveries to Bell Road</t>
  </si>
  <si>
    <t xml:space="preserve">Deliveries to Injection</t>
  </si>
  <si>
    <t xml:space="preserve">MIDCON GAS SERVICES CORP.</t>
  </si>
  <si>
    <t xml:space="preserve">NOMINATION FORM</t>
  </si>
  <si>
    <t xml:space="preserve">Send To:</t>
  </si>
  <si>
    <t xml:space="preserve">Tommy Crowder</t>
  </si>
  <si>
    <t xml:space="preserve">Acct Rep.:</t>
  </si>
  <si>
    <t xml:space="preserve">Curtis Cole</t>
  </si>
  <si>
    <t xml:space="preserve">Operations</t>
  </si>
  <si>
    <t xml:space="preserve">MidCon Gas Services Corp.</t>
  </si>
  <si>
    <t xml:space="preserve">Phone:  (630) 691-3720</t>
  </si>
  <si>
    <t xml:space="preserve">Phone:  (713) 963-3124</t>
  </si>
  <si>
    <t xml:space="preserve">Fax:  (630) 282-2073</t>
  </si>
  <si>
    <t xml:space="preserve">Fax:  (713) 964-5774</t>
  </si>
  <si>
    <t xml:space="preserve">For Emergencies, </t>
  </si>
  <si>
    <t xml:space="preserve">Call:  1 (800) 424-7039</t>
  </si>
  <si>
    <t xml:space="preserve">As Per Agreement:  FIRM STORAGE GAS SALE AND PURCHASE CONTRACT by and between</t>
  </si>
  <si>
    <t xml:space="preserve">MIDCON GAS SERVICES CORP. and THE PEOPLES GAS LIGHT AND COKE COMPANY</t>
  </si>
  <si>
    <t xml:space="preserve">(50 Day Storage Service Agreement)</t>
  </si>
  <si>
    <t xml:space="preserve">Nominations for:  NORTH SHORE GAS COMPANY</t>
  </si>
  <si>
    <t xml:space="preserve">Today's Date:</t>
  </si>
  <si>
    <t xml:space="preserve">Time:</t>
  </si>
  <si>
    <t xml:space="preserve">Customer Contact:</t>
  </si>
  <si>
    <t xml:space="preserve">TORREZ</t>
  </si>
  <si>
    <t xml:space="preserve">Phone:</t>
  </si>
  <si>
    <t xml:space="preserve">312-240-4754</t>
  </si>
  <si>
    <t xml:space="preserve">  1st of Month Nomination - Due 2 Business Days Prior to Start of Month (100,000 MDQ)</t>
  </si>
  <si>
    <t xml:space="preserve">  Regular Nomination - Due by 9:00 a.m. for Gas Flow the Following Day (100,000 MDQ)</t>
  </si>
  <si>
    <t xml:space="preserve">X</t>
  </si>
  <si>
    <t xml:space="preserve">  Late Nomination - Due by 7:00 a.m. for Gas Flow Current Day (+/-50,000 MDQ in Total for </t>
  </si>
  <si>
    <t xml:space="preserve">PGLC/ North Shore combined)</t>
  </si>
  <si>
    <t xml:space="preserve">Effective Date of Nomination:</t>
  </si>
  <si>
    <t xml:space="preserve">Total Nomination Change to:</t>
  </si>
  <si>
    <t xml:space="preserve">  MMBtu</t>
  </si>
  <si>
    <t xml:space="preserve">Total Nomination Change from:</t>
  </si>
  <si>
    <t xml:space="preserve">Estimated 5 Day Nominations:</t>
  </si>
  <si>
    <t xml:space="preserve">    Comments:</t>
  </si>
  <si>
    <t xml:space="preserve">1) Contact names:  Tommy Crowder @ (713) 963-3124 or Lynn Kimball @ (713) 963-3027.)</t>
  </si>
  <si>
    <t xml:space="preserve">/2 Please fax all nominations forms to the attention of the above listed indivduals.</t>
  </si>
  <si>
    <t xml:space="preserve">/3 All Terms and Conditions are per the above refernced Agreement.</t>
  </si>
  <si>
    <t xml:space="preserve">      </t>
  </si>
  <si>
    <t xml:space="preserve">Temperatures</t>
  </si>
  <si>
    <t xml:space="preserve">Degree Days</t>
  </si>
  <si>
    <t xml:space="preserve">Degree Day Deviation</t>
  </si>
  <si>
    <t xml:space="preserve">High:</t>
  </si>
  <si>
    <t xml:space="preserve">Today:</t>
  </si>
  <si>
    <t xml:space="preserve">Daily:</t>
  </si>
  <si>
    <t xml:space="preserve">Month to Date:</t>
  </si>
  <si>
    <t xml:space="preserve">Monthly:</t>
  </si>
  <si>
    <t xml:space="preserve">Average:</t>
  </si>
  <si>
    <t xml:space="preserve">Season:</t>
  </si>
  <si>
    <t xml:space="preserve">PARTLY CLOUDY/SUNNY</t>
  </si>
  <si>
    <t xml:space="preserve">THUNDERSTORMS</t>
  </si>
  <si>
    <t xml:space="preserve">SUNNY/CLEAR</t>
  </si>
  <si>
    <t xml:space="preserve">Activity</t>
  </si>
  <si>
    <t xml:space="preserve">Total Requirements</t>
  </si>
  <si>
    <t xml:space="preserve">Leased Storage w/d</t>
  </si>
  <si>
    <t xml:space="preserve">Leased Storage inj.</t>
  </si>
  <si>
    <t xml:space="preserve">Rider</t>
  </si>
  <si>
    <t xml:space="preserve">Net Manlove</t>
  </si>
  <si>
    <t xml:space="preserve">Manlove In</t>
  </si>
  <si>
    <t xml:space="preserve">Manlove Out</t>
  </si>
  <si>
    <t xml:space="preserve">Gas Control's Weather Provider is Murray &amp; Trettel</t>
  </si>
  <si>
    <t xml:space="preserve">NOTE:  Occasionally, the current day's Degree Day value and the current day's average temperature (where</t>
  </si>
  <si>
    <t xml:space="preserve">average temp &lt; 65) do not sum to 65.  This is due to the fact that the current day's average temperature is </t>
  </si>
  <si>
    <t xml:space="preserve">based on a Noon to Noon day while the current day's Degree Days (as reported by the National Weather </t>
  </si>
  <si>
    <t xml:space="preserve">Service) are based on Midnight to Midnight days.</t>
  </si>
  <si>
    <t xml:space="preserve">PEOPLES GAS LIGHT AND COKE COMPANY</t>
  </si>
  <si>
    <t xml:space="preserve">ACTIVITY</t>
  </si>
  <si>
    <t xml:space="preserve">NGPL TAKE</t>
  </si>
  <si>
    <t xml:space="preserve">DSS W/D</t>
  </si>
  <si>
    <t xml:space="preserve">NSS W/D</t>
  </si>
  <si>
    <t xml:space="preserve">BESS W/D</t>
  </si>
  <si>
    <t xml:space="preserve">DSS INJ.</t>
  </si>
  <si>
    <t xml:space="preserve">NSS INJ.</t>
  </si>
  <si>
    <t xml:space="preserve">BESS INJ.</t>
  </si>
  <si>
    <t xml:space="preserve">MANLOVE NGPL</t>
  </si>
  <si>
    <t xml:space="preserve">ELWOOD TAP</t>
  </si>
  <si>
    <t xml:space="preserve">ALIIANCE TO MANLOVE</t>
  </si>
  <si>
    <t xml:space="preserve">NORTH SHORE GAS COMPANY</t>
  </si>
  <si>
    <t xml:space="preserve">MANLOVE W/D</t>
  </si>
  <si>
    <t xml:space="preserve">CUSHION W/D</t>
  </si>
  <si>
    <t xml:space="preserve">MANLOVE INJ.</t>
  </si>
  <si>
    <t xml:space="preserve">Gas Day:</t>
  </si>
  <si>
    <t xml:space="preserve">NEW DAY NOMINATIONS/DELIVERIES</t>
  </si>
  <si>
    <t xml:space="preserve">ANR SOMERS RD.</t>
  </si>
  <si>
    <t xml:space="preserve">DKT</t>
  </si>
  <si>
    <t xml:space="preserve">MCF</t>
  </si>
  <si>
    <t xml:space="preserve">No - Notice</t>
  </si>
  <si>
    <t xml:space="preserve">Injection </t>
  </si>
  <si>
    <t xml:space="preserve">Deliveries to Somers Rd.</t>
  </si>
  <si>
    <t xml:space="preserve">Busse Rd.</t>
  </si>
  <si>
    <t xml:space="preserve">Manlove Hourly Rate</t>
  </si>
  <si>
    <t xml:space="preserve">ANR-50 W/D</t>
  </si>
  <si>
    <t xml:space="preserve">Northern Borders</t>
  </si>
  <si>
    <t xml:space="preserve">PGL-NSG Displacement</t>
  </si>
  <si>
    <t xml:space="preserve"> Elwood Energy</t>
  </si>
  <si>
    <t xml:space="preserve">Payback NSG TO NICOR</t>
  </si>
  <si>
    <t xml:space="preserve">Lincoln Energy</t>
  </si>
  <si>
    <t xml:space="preserve">Deliveries @ Busse </t>
  </si>
  <si>
    <t xml:space="preserve">Alliance System Supply</t>
  </si>
  <si>
    <t xml:space="preserve">Total Nominations</t>
  </si>
  <si>
    <t xml:space="preserve">DELIVERY TO MANLOVE</t>
  </si>
  <si>
    <t xml:space="preserve">Payback NBDR-PGL</t>
  </si>
  <si>
    <t xml:space="preserve">Payback PGL to Alliance </t>
  </si>
  <si>
    <t xml:space="preserve">Payback PGL-NBDR</t>
  </si>
  <si>
    <t xml:space="preserve">Alliance Deliveries</t>
  </si>
  <si>
    <t xml:space="preserve">Deliveries @ Man.North</t>
  </si>
  <si>
    <t xml:space="preserve">ANR System Supply</t>
  </si>
  <si>
    <t xml:space="preserve">Deliveries @ Man.South </t>
  </si>
  <si>
    <t xml:space="preserve">ANR N0-Notice</t>
  </si>
  <si>
    <t xml:space="preserve">Deliveries @ Elwood Energy</t>
  </si>
  <si>
    <t xml:space="preserve">Deliveries @ Lincoln Energy</t>
  </si>
  <si>
    <t xml:space="preserve">Payback ANR-PGL</t>
  </si>
  <si>
    <t xml:space="preserve">Oakton to NICOR</t>
  </si>
  <si>
    <t xml:space="preserve">Payback PGL-ANR</t>
  </si>
  <si>
    <t xml:space="preserve">Deliveries to NICOR</t>
  </si>
  <si>
    <t xml:space="preserve">Deliveries @ E. Joliet</t>
  </si>
  <si>
    <t xml:space="preserve">Midwestern System Supply</t>
  </si>
  <si>
    <t xml:space="preserve">Payback MIDW-PGL</t>
  </si>
  <si>
    <t xml:space="preserve">Payback TGC-PGL</t>
  </si>
  <si>
    <t xml:space="preserve">Payback PGL-MIDW</t>
  </si>
  <si>
    <t xml:space="preserve">Payback PGL-TGC</t>
  </si>
  <si>
    <t xml:space="preserve">Deliveries @ Midwest</t>
  </si>
  <si>
    <t xml:space="preserve">Deliveries @ Manlove</t>
  </si>
  <si>
    <t xml:space="preserve">NOTE: If Elwood is to burn any gas make sure Northern Border knows it. </t>
  </si>
  <si>
    <t xml:space="preserve">             Don't call suppliers till we get a nomination from NICOR.</t>
  </si>
  <si>
    <t xml:space="preserve">+</t>
  </si>
  <si>
    <t xml:space="preserve">CRAWFORD LINE 2</t>
  </si>
  <si>
    <t xml:space="preserve">73RD LINE 1</t>
  </si>
  <si>
    <t xml:space="preserve">GAS DAY</t>
  </si>
  <si>
    <t xml:space="preserve">LP GAS @ CRAWFORD</t>
  </si>
  <si>
    <t xml:space="preserve">SOMERS RD</t>
  </si>
  <si>
    <t xml:space="preserve">PERC PEAKING @ BELL ROAD</t>
  </si>
  <si>
    <t xml:space="preserve">EDWARDS RD</t>
  </si>
  <si>
    <t xml:space="preserve">NORTHERN BORDERS @ BELL ROAD</t>
  </si>
  <si>
    <t xml:space="preserve">NS SENDOUT</t>
  </si>
  <si>
    <t xml:space="preserve">LP @ PETERSON RD</t>
  </si>
  <si>
    <t xml:space="preserve">SHORT(-)OR LONG(+)</t>
  </si>
  <si>
    <t xml:space="preserve">ALLIANCE</t>
  </si>
  <si>
    <t xml:space="preserve">BUSSE RD</t>
  </si>
  <si>
    <t xml:space="preserve">NRTHRN BRDRS @ MANHATTAN SOUTH</t>
  </si>
  <si>
    <t xml:space="preserve">TONNE RD</t>
  </si>
  <si>
    <t xml:space="preserve">LINCOLN PREVIOUS DAY </t>
  </si>
  <si>
    <t xml:space="preserve">EDISON MISSION PREVIOUS DAY</t>
  </si>
  <si>
    <t xml:space="preserve">PGL SENDOUT</t>
  </si>
  <si>
    <t xml:space="preserve">MANLOVE WITHDRAWLS</t>
  </si>
  <si>
    <t xml:space="preserve">ELWOOD ENERGY</t>
  </si>
  <si>
    <t xml:space="preserve">NET MAHOMET DELIVERIES</t>
  </si>
  <si>
    <t xml:space="preserve">NS SHORT(-)OR LONG(+)</t>
  </si>
  <si>
    <t xml:space="preserve">NGPL NOMINATED</t>
  </si>
  <si>
    <t xml:space="preserve">LNG VAPORIZED</t>
  </si>
  <si>
    <t xml:space="preserve">MANLOVE INJECTION</t>
  </si>
  <si>
    <t xml:space="preserve">NGPL TAP</t>
  </si>
  <si>
    <t xml:space="preserve">LNG LIQUEFACTION</t>
  </si>
  <si>
    <t xml:space="preserve">LINE 2</t>
  </si>
  <si>
    <t xml:space="preserve">LINE 1</t>
  </si>
  <si>
    <t xml:space="preserve">GROSS DELIVERIES TO MAHOMET</t>
  </si>
  <si>
    <t xml:space="preserve">MANLOVE &amp; ELWOOD ENERGY REQUIREMENTS</t>
  </si>
  <si>
    <t xml:space="preserve">NET DELIVERIES TO MAHOMET SYSTEM</t>
  </si>
  <si>
    <t xml:space="preserve">NOTE HIGHLIGHTED AREAS NEED VALUES INSERTED DAILY </t>
  </si>
  <si>
    <t xml:space="preserve">LINEPACK</t>
  </si>
  <si>
    <t xml:space="preserve">    AVAILABLE LINE PACK</t>
  </si>
  <si>
    <t xml:space="preserve">LINE SEGMENT</t>
  </si>
  <si>
    <t xml:space="preserve">MIN PSIG</t>
  </si>
  <si>
    <t xml:space="preserve">MAX PSIG</t>
  </si>
  <si>
    <t xml:space="preserve">AVG</t>
  </si>
  <si>
    <t xml:space="preserve">FACTOR</t>
  </si>
  <si>
    <t xml:space="preserve">IN MMCF</t>
  </si>
  <si>
    <t xml:space="preserve">OUT MMCF</t>
  </si>
  <si>
    <t xml:space="preserve">LINE 1 MS-73</t>
  </si>
  <si>
    <t xml:space="preserve">LINE 1 MF-MS</t>
  </si>
  <si>
    <t xml:space="preserve">LINE 2 MS-CM</t>
  </si>
  <si>
    <t xml:space="preserve">LINE 2 MF-MS</t>
  </si>
  <si>
    <t xml:space="preserve">TOTAL</t>
  </si>
  <si>
    <t xml:space="preserve">CRAWFORD LP </t>
  </si>
  <si>
    <t xml:space="preserve">73 RD STREET</t>
  </si>
  <si>
    <t xml:space="preserve">112 TH &amp; 138 TH STREET</t>
  </si>
  <si>
    <t xml:space="preserve">REPUBLIC (LTV)2</t>
  </si>
  <si>
    <t xml:space="preserve">MAHOMET TOTALS</t>
  </si>
  <si>
    <t xml:space="preserve">US STEEL &amp; ACME STEEL</t>
  </si>
  <si>
    <t xml:space="preserve">126th &amp; SAGINAW (FORD)</t>
  </si>
  <si>
    <t xml:space="preserve">131 ST &amp; BELL RD.  (PERC)</t>
  </si>
  <si>
    <t xml:space="preserve">NORTHERN BORDER</t>
  </si>
  <si>
    <t xml:space="preserve">LINEPACK IN </t>
  </si>
  <si>
    <t xml:space="preserve">TOTAL MAHOMET</t>
  </si>
  <si>
    <t xml:space="preserve">CHICAGO DISTRICT</t>
  </si>
  <si>
    <t xml:space="preserve">TOTAL NGPL TAKES</t>
  </si>
  <si>
    <t xml:space="preserve">MANLOVE  NSG TO PGL </t>
  </si>
  <si>
    <t xml:space="preserve">MANLOVE  PGL TO NSG </t>
  </si>
  <si>
    <t xml:space="preserve">ANR NO-NOTICE (INJ)</t>
  </si>
  <si>
    <t xml:space="preserve">DSS (INJ)</t>
  </si>
  <si>
    <t xml:space="preserve">ANR NO-NOTICE (W/D)</t>
  </si>
  <si>
    <t xml:space="preserve">NSS (INJ)</t>
  </si>
  <si>
    <t xml:space="preserve">BESS (INJ)</t>
  </si>
  <si>
    <t xml:space="preserve">MW SYSTEM SUPPLY</t>
  </si>
  <si>
    <t xml:space="preserve">TGL-30 @ MIDWESTERN</t>
  </si>
  <si>
    <t xml:space="preserve">MW DISPLACEMENT</t>
  </si>
  <si>
    <t xml:space="preserve">MW Off-System Sales</t>
  </si>
  <si>
    <t xml:space="preserve">TL SYSTEM SUPPLY</t>
  </si>
  <si>
    <t xml:space="preserve">ANR DISPLACEMENT</t>
  </si>
  <si>
    <t xml:space="preserve">TEJAS/QNT</t>
  </si>
  <si>
    <t xml:space="preserve">NO-NOTICE  (INJ)</t>
  </si>
  <si>
    <t xml:space="preserve">TGL via PANHANDLE (INJ)</t>
  </si>
  <si>
    <t xml:space="preserve">NO-NOTICE  (W/D)</t>
  </si>
  <si>
    <t xml:space="preserve">TGL via PANHANDLE (WD)</t>
  </si>
  <si>
    <t xml:space="preserve">*NGPL / Manlove</t>
  </si>
  <si>
    <t xml:space="preserve">TOTAL DELIVERIES</t>
  </si>
  <si>
    <t xml:space="preserve">DELIVERY TO LNG</t>
  </si>
  <si>
    <t xml:space="preserve">BESS (W/D)</t>
  </si>
  <si>
    <t xml:space="preserve">DELIVERY TO INJ.</t>
  </si>
  <si>
    <t xml:space="preserve">DSS (W/D)</t>
  </si>
  <si>
    <t xml:space="preserve">MANLOVE INJ. TOTAL</t>
  </si>
  <si>
    <t xml:space="preserve">NSS (W/D)</t>
  </si>
  <si>
    <t xml:space="preserve">MANLOVE WITHDRAWAL</t>
  </si>
  <si>
    <t xml:space="preserve">LNG (IN)</t>
  </si>
  <si>
    <t xml:space="preserve">Northern Border Off-System Sales</t>
  </si>
  <si>
    <t xml:space="preserve">NGPL 1O"</t>
  </si>
  <si>
    <t xml:space="preserve">INJ. FUEL</t>
  </si>
  <si>
    <t xml:space="preserve">Plant &amp; Field Use</t>
  </si>
  <si>
    <t xml:space="preserve">NSG-PGL Displacement</t>
  </si>
  <si>
    <t xml:space="preserve">HIGH TEMPERATURE</t>
  </si>
  <si>
    <t xml:space="preserve">LOW TEMPERATURE</t>
  </si>
  <si>
    <t xml:space="preserve">AVERAGE TEMPERATURE</t>
  </si>
  <si>
    <t xml:space="preserve">Allegheny Gas Uasage</t>
  </si>
  <si>
    <t xml:space="preserve">AVERAGE WIND</t>
  </si>
  <si>
    <t xml:space="preserve">AVERAGE BTU </t>
  </si>
  <si>
    <t xml:space="preserve">UNION (CITGO) RFG</t>
  </si>
  <si>
    <t xml:space="preserve">* Transportation Gas - Estimated Nominations</t>
  </si>
  <si>
    <t xml:space="preserve">MOBIL RFG</t>
  </si>
  <si>
    <t xml:space="preserve">COPIES TO WEAR , GAS ACCOUNTING and GAS TRANSPORTATION (DI VALERIO)</t>
  </si>
  <si>
    <t xml:space="preserve">NSG SENDOUT:</t>
  </si>
  <si>
    <t xml:space="preserve">TONNE ROAD</t>
  </si>
  <si>
    <t xml:space="preserve">NSG LP</t>
  </si>
  <si>
    <t xml:space="preserve">Somers Rd.</t>
  </si>
  <si>
    <t xml:space="preserve">MANLOVE WITHD.</t>
  </si>
  <si>
    <t xml:space="preserve">ANR No-Notice Withdrawal</t>
  </si>
  <si>
    <t xml:space="preserve">NGPL ACTIVITY</t>
  </si>
  <si>
    <t xml:space="preserve">ANR SYSTEM SUPPLY @ Somers Rd.</t>
  </si>
  <si>
    <t xml:space="preserve">*TRANSPORTATION GAS </t>
  </si>
  <si>
    <t xml:space="preserve">TOTAL MANLOVE INJECTION</t>
  </si>
  <si>
    <t xml:space="preserve">FTS SUPPLY</t>
  </si>
  <si>
    <t xml:space="preserve">NSG MIDWESTERN ACTIVITY </t>
  </si>
  <si>
    <t xml:space="preserve">MGT INJ. @ MANLOVE</t>
  </si>
  <si>
    <t xml:space="preserve">NO-NOTICE IN</t>
  </si>
  <si>
    <t xml:space="preserve">MGT @ UNIOIN HILL</t>
  </si>
  <si>
    <t xml:space="preserve">NO-NOTICE OUT</t>
  </si>
  <si>
    <t xml:space="preserve">DSS INJECTION</t>
  </si>
  <si>
    <t xml:space="preserve">ANR ACTIVITY @ BUSSE RD.</t>
  </si>
  <si>
    <t xml:space="preserve">DSS WITHDRAWAL</t>
  </si>
  <si>
    <t xml:space="preserve">ANR INJ. @ MANLOVE</t>
  </si>
  <si>
    <t xml:space="preserve">PGL TO NSG  PGL-NGPL</t>
  </si>
  <si>
    <t xml:space="preserve">NSG-PGL ANR-ANR DISP.</t>
  </si>
  <si>
    <t xml:space="preserve">PGL TO NSG  NGPL-ANR</t>
  </si>
  <si>
    <t xml:space="preserve">ANR-50 INJECTION</t>
  </si>
  <si>
    <t xml:space="preserve">PGL TO NSG  NGPL-MGT</t>
  </si>
  <si>
    <t xml:space="preserve">ANR-50 W\DRAWAL @ BUSSE  RD.</t>
  </si>
  <si>
    <t xml:space="preserve">OFF-SYSTEM SALES</t>
  </si>
  <si>
    <t xml:space="preserve">ANR-50 W\DRAWAL @ E. JOLIET</t>
  </si>
  <si>
    <t xml:space="preserve">BESS INJECTION</t>
  </si>
  <si>
    <t xml:space="preserve">ANR-50 PGL W/D @ BUSSE RD.</t>
  </si>
  <si>
    <t xml:space="preserve">BESS WITHDRAWAL</t>
  </si>
  <si>
    <t xml:space="preserve">ANR SYSTEM SUPPLY @ E. JOLIET</t>
  </si>
  <si>
    <t xml:space="preserve">NSS INJECTION</t>
  </si>
  <si>
    <t xml:space="preserve">PGL-NSG ANR-ANR DISPLACEMENT</t>
  </si>
  <si>
    <t xml:space="preserve">NSS WITHDRAWAL</t>
  </si>
  <si>
    <t xml:space="preserve">ANR OFF-SYSTEM SALES</t>
  </si>
  <si>
    <t xml:space="preserve">ANR TO BUSSE RD.</t>
  </si>
  <si>
    <t xml:space="preserve">*TRANSPORTATION GAS - ESTIMATED NOMINATIONS</t>
  </si>
  <si>
    <t xml:space="preserve">NGPL GAS SUMMARY</t>
  </si>
  <si>
    <t xml:space="preserve">Date:</t>
  </si>
  <si>
    <t xml:space="preserve">NOTE: Imbalances began February 11, 1997</t>
  </si>
  <si>
    <t xml:space="preserve">Daily</t>
  </si>
  <si>
    <t xml:space="preserve">Accumulative</t>
  </si>
  <si>
    <t xml:space="preserve">Short</t>
  </si>
  <si>
    <t xml:space="preserve">Long</t>
  </si>
  <si>
    <t xml:space="preserve">SHORT</t>
  </si>
  <si>
    <t xml:space="preserve">LONG</t>
  </si>
  <si>
    <t xml:space="preserve">Normal</t>
  </si>
  <si>
    <t xml:space="preserve">Normal Monthly</t>
  </si>
  <si>
    <t xml:space="preserve">Normal Seasonal</t>
  </si>
  <si>
    <t xml:space="preserve">Daily Degree Day</t>
  </si>
</sst>
</file>

<file path=xl/styles.xml><?xml version="1.0" encoding="utf-8"?>
<styleSheet xmlns="http://schemas.openxmlformats.org/spreadsheetml/2006/main">
  <numFmts count="21">
    <numFmt numFmtId="164" formatCode="General"/>
    <numFmt numFmtId="165" formatCode="0"/>
    <numFmt numFmtId="166" formatCode="mm/dd/yy_)"/>
    <numFmt numFmtId="167" formatCode="[$-409]m/d/yyyy"/>
    <numFmt numFmtId="168" formatCode="0%"/>
    <numFmt numFmtId="169" formatCode="@"/>
    <numFmt numFmtId="170" formatCode="[$-409]#,##0_);\(#,##0\)"/>
    <numFmt numFmtId="171" formatCode="0.0"/>
    <numFmt numFmtId="172" formatCode="[$-409]d\-mmm"/>
    <numFmt numFmtId="173" formatCode="0.00"/>
    <numFmt numFmtId="174" formatCode="mm/dd/yy"/>
    <numFmt numFmtId="175" formatCode="0.000"/>
    <numFmt numFmtId="176" formatCode="0.000_)"/>
    <numFmt numFmtId="177" formatCode="0.0_)"/>
    <numFmt numFmtId="178" formatCode="#,##0.0_);\(#,##0.0\)"/>
    <numFmt numFmtId="179" formatCode="hh:mm:ss\ AM/PM_)"/>
    <numFmt numFmtId="180" formatCode="#,##0"/>
    <numFmt numFmtId="181" formatCode="#,##0.0"/>
    <numFmt numFmtId="182" formatCode="[$-409]#,##0.00_);[RED]\(#,##0.00\)"/>
    <numFmt numFmtId="183" formatCode="0.000;[RED]0.000"/>
    <numFmt numFmtId="184" formatCode="[$-409]h:mm\ AM/PM"/>
  </numFmts>
  <fonts count="68">
    <font>
      <sz val="12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2"/>
      <color rgb="FFFFCC00"/>
      <name val="Arial"/>
      <family val="2"/>
    </font>
    <font>
      <strike val="true"/>
      <sz val="12"/>
      <name val="Arial"/>
      <family val="2"/>
    </font>
    <font>
      <sz val="12"/>
      <color rgb="FFFF0000"/>
      <name val="Arial"/>
      <family val="2"/>
    </font>
    <font>
      <u val="single"/>
      <sz val="12"/>
      <name val="Arial"/>
      <family val="2"/>
    </font>
    <font>
      <sz val="12"/>
      <name val="Arial"/>
      <family val="2"/>
    </font>
    <font>
      <sz val="10"/>
      <name val="Arial"/>
      <family val="2"/>
    </font>
    <font>
      <b val="true"/>
      <i val="true"/>
      <sz val="10"/>
      <name val="Arial"/>
      <family val="2"/>
    </font>
    <font>
      <b val="true"/>
      <sz val="12"/>
      <color rgb="FFFF0000"/>
      <name val="Arial"/>
      <family val="2"/>
    </font>
    <font>
      <b val="true"/>
      <sz val="10"/>
      <name val="Arial"/>
      <family val="0"/>
    </font>
    <font>
      <sz val="11"/>
      <name val="Arial"/>
      <family val="2"/>
    </font>
    <font>
      <b val="true"/>
      <sz val="10"/>
      <name val="Arial"/>
      <family val="2"/>
    </font>
    <font>
      <sz val="8"/>
      <name val="Arial"/>
      <family val="2"/>
    </font>
    <font>
      <b val="true"/>
      <i val="true"/>
      <sz val="12"/>
      <name val="Arial"/>
      <family val="0"/>
    </font>
    <font>
      <b val="true"/>
      <u val="single"/>
      <sz val="10"/>
      <name val="Arial"/>
      <family val="2"/>
    </font>
    <font>
      <sz val="9"/>
      <name val="Arial"/>
      <family val="2"/>
    </font>
    <font>
      <b val="true"/>
      <sz val="11"/>
      <name val="Arial"/>
      <family val="2"/>
    </font>
    <font>
      <b val="true"/>
      <u val="single"/>
      <sz val="11"/>
      <name val="Arial"/>
      <family val="2"/>
    </font>
    <font>
      <i val="true"/>
      <sz val="11"/>
      <name val="Arial"/>
      <family val="2"/>
    </font>
    <font>
      <sz val="12"/>
      <color rgb="FFC0C0C0"/>
      <name val="Arial"/>
      <family val="2"/>
    </font>
    <font>
      <b val="true"/>
      <i val="true"/>
      <u val="single"/>
      <sz val="11"/>
      <name val="Arial"/>
      <family val="2"/>
    </font>
    <font>
      <b val="true"/>
      <sz val="12"/>
      <name val=" "/>
      <family val="0"/>
    </font>
    <font>
      <sz val="12"/>
      <name val=" "/>
      <family val="0"/>
    </font>
    <font>
      <b val="true"/>
      <sz val="14"/>
      <name val=" "/>
      <family val="0"/>
    </font>
    <font>
      <b val="true"/>
      <i val="true"/>
      <sz val="8"/>
      <name val=" "/>
      <family val="0"/>
    </font>
    <font>
      <b val="true"/>
      <i val="true"/>
      <sz val="12"/>
      <name val=" "/>
      <family val="0"/>
    </font>
    <font>
      <sz val="9"/>
      <name val=" "/>
      <family val="0"/>
    </font>
    <font>
      <b val="true"/>
      <sz val="12"/>
      <name val="Arial"/>
      <family val="2"/>
    </font>
    <font>
      <b val="true"/>
      <i val="true"/>
      <sz val="9"/>
      <name val=" "/>
      <family val="0"/>
    </font>
    <font>
      <sz val="10"/>
      <name val=" "/>
      <family val="0"/>
    </font>
    <font>
      <b val="true"/>
      <sz val="12"/>
      <name val="Arial"/>
      <family val="0"/>
    </font>
    <font>
      <sz val="8"/>
      <name val=" "/>
      <family val="0"/>
    </font>
    <font>
      <sz val="11"/>
      <name val=" "/>
      <family val="0"/>
    </font>
    <font>
      <b val="true"/>
      <sz val="8"/>
      <name val="Arial"/>
      <family val="2"/>
    </font>
    <font>
      <b val="true"/>
      <sz val="9"/>
      <name val=" "/>
      <family val="0"/>
    </font>
    <font>
      <sz val="16"/>
      <name val="Arial"/>
      <family val="0"/>
    </font>
    <font>
      <sz val="16"/>
      <name val="Arial"/>
      <family val="2"/>
    </font>
    <font>
      <b val="true"/>
      <sz val="16"/>
      <name val="Arial"/>
      <family val="2"/>
    </font>
    <font>
      <b val="true"/>
      <sz val="18"/>
      <name val="Arial"/>
      <family val="2"/>
    </font>
    <font>
      <sz val="18"/>
      <name val="Arial"/>
      <family val="2"/>
    </font>
    <font>
      <sz val="14"/>
      <name val="Arial"/>
      <family val="2"/>
    </font>
    <font>
      <b val="true"/>
      <u val="single"/>
      <sz val="16"/>
      <name val="Arial"/>
      <family val="2"/>
    </font>
    <font>
      <b val="true"/>
      <sz val="10"/>
      <name val=" "/>
      <family val="0"/>
    </font>
    <font>
      <i val="true"/>
      <sz val="12"/>
      <name val=" "/>
      <family val="0"/>
    </font>
    <font>
      <b val="true"/>
      <sz val="24"/>
      <name val="Times New Roman"/>
      <family val="0"/>
    </font>
    <font>
      <b val="true"/>
      <sz val="12"/>
      <name val="Times New Roman"/>
      <family val="0"/>
    </font>
    <font>
      <u val="single"/>
      <sz val="12"/>
      <name val="Times New Roman"/>
      <family val="0"/>
    </font>
    <font>
      <b val="true"/>
      <sz val="16"/>
      <name val="Times New Roman"/>
      <family val="1"/>
    </font>
    <font>
      <sz val="12"/>
      <color rgb="FF0000FF"/>
      <name val="Times New Roman"/>
      <family val="1"/>
    </font>
    <font>
      <sz val="9"/>
      <name val="Times New Roman"/>
      <family val="0"/>
    </font>
    <font>
      <sz val="8"/>
      <name val="Times New Roman"/>
      <family val="0"/>
    </font>
    <font>
      <b val="true"/>
      <i val="true"/>
      <u val="single"/>
      <sz val="10"/>
      <name val="Arial"/>
      <family val="2"/>
    </font>
    <font>
      <i val="true"/>
      <sz val="10"/>
      <name val="Arial"/>
      <family val="2"/>
    </font>
    <font>
      <sz val="12"/>
      <name val="Arial MT"/>
      <family val="2"/>
    </font>
    <font>
      <b val="true"/>
      <u val="single"/>
      <sz val="12"/>
      <name val="Arial"/>
      <family val="2"/>
    </font>
    <font>
      <b val="true"/>
      <u val="single"/>
      <sz val="18"/>
      <name val="Arial"/>
      <family val="2"/>
    </font>
    <font>
      <sz val="8"/>
      <name val="Arial"/>
      <family val="0"/>
    </font>
    <font>
      <b val="true"/>
      <sz val="8"/>
      <name val=" "/>
      <family val="0"/>
    </font>
    <font>
      <b val="true"/>
      <sz val="7"/>
      <name val="Arial"/>
      <family val="2"/>
    </font>
    <font>
      <i val="true"/>
      <sz val="10"/>
      <name val="Arial"/>
      <family val="0"/>
    </font>
    <font>
      <b val="true"/>
      <i val="true"/>
      <sz val="10"/>
      <name val="Arial"/>
      <family val="0"/>
    </font>
    <font>
      <sz val="10"/>
      <name val="MS Sans Serif"/>
      <family val="2"/>
    </font>
    <font>
      <b val="true"/>
      <sz val="10"/>
      <name val="MS Sans Serif"/>
      <family val="2"/>
    </font>
    <font>
      <sz val="12"/>
      <name val="MS Sans Serif"/>
      <family val="2"/>
    </font>
    <font>
      <u val="single"/>
      <sz val="10"/>
      <name val="MS Sans Serif"/>
      <family val="2"/>
    </font>
  </fonts>
  <fills count="9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FFFF"/>
        <bgColor rgb="FFFFFFCC"/>
      </patternFill>
    </fill>
    <fill>
      <patternFill patternType="solid">
        <fgColor rgb="FFC0C0C0"/>
        <bgColor rgb="FFCCCCFF"/>
      </patternFill>
    </fill>
    <fill>
      <patternFill patternType="solid">
        <fgColor rgb="FF000000"/>
        <bgColor rgb="FF003300"/>
      </patternFill>
    </fill>
    <fill>
      <patternFill patternType="solid">
        <fgColor rgb="FF0000FF"/>
        <bgColor rgb="FF0000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C0C0C0"/>
      </patternFill>
    </fill>
  </fills>
  <borders count="171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ck"/>
      <right/>
      <top style="thick"/>
      <bottom/>
      <diagonal/>
    </border>
    <border diagonalUp="false" diagonalDown="false">
      <left/>
      <right/>
      <top style="thick"/>
      <bottom/>
      <diagonal/>
    </border>
    <border diagonalUp="false" diagonalDown="false">
      <left/>
      <right style="thick"/>
      <top style="thick"/>
      <bottom/>
      <diagonal/>
    </border>
    <border diagonalUp="false" diagonalDown="false">
      <left style="thick"/>
      <right/>
      <top/>
      <bottom/>
      <diagonal/>
    </border>
    <border diagonalUp="false" diagonalDown="false">
      <left/>
      <right style="thick"/>
      <top/>
      <bottom/>
      <diagonal/>
    </border>
    <border diagonalUp="false" diagonalDown="false">
      <left style="thick"/>
      <right/>
      <top style="medium"/>
      <bottom style="double"/>
      <diagonal/>
    </border>
    <border diagonalUp="false" diagonalDown="false">
      <left/>
      <right/>
      <top style="medium"/>
      <bottom style="double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thick"/>
      <top style="medium"/>
      <bottom style="thin"/>
      <diagonal/>
    </border>
    <border diagonalUp="false" diagonalDown="false">
      <left style="thin"/>
      <right style="thick"/>
      <top/>
      <bottom/>
      <diagonal/>
    </border>
    <border diagonalUp="false" diagonalDown="false">
      <left style="thin"/>
      <right style="thick"/>
      <top/>
      <bottom style="thin"/>
      <diagonal/>
    </border>
    <border diagonalUp="false" diagonalDown="false">
      <left style="thick"/>
      <right/>
      <top style="thin"/>
      <bottom style="thick"/>
      <diagonal/>
    </border>
    <border diagonalUp="false" diagonalDown="false">
      <left/>
      <right/>
      <top style="thin"/>
      <bottom style="thick"/>
      <diagonal/>
    </border>
    <border diagonalUp="false" diagonalDown="false">
      <left style="thin"/>
      <right style="thin"/>
      <top/>
      <bottom style="thick"/>
      <diagonal/>
    </border>
    <border diagonalUp="false" diagonalDown="false">
      <left style="thin"/>
      <right style="thick"/>
      <top/>
      <bottom style="thick"/>
      <diagonal/>
    </border>
    <border diagonalUp="false" diagonalDown="false">
      <left/>
      <right/>
      <top/>
      <bottom style="thick"/>
      <diagonal/>
    </border>
    <border diagonalUp="false" diagonalDown="false">
      <left style="thick"/>
      <right/>
      <top style="thick"/>
      <bottom style="double"/>
      <diagonal/>
    </border>
    <border diagonalUp="false" diagonalDown="false">
      <left/>
      <right/>
      <top style="thick"/>
      <bottom style="double"/>
      <diagonal/>
    </border>
    <border diagonalUp="false" diagonalDown="false">
      <left style="thin"/>
      <right style="thin"/>
      <top style="thick"/>
      <bottom/>
      <diagonal/>
    </border>
    <border diagonalUp="false" diagonalDown="false">
      <left style="thin"/>
      <right style="thick"/>
      <top style="thick"/>
      <bottom/>
      <diagonal/>
    </border>
    <border diagonalUp="false" diagonalDown="false">
      <left style="thick"/>
      <right/>
      <top/>
      <bottom style="thin"/>
      <diagonal/>
    </border>
    <border diagonalUp="false" diagonalDown="false">
      <left style="thick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thick"/>
      <top/>
      <bottom style="medium"/>
      <diagonal/>
    </border>
    <border diagonalUp="false" diagonalDown="false">
      <left style="thick"/>
      <right/>
      <top style="thick"/>
      <bottom style="thick"/>
      <diagonal/>
    </border>
    <border diagonalUp="false" diagonalDown="false">
      <left/>
      <right/>
      <top style="thick"/>
      <bottom style="thick"/>
      <diagonal/>
    </border>
    <border diagonalUp="false" diagonalDown="false">
      <left style="thin"/>
      <right style="thin"/>
      <top style="thick"/>
      <bottom style="thick"/>
      <diagonal/>
    </border>
    <border diagonalUp="false" diagonalDown="false">
      <left style="thin"/>
      <right style="thick"/>
      <top style="thick"/>
      <bottom style="thick"/>
      <diagonal/>
    </border>
    <border diagonalUp="false" diagonalDown="false">
      <left style="thick"/>
      <right/>
      <top/>
      <bottom style="thick"/>
      <diagonal/>
    </border>
    <border diagonalUp="false" diagonalDown="false">
      <left style="thin"/>
      <right/>
      <top/>
      <bottom style="medium"/>
      <diagonal/>
    </border>
    <border diagonalUp="false" diagonalDown="false">
      <left style="thick"/>
      <right/>
      <top style="medium"/>
      <bottom style="thin"/>
      <diagonal/>
    </border>
    <border diagonalUp="false" diagonalDown="false">
      <left/>
      <right/>
      <top style="medium"/>
      <bottom style="thin"/>
      <diagonal/>
    </border>
    <border diagonalUp="false" diagonalDown="false">
      <left style="double"/>
      <right/>
      <top style="double"/>
      <bottom style="double"/>
      <diagonal/>
    </border>
    <border diagonalUp="false" diagonalDown="false">
      <left/>
      <right/>
      <top style="double"/>
      <bottom style="double"/>
      <diagonal/>
    </border>
    <border diagonalUp="false" diagonalDown="false">
      <left style="thin"/>
      <right/>
      <top style="double"/>
      <bottom style="double"/>
      <diagonal/>
    </border>
    <border diagonalUp="false" diagonalDown="false">
      <left style="double"/>
      <right/>
      <top/>
      <bottom/>
      <diagonal/>
    </border>
    <border diagonalUp="false" diagonalDown="false">
      <left/>
      <right/>
      <top style="thick"/>
      <bottom style="thin"/>
      <diagonal/>
    </border>
    <border diagonalUp="false" diagonalDown="false">
      <left style="thin"/>
      <right style="thin"/>
      <top style="thick"/>
      <bottom style="thin"/>
      <diagonal/>
    </border>
    <border diagonalUp="false" diagonalDown="false">
      <left/>
      <right style="thick"/>
      <top style="thick"/>
      <bottom style="thin"/>
      <diagonal/>
    </border>
    <border diagonalUp="false" diagonalDown="false">
      <left style="thick"/>
      <right/>
      <top style="thick"/>
      <bottom style="medium"/>
      <diagonal/>
    </border>
    <border diagonalUp="false" diagonalDown="false">
      <left/>
      <right/>
      <top style="thick"/>
      <bottom style="medium"/>
      <diagonal/>
    </border>
    <border diagonalUp="false" diagonalDown="false">
      <left/>
      <right style="medium"/>
      <top style="thick"/>
      <bottom style="medium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ck"/>
      <right/>
      <top style="thin"/>
      <bottom style="thin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/>
      <right style="medium"/>
      <top/>
      <bottom style="thin"/>
      <diagonal/>
    </border>
    <border diagonalUp="false" diagonalDown="false">
      <left/>
      <right style="thick"/>
      <top/>
      <bottom style="thin"/>
      <diagonal/>
    </border>
    <border diagonalUp="false" diagonalDown="false">
      <left style="thin"/>
      <right style="thick"/>
      <top style="thin"/>
      <bottom style="thin"/>
      <diagonal/>
    </border>
    <border diagonalUp="false" diagonalDown="false">
      <left style="thick"/>
      <right/>
      <top style="thin"/>
      <bottom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/>
      <right style="medium"/>
      <top/>
      <bottom/>
      <diagonal/>
    </border>
    <border diagonalUp="false" diagonalDown="false">
      <left/>
      <right style="thick"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ck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thick"/>
      <right/>
      <top style="medium"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 style="thick"/>
      <top style="medium"/>
      <bottom style="medium"/>
      <diagonal/>
    </border>
    <border diagonalUp="false" diagonalDown="false">
      <left style="thick"/>
      <right/>
      <top style="thin"/>
      <bottom style="medium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 style="thick"/>
      <right style="thin"/>
      <top style="thin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 style="thick"/>
      <right/>
      <top style="medium"/>
      <bottom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/>
      <right style="thick"/>
      <top/>
      <bottom style="medium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 style="thick"/>
      <right style="thin"/>
      <top/>
      <bottom/>
      <diagonal/>
    </border>
    <border diagonalUp="false" diagonalDown="false">
      <left style="medium"/>
      <right/>
      <top style="thin"/>
      <bottom/>
      <diagonal/>
    </border>
    <border diagonalUp="false" diagonalDown="false">
      <left/>
      <right style="medium"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ck"/>
      <top style="thin"/>
      <bottom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/>
      <right style="thick"/>
      <top style="thin"/>
      <bottom style="thick"/>
      <diagonal/>
    </border>
    <border diagonalUp="false" diagonalDown="false">
      <left style="thin"/>
      <right/>
      <top style="thick"/>
      <bottom style="thick"/>
      <diagonal/>
    </border>
    <border diagonalUp="false" diagonalDown="false">
      <left/>
      <right style="thin"/>
      <top style="thick"/>
      <bottom style="thick"/>
      <diagonal/>
    </border>
    <border diagonalUp="false" diagonalDown="false">
      <left/>
      <right style="thick"/>
      <top style="thick"/>
      <bottom style="thick"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thin"/>
      <right/>
      <top style="thick"/>
      <bottom style="thin"/>
      <diagonal/>
    </border>
    <border diagonalUp="false" diagonalDown="false">
      <left/>
      <right style="thin"/>
      <top style="thick"/>
      <bottom style="thin"/>
      <diagonal/>
    </border>
    <border diagonalUp="false" diagonalDown="false">
      <left/>
      <right style="thick"/>
      <top style="thin"/>
      <bottom style="medium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ck"/>
      <right style="thick"/>
      <top style="thin"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thin"/>
      <right style="thick"/>
      <top style="thin"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 style="thin"/>
      <right style="thick"/>
      <top style="medium"/>
      <bottom style="medium"/>
      <diagonal/>
    </border>
    <border diagonalUp="false" diagonalDown="false">
      <left/>
      <right style="thick"/>
      <top style="medium"/>
      <bottom/>
      <diagonal/>
    </border>
    <border diagonalUp="false" diagonalDown="false">
      <left/>
      <right style="thick"/>
      <top style="medium"/>
      <bottom style="thin"/>
      <diagonal/>
    </border>
    <border diagonalUp="false" diagonalDown="false">
      <left style="thin"/>
      <right style="thick"/>
      <top style="thin"/>
      <bottom style="medium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 style="thin"/>
      <top style="thin"/>
      <bottom style="thick"/>
      <diagonal/>
    </border>
    <border diagonalUp="false" diagonalDown="false">
      <left/>
      <right style="thick"/>
      <top/>
      <bottom style="thick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/>
      <right style="thin"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/>
      <top style="medium"/>
      <bottom/>
      <diagonal/>
    </border>
    <border diagonalUp="false" diagonalDown="false">
      <left style="thin"/>
      <right style="thin"/>
      <top style="medium"/>
      <bottom style="thick"/>
      <diagonal/>
    </border>
    <border diagonalUp="false" diagonalDown="false">
      <left style="thin"/>
      <right style="thick"/>
      <top style="medium"/>
      <bottom style="thick"/>
      <diagonal/>
    </border>
    <border diagonalUp="false" diagonalDown="false">
      <left style="medium"/>
      <right/>
      <top/>
      <bottom/>
      <diagonal/>
    </border>
    <border diagonalUp="false" diagonalDown="false">
      <left style="thick"/>
      <right style="medium"/>
      <top/>
      <bottom/>
      <diagonal/>
    </border>
    <border diagonalUp="false" diagonalDown="false">
      <left style="thick"/>
      <right style="medium"/>
      <top/>
      <bottom style="medium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thick"/>
      <right style="medium"/>
      <top style="medium"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medium"/>
      <bottom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 style="medium"/>
      <right/>
      <top/>
      <bottom style="thin"/>
      <diagonal/>
    </border>
    <border diagonalUp="false" diagonalDown="false">
      <left style="thick"/>
      <right style="medium"/>
      <top style="medium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ck"/>
      <right style="medium"/>
      <top/>
      <bottom style="thick"/>
      <diagonal/>
    </border>
    <border diagonalUp="false" diagonalDown="false">
      <left style="medium"/>
      <right style="thin"/>
      <top style="thin"/>
      <bottom style="thick"/>
      <diagonal/>
    </border>
    <border diagonalUp="false" diagonalDown="false">
      <left/>
      <right style="medium"/>
      <top style="thin"/>
      <bottom style="thick"/>
      <diagonal/>
    </border>
    <border diagonalUp="false" diagonalDown="false">
      <left style="thick"/>
      <right style="thick"/>
      <top style="medium"/>
      <bottom style="thin"/>
      <diagonal/>
    </border>
    <border diagonalUp="false" diagonalDown="false">
      <left style="thick"/>
      <right style="thick"/>
      <top style="medium"/>
      <bottom style="medium"/>
      <diagonal/>
    </border>
    <border diagonalUp="false" diagonalDown="false">
      <left style="thin"/>
      <right/>
      <top style="thin"/>
      <bottom style="thick"/>
      <diagonal/>
    </border>
    <border diagonalUp="false" diagonalDown="false">
      <left style="thin"/>
      <right style="thick"/>
      <top style="thin"/>
      <bottom style="thick"/>
      <diagonal/>
    </border>
    <border diagonalUp="false" diagonalDown="false">
      <left style="thick"/>
      <right style="thin"/>
      <top style="thin"/>
      <bottom style="thick"/>
      <diagonal/>
    </border>
    <border diagonalUp="false" diagonalDown="false">
      <left style="thick"/>
      <right style="thin"/>
      <top/>
      <bottom style="thin"/>
      <diagonal/>
    </border>
    <border diagonalUp="false" diagonalDown="false">
      <left style="thick"/>
      <right style="thick"/>
      <top/>
      <bottom style="medium"/>
      <diagonal/>
    </border>
    <border diagonalUp="false" diagonalDown="false">
      <left style="thick"/>
      <right style="thin"/>
      <top style="thin"/>
      <bottom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medium"/>
      <right/>
      <top style="thick"/>
      <bottom/>
      <diagonal/>
    </border>
    <border diagonalUp="false" diagonalDown="false">
      <left/>
      <right style="medium"/>
      <top style="thick"/>
      <bottom/>
      <diagonal/>
    </border>
    <border diagonalUp="false" diagonalDown="false">
      <left style="medium"/>
      <right/>
      <top style="thick"/>
      <bottom style="thick"/>
      <diagonal/>
    </border>
    <border diagonalUp="false" diagonalDown="false">
      <left/>
      <right style="medium"/>
      <top style="thick"/>
      <bottom style="thick"/>
      <diagonal/>
    </border>
    <border diagonalUp="false" diagonalDown="false">
      <left style="medium"/>
      <right/>
      <top style="thick"/>
      <bottom style="medium"/>
      <diagonal/>
    </border>
    <border diagonalUp="false" diagonalDown="false">
      <left style="dotted"/>
      <right style="medium"/>
      <top/>
      <bottom/>
      <diagonal/>
    </border>
    <border diagonalUp="false" diagonalDown="false">
      <left style="dotted"/>
      <right style="medium"/>
      <top/>
      <bottom style="thin"/>
      <diagonal/>
    </border>
    <border diagonalUp="false" diagonalDown="false">
      <left style="medium"/>
      <right style="thin"/>
      <top/>
      <bottom/>
      <diagonal/>
    </border>
    <border diagonalUp="false" diagonalDown="false">
      <left style="dotted"/>
      <right style="thick"/>
      <top/>
      <bottom style="thin"/>
      <diagonal/>
    </border>
    <border diagonalUp="false" diagonalDown="false">
      <left style="dotted"/>
      <right style="thick"/>
      <top/>
      <bottom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ck"/>
      <right style="thin"/>
      <top/>
      <bottom style="thick"/>
      <diagonal/>
    </border>
    <border diagonalUp="false" diagonalDown="false">
      <left/>
      <right style="thin"/>
      <top/>
      <bottom style="thick"/>
      <diagonal/>
    </border>
    <border diagonalUp="false" diagonalDown="false">
      <left style="dotted"/>
      <right style="medium"/>
      <top/>
      <bottom style="thick"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dashed"/>
      <top/>
      <bottom/>
      <diagonal/>
    </border>
    <border diagonalUp="false" diagonalDown="false">
      <left/>
      <right style="dashed"/>
      <top/>
      <bottom style="thin"/>
      <diagonal/>
    </border>
    <border diagonalUp="false" diagonalDown="false">
      <left/>
      <right style="dashed"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23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6" fillId="2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6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7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6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6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2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9" fillId="0" borderId="0" xfId="0" applyFont="true" applyBorder="false" applyAlignment="true" applyProtection="false">
      <alignment horizontal="center" vertical="bottom" textRotation="0" wrapText="false" indent="0" shrinkToFit="true"/>
      <protection locked="true" hidden="false"/>
    </xf>
    <xf numFmtId="164" fontId="0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1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9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9" fillId="0" borderId="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7" fillId="0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6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0" borderId="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3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3" borderId="1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3" fillId="3" borderId="1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3" fillId="3" borderId="1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9" fillId="3" borderId="1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1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1" fillId="3" borderId="1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9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9" fillId="3" borderId="1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1" fillId="3" borderId="17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1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8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8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2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3" borderId="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2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1" fillId="3" borderId="28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3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3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3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3" fontId="8" fillId="3" borderId="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8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2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8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3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3" borderId="3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4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3" fillId="3" borderId="13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3" fillId="3" borderId="14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0" fillId="3" borderId="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3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3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7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3" fillId="3" borderId="21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3" fillId="3" borderId="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4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1" fontId="13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23" fillId="3" borderId="28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1" fontId="13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3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4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3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4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4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4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3" fontId="13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3" fontId="13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13" fillId="3" borderId="3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4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4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3" fillId="3" borderId="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3" fillId="3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8" fillId="3" borderId="5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6" fillId="0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7" fillId="4" borderId="5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4" borderId="5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4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9" fillId="4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30" fillId="3" borderId="4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6" fillId="0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5" fillId="0" borderId="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5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5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1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5" fillId="0" borderId="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5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5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6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5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5" fillId="0" borderId="6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1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25" fillId="0" borderId="9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4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6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5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5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3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7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0" fillId="0" borderId="7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7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7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7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7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7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7" fillId="4" borderId="7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4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4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2" fillId="0" borderId="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7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5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4" borderId="7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5" fillId="0" borderId="6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5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2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3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8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9" fillId="4" borderId="8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9" fillId="4" borderId="8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7" fontId="25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8" fontId="25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31" fillId="4" borderId="3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1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8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9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9" fillId="4" borderId="7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9" fillId="4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5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8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5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5" fillId="3" borderId="8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5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4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4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8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7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7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7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6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8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7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5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7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4" borderId="6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4" borderId="8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4" borderId="7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4" borderId="8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9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5" fillId="3" borderId="6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9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9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5" fillId="3" borderId="5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5" fillId="0" borderId="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7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6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4" fillId="0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4" fillId="0" borderId="9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9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5" fillId="0" borderId="9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5" fillId="0" borderId="10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7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5" fillId="3" borderId="6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5" fillId="0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10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4" fillId="0" borderId="10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5" fillId="0" borderId="10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10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5" fillId="0" borderId="10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5" fillId="0" borderId="10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8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0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10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10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10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5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5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4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4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6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4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7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5" fillId="0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4" borderId="8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8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4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4" borderId="8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10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5" fillId="0" borderId="7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4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1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3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1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4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7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9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1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5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9" fillId="0" borderId="1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1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9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4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9" fillId="4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3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30" fillId="0" borderId="1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8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8" fillId="0" borderId="1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11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6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5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6" fontId="8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12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9" fillId="0" borderId="6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10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5" fillId="0" borderId="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5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2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12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10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2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7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6" fontId="2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25" fillId="0" borderId="15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37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8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7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9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9" fillId="4" borderId="9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9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5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5" fillId="0" borderId="1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1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5" fillId="0" borderId="1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5" fillId="3" borderId="7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9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5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5" fillId="3" borderId="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5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6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4" borderId="7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4" borderId="7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25" fillId="0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8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3" fillId="0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4" fillId="0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6" fillId="0" borderId="3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4" fillId="0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3" fillId="0" borderId="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4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3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33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4" fillId="0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8" fillId="0" borderId="6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6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4" fillId="0" borderId="1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11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0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6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8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1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4" fillId="0" borderId="1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4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1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4" fillId="0" borderId="1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4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9" fillId="0" borderId="1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4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8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8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8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1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6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0" borderId="1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0" borderId="1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0" borderId="1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0" borderId="1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2" fillId="0" borderId="1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7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1" fillId="0" borderId="1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13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3" borderId="8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3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42" fillId="0" borderId="76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38" fillId="3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8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4" borderId="1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8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2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2" fillId="0" borderId="8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8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4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2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4" borderId="1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0" fillId="4" borderId="7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1" fillId="0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42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7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38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1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39" fillId="0" borderId="8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9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8" fillId="0" borderId="1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4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4" borderId="7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4" borderId="7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4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4" borderId="7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4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43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43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8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43" fillId="0" borderId="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43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9" fillId="0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9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7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8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8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13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4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4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4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0" borderId="1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4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4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8" fillId="3" borderId="1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24" fillId="0" borderId="4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4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44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25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2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4" borderId="3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3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10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6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5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4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6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1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1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1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8" fontId="25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4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4" fillId="0" borderId="5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5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5" fillId="0" borderId="6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7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5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5" fillId="0" borderId="6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8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4" fillId="0" borderId="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5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5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5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3" borderId="5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45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9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32" fillId="0" borderId="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3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8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9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9" fillId="0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5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7" fontId="2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1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1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1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7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4" borderId="8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8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8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7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9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4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6" fillId="0" borderId="8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5" fillId="3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5" fillId="4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6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5" fillId="3" borderId="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5" fillId="0" borderId="14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4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5" fillId="0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8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6" fontId="24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8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5" fillId="3" borderId="6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5" fontId="25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32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5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5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6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9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6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1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9" fillId="5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4" fillId="0" borderId="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24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9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4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2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2" fillId="0" borderId="1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2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12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10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4" fillId="0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7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25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7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7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5" fillId="0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4" borderId="6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4" borderId="6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4" borderId="7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7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5" fillId="0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9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5" fillId="0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5" fillId="3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5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5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5" fillId="3" borderId="5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37" fillId="4" borderId="8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1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1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1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1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25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8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1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4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6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9" fillId="0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1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4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79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true" applyProtection="true">
      <alignment horizontal="left" vertical="bottom" textRotation="0" wrapText="false" indent="0" shrinkToFit="false"/>
      <protection locked="true" hidden="false"/>
    </xf>
    <xf numFmtId="180" fontId="5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2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33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4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5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4" fillId="0" borderId="9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4" fillId="0" borderId="9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4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14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4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71" fontId="14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5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55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55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7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55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34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34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2" fillId="0" borderId="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81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1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3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7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13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3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1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5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6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7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8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6" borderId="13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6" borderId="5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6" borderId="8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5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55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1" fontId="0" fillId="0" borderId="79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1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71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1" fontId="0" fillId="0" borderId="7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10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0" fillId="0" borderId="127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113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11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3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57" fillId="0" borderId="7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4" fontId="57" fillId="0" borderId="7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8" fillId="0" borderId="7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7" fillId="0" borderId="13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7" fillId="0" borderId="1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1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0" fillId="0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0" fillId="0" borderId="1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1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7" fillId="0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0" fillId="0" borderId="9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0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5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0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3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0" fillId="0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15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9" fillId="0" borderId="1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0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0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3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57" fillId="0" borderId="13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30" fillId="0" borderId="7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0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36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36" fillId="0" borderId="0" xfId="0" applyFont="true" applyBorder="false" applyAlignment="true" applyProtection="false">
      <alignment horizontal="left" vertical="bottom" textRotation="0" wrapText="true" indent="0" shrinkToFit="false"/>
      <protection locked="true" hidden="false"/>
    </xf>
    <xf numFmtId="164" fontId="3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4" fontId="36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4" fontId="36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3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6" fillId="7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6" fillId="7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5" fontId="3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6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36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3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60" fillId="0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6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36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6" fillId="7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6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5" fontId="3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3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75" fontId="3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3" fontId="15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5" fontId="36" fillId="7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36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6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1" fontId="36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4" fontId="3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36" fillId="0" borderId="0" xfId="0" applyFont="true" applyBorder="false" applyAlignment="true" applyProtection="false">
      <alignment horizontal="right" vertical="bottom" textRotation="0" wrapText="true" indent="0" shrinkToFit="false"/>
      <protection locked="true" hidden="false"/>
    </xf>
    <xf numFmtId="173" fontId="3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6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1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6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6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6" fillId="7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9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6" fillId="7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36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6" fillId="7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0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5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6" fillId="0" borderId="5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36" fillId="0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9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36" fillId="7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5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5" fontId="3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4" fontId="1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12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4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9" fillId="0" borderId="1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8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3" fillId="0" borderId="7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3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1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14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33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3" fontId="9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2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14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5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4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1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1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15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9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8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8" borderId="1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0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1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9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" fillId="3" borderId="16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7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3" borderId="1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" fillId="3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6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3" fillId="3" borderId="1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2" fillId="3" borderId="1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6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1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4" fontId="3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6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6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6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6" fontId="6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6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3" fillId="0" borderId="6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6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6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70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17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worksheet" Target="worksheets/sheet17.xml"/><Relationship Id="rId20" Type="http://schemas.openxmlformats.org/officeDocument/2006/relationships/worksheet" Target="worksheets/sheet18.xml"/><Relationship Id="rId21" Type="http://schemas.openxmlformats.org/officeDocument/2006/relationships/worksheet" Target="worksheets/sheet19.xml"/><Relationship Id="rId22" Type="http://schemas.openxmlformats.org/officeDocument/2006/relationships/worksheet" Target="worksheets/sheet20.xml"/><Relationship Id="rId23" Type="http://schemas.openxmlformats.org/officeDocument/2006/relationships/worksheet" Target="worksheets/sheet21.xml"/><Relationship Id="rId24" Type="http://schemas.openxmlformats.org/officeDocument/2006/relationships/worksheet" Target="worksheets/sheet22.xml"/><Relationship Id="rId25" Type="http://schemas.openxmlformats.org/officeDocument/2006/relationships/worksheet" Target="worksheets/sheet23.xml"/><Relationship Id="rId26" Type="http://schemas.openxmlformats.org/officeDocument/2006/relationships/worksheet" Target="worksheets/sheet24.xml"/><Relationship Id="rId27" Type="http://schemas.openxmlformats.org/officeDocument/2006/relationships/worksheet" Target="worksheets/sheet25.xml"/><Relationship Id="rId28" Type="http://schemas.openxmlformats.org/officeDocument/2006/relationships/worksheet" Target="worksheets/sheet26.xml"/><Relationship Id="rId29" Type="http://schemas.openxmlformats.org/officeDocument/2006/relationships/worksheet" Target="worksheets/sheet27.xml"/><Relationship Id="rId30" Type="http://schemas.openxmlformats.org/officeDocument/2006/relationships/worksheet" Target="worksheets/sheet28.xml"/><Relationship Id="rId31" Type="http://schemas.openxmlformats.org/officeDocument/2006/relationships/worksheet" Target="worksheets/sheet29.xml"/><Relationship Id="rId32" Type="http://schemas.openxmlformats.org/officeDocument/2006/relationships/worksheet" Target="worksheets/sheet30.xml"/><Relationship Id="rId33" Type="http://schemas.openxmlformats.org/officeDocument/2006/relationships/worksheet" Target="worksheets/sheet31.xml"/><Relationship Id="rId34" Type="http://schemas.openxmlformats.org/officeDocument/2006/relationships/worksheet" Target="worksheets/sheet32.xml"/><Relationship Id="rId35" Type="http://schemas.openxmlformats.org/officeDocument/2006/relationships/worksheet" Target="worksheets/sheet33.xml"/><Relationship Id="rId36" Type="http://schemas.openxmlformats.org/officeDocument/2006/relationships/sharedStrings" Target="sharedStrings.xml"/>
</Relationships>
</file>

<file path=xl/ctrlProps/ctrlProps10.xml><?xml version="1.0" encoding="utf-8"?>
<formControlPr xmlns="http://schemas.microsoft.com/office/spreadsheetml/2009/9/main" objectType="Button" lockText="1"/>
</file>

<file path=xl/ctrlProps/ctrlProps11.xml><?xml version="1.0" encoding="utf-8"?>
<formControlPr xmlns="http://schemas.microsoft.com/office/spreadsheetml/2009/9/main" objectType="Button" lockText="1"/>
</file>

<file path=xl/ctrlProps/ctrlProps12.xml><?xml version="1.0" encoding="utf-8"?>
<formControlPr xmlns="http://schemas.microsoft.com/office/spreadsheetml/2009/9/main" objectType="Button" lockText="1"/>
</file>

<file path=xl/ctrlProps/ctrlProps13.xml><?xml version="1.0" encoding="utf-8"?>
<formControlPr xmlns="http://schemas.microsoft.com/office/spreadsheetml/2009/9/main" objectType="Button" lockText="1"/>
</file>

<file path=xl/ctrlProps/ctrlProps14.xml><?xml version="1.0" encoding="utf-8"?>
<formControlPr xmlns="http://schemas.microsoft.com/office/spreadsheetml/2009/9/main" objectType="Button" lockText="1"/>
</file>

<file path=xl/ctrlProps/ctrlProps15.xml><?xml version="1.0" encoding="utf-8"?>
<formControlPr xmlns="http://schemas.microsoft.com/office/spreadsheetml/2009/9/main" objectType="Button" lockText="1"/>
</file>

<file path=xl/ctrlProps/ctrlProps2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Button" lockText="1"/>
</file>

<file path=xl/ctrlProps/ctrlProps9.xml><?xml version="1.0" encoding="utf-8"?>
<formControlPr xmlns="http://schemas.microsoft.com/office/spreadsheetml/2009/9/main" objectType="Button" lockText="1"/>
</file>

<file path=xl/drawings/_rels/drawing17.xml.rels><?xml version="1.0" encoding="UTF-8"?>
<Relationships xmlns="http://schemas.openxmlformats.org/package/2006/relationships"><Relationship Id="rId1" Type="http://schemas.openxmlformats.org/officeDocument/2006/relationships/image" Target="../media/image1.wmf"/><Relationship Id="rId2" Type="http://schemas.openxmlformats.org/officeDocument/2006/relationships/image" Target="../media/image2.wmf"/><Relationship Id="rId3" Type="http://schemas.openxmlformats.org/officeDocument/2006/relationships/image" Target="../media/image3.wmf"/><Relationship Id="rId4" Type="http://schemas.openxmlformats.org/officeDocument/2006/relationships/image" Target="../media/image4.wmf"/><Relationship Id="rId5" Type="http://schemas.openxmlformats.org/officeDocument/2006/relationships/image" Target="../media/image5.wmf"/><Relationship Id="rId6" Type="http://schemas.openxmlformats.org/officeDocument/2006/relationships/image" Target="../media/image6.wmf"/><Relationship Id="rId7" Type="http://schemas.openxmlformats.org/officeDocument/2006/relationships/image" Target="../media/image1.wmf"/><Relationship Id="rId8" Type="http://schemas.openxmlformats.org/officeDocument/2006/relationships/image" Target="../media/image7.wmf"/><Relationship Id="rId9" Type="http://schemas.openxmlformats.org/officeDocument/2006/relationships/image" Target="../media/image3.wmf"/><Relationship Id="rId10" Type="http://schemas.openxmlformats.org/officeDocument/2006/relationships/image" Target="../media/image4.wmf"/><Relationship Id="rId11" Type="http://schemas.openxmlformats.org/officeDocument/2006/relationships/image" Target="../media/image5.wmf"/><Relationship Id="rId12" Type="http://schemas.openxmlformats.org/officeDocument/2006/relationships/image" Target="../media/image8.wmf"/><Relationship Id="rId13" Type="http://schemas.openxmlformats.org/officeDocument/2006/relationships/image" Target="../media/image1.wmf"/><Relationship Id="rId14" Type="http://schemas.openxmlformats.org/officeDocument/2006/relationships/image" Target="../media/image9.wmf"/><Relationship Id="rId15" Type="http://schemas.openxmlformats.org/officeDocument/2006/relationships/image" Target="../media/image4.wmf"/><Relationship Id="rId16" Type="http://schemas.openxmlformats.org/officeDocument/2006/relationships/image" Target="../media/image5.wmf"/><Relationship Id="rId17" Type="http://schemas.openxmlformats.org/officeDocument/2006/relationships/image" Target="../media/image10.wmf"/><Relationship Id="rId18" Type="http://schemas.openxmlformats.org/officeDocument/2006/relationships/image" Target="../media/image11.wmf"/><Relationship Id="rId19" Type="http://schemas.openxmlformats.org/officeDocument/2006/relationships/image" Target="../media/image9.wmf"/><Relationship Id="rId20" Type="http://schemas.openxmlformats.org/officeDocument/2006/relationships/image" Target="../media/image4.wmf"/><Relationship Id="rId21" Type="http://schemas.openxmlformats.org/officeDocument/2006/relationships/image" Target="../media/image5.wmf"/><Relationship Id="rId22" Type="http://schemas.openxmlformats.org/officeDocument/2006/relationships/image" Target="../media/image8.wmf"/><Relationship Id="rId23" Type="http://schemas.openxmlformats.org/officeDocument/2006/relationships/image" Target="../media/image3.wmf"/><Relationship Id="rId24" Type="http://schemas.openxmlformats.org/officeDocument/2006/relationships/image" Target="../media/image1.wmf"/><Relationship Id="rId25" Type="http://schemas.openxmlformats.org/officeDocument/2006/relationships/image" Target="../media/image12.wmf"/><Relationship Id="rId26" Type="http://schemas.openxmlformats.org/officeDocument/2006/relationships/image" Target="../media/image13.wmf"/><Relationship Id="rId27" Type="http://schemas.openxmlformats.org/officeDocument/2006/relationships/image" Target="../media/image13.wmf"/><Relationship Id="rId28" Type="http://schemas.openxmlformats.org/officeDocument/2006/relationships/image" Target="../media/image14.wmf"/><Relationship Id="rId29" Type="http://schemas.openxmlformats.org/officeDocument/2006/relationships/image" Target="../media/image14.wmf"/><Relationship Id="rId30" Type="http://schemas.openxmlformats.org/officeDocument/2006/relationships/image" Target="../media/image14.wmf"/>
</Relationships>
</file>

<file path=xl/drawings/drawing1.xml><?xml version="1.0" encoding="UTF-8" standalone="yes"?>
<xdr:wsDr xmlns:xdr="http://schemas.openxmlformats.org/drawingml/2006/spreadsheetDrawing" xmlns:a="http://schemas.openxmlformats.org/drawingml/2006/main" xmlns:r="http://schemas.openxmlformats.org/officeDocument/2006/relationships"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4</xdr:row><xdr:rowOff>0</xdr:rowOff></xdr:from><xdr:to><xdr:col>4</xdr:col><xdr:colOff>535320</xdr:colOff><xdr:row>6</xdr:row><xdr:rowOff>75960</xdr:rowOff></xdr:to><xdr:sp><xdr:nvSpPr><xdr:cNvPr id="1001" name="Button 10" descr="Print all 3 sheets of the 6 Day" hidden="0"/><xdr:cNvSpPr/></xdr:nvSpPr><xdr:spPr><a:xfrm><a:off x="0" y="0"/><a:ext cx="0" cy="0"/></a:xfrm><a:prstGeom prst="rect"><a:avLst/></a:prstGeom></xdr:spPr><xdr:txBody><a:bodyPr anchor="ctr"><a:noAutofit/></a:bodyPr><a:p><a:r><a:t>Print all 3 sheets of the 6 Day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4</xdr:row><xdr:rowOff>0</xdr:rowOff></xdr:from><xdr:to><xdr:col>6</xdr:col><xdr:colOff>527040</xdr:colOff><xdr:row>6</xdr:row><xdr:rowOff>85680</xdr:rowOff></xdr:to><xdr:sp><xdr:nvSpPr><xdr:cNvPr id="1002" name="Button 11" descr="Create Sheet for New Day" hidden="0"/><xdr:cNvSpPr/></xdr:nvSpPr><xdr:spPr><a:xfrm><a:off x="0" y="0"/><a:ext cx="0" cy="0"/></a:xfrm><a:prstGeom prst="rect"><a:avLst/></a:prstGeom></xdr:spPr><xdr:txBody><a:bodyPr anchor="ctr"><a:noAutofit/></a:bodyPr><a:p><a:r><a:t>Create Sheet for New Day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7</xdr:row><xdr:rowOff>0</xdr:rowOff></xdr:from><xdr:to><xdr:col>6</xdr:col><xdr:colOff>527040</xdr:colOff><xdr:row>9</xdr:row><xdr:rowOff>75960</xdr:rowOff></xdr:to><xdr:sp><xdr:nvSpPr><xdr:cNvPr id="1003" name="Button 12" descr="Load Another Day&apos;s Sheet" hidden="0"/><xdr:cNvSpPr/></xdr:nvSpPr><xdr:spPr><a:xfrm><a:off x="0" y="0"/><a:ext cx="0" cy="0"/></a:xfrm><a:prstGeom prst="rect"><a:avLst/></a:prstGeom></xdr:spPr><xdr:txBody><a:bodyPr anchor="ctr"><a:noAutofit/></a:bodyPr><a:p><a:r><a:t>Load Another Day's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7</xdr:row><xdr:rowOff>0</xdr:rowOff></xdr:from><xdr:to><xdr:col>4</xdr:col><xdr:colOff>535320</xdr:colOff><xdr:row>9</xdr:row><xdr:rowOff>75960</xdr:rowOff></xdr:to><xdr:sp><xdr:nvSpPr><xdr:cNvPr id="1004" name="Button 13" descr="Print PGL &amp; NSG 6-Day sheets" hidden="0"/><xdr:cNvSpPr/></xdr:nvSpPr><xdr:spPr><a:xfrm><a:off x="0" y="0"/><a:ext cx="0" cy="0"/></a:xfrm><a:prstGeom prst="rect"><a:avLst/></a:prstGeom></xdr:spPr><xdr:txBody><a:bodyPr anchor="ctr"><a:noAutofit/></a:bodyPr><a:p><a:r><a:t>Print PGL & NSG 6-Day sheets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10</xdr:row><xdr:rowOff>0</xdr:rowOff></xdr:from><xdr:to><xdr:col>4</xdr:col><xdr:colOff>535320</xdr:colOff><xdr:row>12</xdr:row><xdr:rowOff>75960</xdr:rowOff></xdr:to><xdr:sp><xdr:nvSpPr><xdr:cNvPr id="1005" name="Button 14" descr="Print 6-Day Summary Sheet" hidden="0"/><xdr:cNvSpPr/></xdr:nvSpPr><xdr:spPr><a:xfrm><a:off x="0" y="0"/><a:ext cx="0" cy="0"/></a:xfrm><a:prstGeom prst="rect"><a:avLst/></a:prstGeom></xdr:spPr><xdr:txBody><a:bodyPr anchor="ctr"><a:noAutofit/></a:bodyPr><a:p><a:r><a:t>Print 6-Day Summary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10</xdr:row><xdr:rowOff>0</xdr:rowOff></xdr:from><xdr:to><xdr:col>6</xdr:col><xdr:colOff>536760</xdr:colOff><xdr:row>12</xdr:row><xdr:rowOff>75960</xdr:rowOff></xdr:to><xdr:sp><xdr:nvSpPr><xdr:cNvPr id="1006" name="Button 15" descr="Print &#10;NGPL Forecast" hidden="0"/><xdr:cNvSpPr/></xdr:nvSpPr><xdr:spPr><a:xfrm><a:off x="0" y="0"/><a:ext cx="0" cy="0"/></a:xfrm><a:prstGeom prst="rect"><a:avLst/></a:prstGeom></xdr:spPr><xdr:txBody><a:bodyPr anchor="ctr"><a:noAutofit/></a:bodyPr><a:p><a:r><a:t>Print 
NGPL Forecast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9360</xdr:colOff><xdr:row>13</xdr:row><xdr:rowOff>0</xdr:rowOff></xdr:from><xdr:to><xdr:col>4</xdr:col><xdr:colOff>554040</xdr:colOff><xdr:row>15</xdr:row><xdr:rowOff>75960</xdr:rowOff></xdr:to><xdr:sp><xdr:nvSpPr><xdr:cNvPr id="1007" name="Button 17" descr="Print&#10;Gas Summaries" hidden="0"/><xdr:cNvSpPr/></xdr:nvSpPr><xdr:spPr><a:xfrm><a:off x="0" y="0"/><a:ext cx="0" cy="0"/></a:xfrm><a:prstGeom prst="rect"><a:avLst/></a:prstGeom></xdr:spPr><xdr:txBody><a:bodyPr anchor="ctr"><a:noAutofit/></a:bodyPr><a:p><a:r><a:t>Print
Gas Summaries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16</xdr:row><xdr:rowOff>0</xdr:rowOff></xdr:from><xdr:to><xdr:col>4</xdr:col><xdr:colOff>535320</xdr:colOff><xdr:row>18</xdr:row><xdr:rowOff>75960</xdr:rowOff></xdr:to><xdr:sp><xdr:nvSpPr><xdr:cNvPr id="1008" name="Button 18" descr="Copy Weather to Network" hidden="0"/><xdr:cNvSpPr/></xdr:nvSpPr><xdr:spPr><a:xfrm><a:off x="0" y="0"/><a:ext cx="0" cy="0"/></a:xfrm><a:prstGeom prst="rect"><a:avLst/></a:prstGeom></xdr:spPr><xdr:txBody><a:bodyPr anchor="ctr"><a:noAutofit/></a:bodyPr><a:p><a:r><a:t>Copy Weather to Network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27720</xdr:colOff><xdr:row>13</xdr:row><xdr:rowOff>0</xdr:rowOff></xdr:from><xdr:to><xdr:col>6</xdr:col><xdr:colOff>564480</xdr:colOff><xdr:row>15</xdr:row><xdr:rowOff>75960</xdr:rowOff></xdr:to><xdr:sp><xdr:nvSpPr><xdr:cNvPr id="1009" name="Button 19" descr="Print PGL &amp; NSG Midcon Noms" hidden="0"/><xdr:cNvSpPr/></xdr:nvSpPr><xdr:spPr><a:xfrm><a:off x="0" y="0"/><a:ext cx="0" cy="0"/></a:xfrm><a:prstGeom prst="rect"><a:avLst/></a:prstGeom></xdr:spPr><xdr:txBody><a:bodyPr anchor="ctr"><a:noAutofit/></a:bodyPr><a:p><a:r><a:t>Print PGL & NSG Midcon Noms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19</xdr:row><xdr:rowOff>0</xdr:rowOff></xdr:from><xdr:to><xdr:col>6</xdr:col><xdr:colOff>536760</xdr:colOff><xdr:row>21</xdr:row><xdr:rowOff>75960</xdr:rowOff></xdr:to><xdr:sp><xdr:nvSpPr><xdr:cNvPr id="1010" name="Button 22" descr="Print PGL&#10;Nine to Nine" hidden="0"/><xdr:cNvSpPr/></xdr:nvSpPr><xdr:spPr><a:xfrm><a:off x="0" y="0"/><a:ext cx="0" cy="0"/></a:xfrm><a:prstGeom prst="rect"><a:avLst/></a:prstGeom></xdr:spPr><xdr:txBody><a:bodyPr anchor="ctr"><a:noAutofit/></a:bodyPr><a:p><a:r><a:t>Print PGL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19</xdr:row><xdr:rowOff>28440</xdr:rowOff></xdr:from><xdr:to><xdr:col>6</xdr:col><xdr:colOff>536760</xdr:colOff><xdr:row>21</xdr:row><xdr:rowOff>105120</xdr:rowOff></xdr:to><xdr:sp><xdr:nvSpPr><xdr:cNvPr id="1011" name="Button 23" descr="Print NSG&#10;Nine to Nine" hidden="0"/><xdr:cNvSpPr/></xdr:nvSpPr><xdr:spPr><a:xfrm><a:off x="0" y="0"/><a:ext cx="0" cy="0"/></a:xfrm><a:prstGeom prst="rect"><a:avLst/></a:prstGeom></xdr:spPr><xdr:txBody><a:bodyPr anchor="ctr"><a:noAutofit/></a:bodyPr><a:p><a:r><a:t>Print NSG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16</xdr:row><xdr:rowOff>0</xdr:rowOff></xdr:from><xdr:to><xdr:col>6</xdr:col><xdr:colOff>536760</xdr:colOff><xdr:row>18</xdr:row><xdr:rowOff>75960</xdr:rowOff></xdr:to><xdr:sp><xdr:nvSpPr><xdr:cNvPr id="1012" name="Button 24" descr="Print PGL&#10;Nine to Nine" hidden="0"/><xdr:cNvSpPr/></xdr:nvSpPr><xdr:spPr><a:xfrm><a:off x="0" y="0"/><a:ext cx="0" cy="0"/></a:xfrm><a:prstGeom prst="rect"><a:avLst/></a:prstGeom></xdr:spPr><xdr:txBody><a:bodyPr anchor="ctr"><a:noAutofit/></a:bodyPr><a:p><a:r><a:t>Print PGL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19</xdr:row><xdr:rowOff>28440</xdr:rowOff></xdr:from><xdr:to><xdr:col>4</xdr:col><xdr:colOff>535320</xdr:colOff><xdr:row>21</xdr:row><xdr:rowOff>105120</xdr:rowOff></xdr:to><xdr:sp><xdr:nvSpPr><xdr:cNvPr id="1013" name="Button 27" descr="Print Billy Sheet" hidden="0"/><xdr:cNvSpPr/></xdr:nvSpPr><xdr:spPr><a:xfrm><a:off x="0" y="0"/><a:ext cx="0" cy="0"/></a:xfrm><a:prstGeom prst="rect"><a:avLst/></a:prstGeom></xdr:spPr><xdr:txBody><a:bodyPr anchor="ctr"><a:noAutofit/></a:bodyPr><a:p><a:r><a:t>Print Billy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9360</xdr:colOff><xdr:row>22</xdr:row><xdr:rowOff>104760</xdr:rowOff></xdr:from><xdr:to><xdr:col>4</xdr:col><xdr:colOff>544320</xdr:colOff><xdr:row>24</xdr:row><xdr:rowOff>180720</xdr:rowOff></xdr:to><xdr:sp><xdr:nvSpPr><xdr:cNvPr id="1014" name="Button 28" descr="Print Mahomet Pipeline Graphics" hidden="0"/><xdr:cNvSpPr/></xdr:nvSpPr><xdr:spPr><a:xfrm><a:off x="0" y="0"/><a:ext cx="0" cy="0"/></a:xfrm><a:prstGeom prst="rect"><a:avLst/></a:prstGeom></xdr:spPr><xdr:txBody><a:bodyPr anchor="ctr"><a:noAutofit/></a:bodyPr><a:p><a:r><a:t>Print Mahomet Pipeline Graphics</a:t></a:r></a:p></xdr:txBody></xdr:sp><xdr:clientData/></xdr:twoCellAnchor></mc:Choice></mc:AlternateContent></xdr:wsDr>
</file>

<file path=xl/drawings/drawing1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4</xdr:row>
          <xdr:rowOff>9720</xdr:rowOff>
        </xdr:from>
        <xdr:to>
          <xdr:col>12</xdr:col>
          <xdr:colOff>0</xdr:colOff>
          <xdr:row>5</xdr:row>
          <xdr:rowOff>-9720</xdr:rowOff>
        </xdr:to>
        <xdr:sp>
          <xdr:nvSpPr>
            <xdr:cNvPr id="0" name="Drop Down 16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5</xdr:row>
          <xdr:rowOff>10080</xdr:rowOff>
        </xdr:from>
        <xdr:to>
          <xdr:col>12</xdr:col>
          <xdr:colOff>0</xdr:colOff>
          <xdr:row>6</xdr:row>
          <xdr:rowOff>-9720</xdr:rowOff>
        </xdr:to>
        <xdr:sp>
          <xdr:nvSpPr>
            <xdr:cNvPr id="0" name="Drop Down 17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6</xdr:row>
          <xdr:rowOff>10080</xdr:rowOff>
        </xdr:from>
        <xdr:to>
          <xdr:col>12</xdr:col>
          <xdr:colOff>0</xdr:colOff>
          <xdr:row>7</xdr:row>
          <xdr:rowOff>-9720</xdr:rowOff>
        </xdr:to>
        <xdr:sp>
          <xdr:nvSpPr>
            <xdr:cNvPr id="0" name="Drop Down 18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7</xdr:row>
          <xdr:rowOff>10080</xdr:rowOff>
        </xdr:from>
        <xdr:to>
          <xdr:col>12</xdr:col>
          <xdr:colOff>0</xdr:colOff>
          <xdr:row>8</xdr:row>
          <xdr:rowOff>-10080</xdr:rowOff>
        </xdr:to>
        <xdr:sp>
          <xdr:nvSpPr>
            <xdr:cNvPr id="0" name="Drop Down 19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8</xdr:row>
          <xdr:rowOff>9720</xdr:rowOff>
        </xdr:from>
        <xdr:to>
          <xdr:col>12</xdr:col>
          <xdr:colOff>0</xdr:colOff>
          <xdr:row>9</xdr:row>
          <xdr:rowOff>-10080</xdr:rowOff>
        </xdr:to>
        <xdr:sp>
          <xdr:nvSpPr>
            <xdr:cNvPr id="0" name="Drop Down 20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9</xdr:row>
          <xdr:rowOff>9720</xdr:rowOff>
        </xdr:from>
        <xdr:to>
          <xdr:col>12</xdr:col>
          <xdr:colOff>0</xdr:colOff>
          <xdr:row>10</xdr:row>
          <xdr:rowOff>-10080</xdr:rowOff>
        </xdr:to>
        <xdr:sp>
          <xdr:nvSpPr>
            <xdr:cNvPr id="0" name="Drop Down 21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</xdr:wsDr>
</file>

<file path=xl/drawings/drawing1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86</xdr:col>
      <xdr:colOff>9360</xdr:colOff>
      <xdr:row>3</xdr:row>
      <xdr:rowOff>0</xdr:rowOff>
    </xdr:from>
    <xdr:to>
      <xdr:col>107</xdr:col>
      <xdr:colOff>1080</xdr:colOff>
      <xdr:row>75</xdr:row>
      <xdr:rowOff>9360</xdr:rowOff>
    </xdr:to>
    <xdr:pic>
      <xdr:nvPicPr>
        <xdr:cNvPr id="0" name="Picture 14" descr=""/>
        <xdr:cNvPicPr/>
      </xdr:nvPicPr>
      <xdr:blipFill>
        <a:blip r:embed="rId1"/>
        <a:stretch/>
      </xdr:blipFill>
      <xdr:spPr>
        <a:xfrm>
          <a:off x="90839160" y="571680"/>
          <a:ext cx="22434480" cy="139348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8</xdr:row>
      <xdr:rowOff>0</xdr:rowOff>
    </xdr:from>
    <xdr:to>
      <xdr:col>107</xdr:col>
      <xdr:colOff>1080</xdr:colOff>
      <xdr:row>75</xdr:row>
      <xdr:rowOff>9360</xdr:rowOff>
    </xdr:to>
    <xdr:pic>
      <xdr:nvPicPr>
        <xdr:cNvPr id="1" name="Picture 15" descr=""/>
        <xdr:cNvPicPr/>
      </xdr:nvPicPr>
      <xdr:blipFill>
        <a:blip r:embed="rId2"/>
        <a:stretch/>
      </xdr:blipFill>
      <xdr:spPr>
        <a:xfrm>
          <a:off x="90839160" y="1523880"/>
          <a:ext cx="22434480" cy="129826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13</xdr:row>
      <xdr:rowOff>0</xdr:rowOff>
    </xdr:from>
    <xdr:to>
      <xdr:col>107</xdr:col>
      <xdr:colOff>1080</xdr:colOff>
      <xdr:row>75</xdr:row>
      <xdr:rowOff>9360</xdr:rowOff>
    </xdr:to>
    <xdr:pic>
      <xdr:nvPicPr>
        <xdr:cNvPr id="2" name="Picture 16" descr=""/>
        <xdr:cNvPicPr/>
      </xdr:nvPicPr>
      <xdr:blipFill>
        <a:blip r:embed="rId3"/>
        <a:stretch/>
      </xdr:blipFill>
      <xdr:spPr>
        <a:xfrm>
          <a:off x="90839160" y="2476440"/>
          <a:ext cx="22434480" cy="12030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18</xdr:row>
      <xdr:rowOff>0</xdr:rowOff>
    </xdr:from>
    <xdr:to>
      <xdr:col>107</xdr:col>
      <xdr:colOff>1080</xdr:colOff>
      <xdr:row>75</xdr:row>
      <xdr:rowOff>9360</xdr:rowOff>
    </xdr:to>
    <xdr:pic>
      <xdr:nvPicPr>
        <xdr:cNvPr id="3" name="Picture 17" descr=""/>
        <xdr:cNvPicPr/>
      </xdr:nvPicPr>
      <xdr:blipFill>
        <a:blip r:embed="rId4"/>
        <a:stretch/>
      </xdr:blipFill>
      <xdr:spPr>
        <a:xfrm>
          <a:off x="90839160" y="3429000"/>
          <a:ext cx="22434480" cy="110775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28</xdr:row>
      <xdr:rowOff>0</xdr:rowOff>
    </xdr:from>
    <xdr:to>
      <xdr:col>107</xdr:col>
      <xdr:colOff>1080</xdr:colOff>
      <xdr:row>75</xdr:row>
      <xdr:rowOff>9360</xdr:rowOff>
    </xdr:to>
    <xdr:pic>
      <xdr:nvPicPr>
        <xdr:cNvPr id="4" name="Picture 18" descr=""/>
        <xdr:cNvPicPr/>
      </xdr:nvPicPr>
      <xdr:blipFill>
        <a:blip r:embed="rId5"/>
        <a:stretch/>
      </xdr:blipFill>
      <xdr:spPr>
        <a:xfrm>
          <a:off x="90839160" y="5334120"/>
          <a:ext cx="22434480" cy="91724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23</xdr:row>
      <xdr:rowOff>0</xdr:rowOff>
    </xdr:from>
    <xdr:to>
      <xdr:col>107</xdr:col>
      <xdr:colOff>1080</xdr:colOff>
      <xdr:row>75</xdr:row>
      <xdr:rowOff>9360</xdr:rowOff>
    </xdr:to>
    <xdr:pic>
      <xdr:nvPicPr>
        <xdr:cNvPr id="5" name="Picture 19" descr=""/>
        <xdr:cNvPicPr/>
      </xdr:nvPicPr>
      <xdr:blipFill>
        <a:blip r:embed="rId6"/>
        <a:stretch/>
      </xdr:blipFill>
      <xdr:spPr>
        <a:xfrm>
          <a:off x="90839160" y="4381560"/>
          <a:ext cx="22434480" cy="10125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3</xdr:row>
      <xdr:rowOff>0</xdr:rowOff>
    </xdr:from>
    <xdr:to>
      <xdr:col>107</xdr:col>
      <xdr:colOff>1080</xdr:colOff>
      <xdr:row>75</xdr:row>
      <xdr:rowOff>9360</xdr:rowOff>
    </xdr:to>
    <xdr:pic>
      <xdr:nvPicPr>
        <xdr:cNvPr id="6" name="Picture 696" descr=""/>
        <xdr:cNvPicPr/>
      </xdr:nvPicPr>
      <xdr:blipFill>
        <a:blip r:embed="rId7"/>
        <a:stretch/>
      </xdr:blipFill>
      <xdr:spPr>
        <a:xfrm>
          <a:off x="90839160" y="571680"/>
          <a:ext cx="22434480" cy="139348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8</xdr:row>
      <xdr:rowOff>0</xdr:rowOff>
    </xdr:from>
    <xdr:to>
      <xdr:col>107</xdr:col>
      <xdr:colOff>1080</xdr:colOff>
      <xdr:row>75</xdr:row>
      <xdr:rowOff>9360</xdr:rowOff>
    </xdr:to>
    <xdr:pic>
      <xdr:nvPicPr>
        <xdr:cNvPr id="7" name="Picture 697" descr=""/>
        <xdr:cNvPicPr/>
      </xdr:nvPicPr>
      <xdr:blipFill>
        <a:blip r:embed="rId8"/>
        <a:stretch/>
      </xdr:blipFill>
      <xdr:spPr>
        <a:xfrm>
          <a:off x="90839160" y="1523880"/>
          <a:ext cx="22434480" cy="129826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13</xdr:row>
      <xdr:rowOff>0</xdr:rowOff>
    </xdr:from>
    <xdr:to>
      <xdr:col>107</xdr:col>
      <xdr:colOff>1080</xdr:colOff>
      <xdr:row>75</xdr:row>
      <xdr:rowOff>9360</xdr:rowOff>
    </xdr:to>
    <xdr:pic>
      <xdr:nvPicPr>
        <xdr:cNvPr id="8" name="Picture 698" descr=""/>
        <xdr:cNvPicPr/>
      </xdr:nvPicPr>
      <xdr:blipFill>
        <a:blip r:embed="rId9"/>
        <a:stretch/>
      </xdr:blipFill>
      <xdr:spPr>
        <a:xfrm>
          <a:off x="90839160" y="2476440"/>
          <a:ext cx="22434480" cy="12030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18</xdr:row>
      <xdr:rowOff>0</xdr:rowOff>
    </xdr:from>
    <xdr:to>
      <xdr:col>107</xdr:col>
      <xdr:colOff>1080</xdr:colOff>
      <xdr:row>75</xdr:row>
      <xdr:rowOff>9360</xdr:rowOff>
    </xdr:to>
    <xdr:pic>
      <xdr:nvPicPr>
        <xdr:cNvPr id="9" name="Picture 699" descr=""/>
        <xdr:cNvPicPr/>
      </xdr:nvPicPr>
      <xdr:blipFill>
        <a:blip r:embed="rId10"/>
        <a:stretch/>
      </xdr:blipFill>
      <xdr:spPr>
        <a:xfrm>
          <a:off x="90839160" y="3429000"/>
          <a:ext cx="22434480" cy="110775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28</xdr:row>
      <xdr:rowOff>0</xdr:rowOff>
    </xdr:from>
    <xdr:to>
      <xdr:col>107</xdr:col>
      <xdr:colOff>1080</xdr:colOff>
      <xdr:row>75</xdr:row>
      <xdr:rowOff>9360</xdr:rowOff>
    </xdr:to>
    <xdr:pic>
      <xdr:nvPicPr>
        <xdr:cNvPr id="10" name="Picture 700" descr=""/>
        <xdr:cNvPicPr/>
      </xdr:nvPicPr>
      <xdr:blipFill>
        <a:blip r:embed="rId11"/>
        <a:stretch/>
      </xdr:blipFill>
      <xdr:spPr>
        <a:xfrm>
          <a:off x="90839160" y="5334120"/>
          <a:ext cx="22434480" cy="91724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23</xdr:row>
      <xdr:rowOff>0</xdr:rowOff>
    </xdr:from>
    <xdr:to>
      <xdr:col>107</xdr:col>
      <xdr:colOff>1080</xdr:colOff>
      <xdr:row>75</xdr:row>
      <xdr:rowOff>9360</xdr:rowOff>
    </xdr:to>
    <xdr:pic>
      <xdr:nvPicPr>
        <xdr:cNvPr id="11" name="Picture 701" descr=""/>
        <xdr:cNvPicPr/>
      </xdr:nvPicPr>
      <xdr:blipFill>
        <a:blip r:embed="rId12"/>
        <a:stretch/>
      </xdr:blipFill>
      <xdr:spPr>
        <a:xfrm>
          <a:off x="90839160" y="4381560"/>
          <a:ext cx="22434480" cy="10125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3</xdr:row>
      <xdr:rowOff>0</xdr:rowOff>
    </xdr:from>
    <xdr:to>
      <xdr:col>108</xdr:col>
      <xdr:colOff>94680</xdr:colOff>
      <xdr:row>74</xdr:row>
      <xdr:rowOff>190800</xdr:rowOff>
    </xdr:to>
    <xdr:pic>
      <xdr:nvPicPr>
        <xdr:cNvPr id="12" name="Picture 2683" descr=""/>
        <xdr:cNvPicPr/>
      </xdr:nvPicPr>
      <xdr:blipFill>
        <a:blip r:embed="rId13"/>
        <a:stretch/>
      </xdr:blipFill>
      <xdr:spPr>
        <a:xfrm>
          <a:off x="92124000" y="571680"/>
          <a:ext cx="22312080" cy="139161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8</xdr:row>
      <xdr:rowOff>0</xdr:rowOff>
    </xdr:from>
    <xdr:to>
      <xdr:col>108</xdr:col>
      <xdr:colOff>94680</xdr:colOff>
      <xdr:row>74</xdr:row>
      <xdr:rowOff>190800</xdr:rowOff>
    </xdr:to>
    <xdr:pic>
      <xdr:nvPicPr>
        <xdr:cNvPr id="13" name="Picture 2684" descr=""/>
        <xdr:cNvPicPr/>
      </xdr:nvPicPr>
      <xdr:blipFill>
        <a:blip r:embed="rId14"/>
        <a:stretch/>
      </xdr:blipFill>
      <xdr:spPr>
        <a:xfrm>
          <a:off x="92124000" y="1523880"/>
          <a:ext cx="22312080" cy="129639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18</xdr:row>
      <xdr:rowOff>0</xdr:rowOff>
    </xdr:from>
    <xdr:to>
      <xdr:col>108</xdr:col>
      <xdr:colOff>94680</xdr:colOff>
      <xdr:row>74</xdr:row>
      <xdr:rowOff>190800</xdr:rowOff>
    </xdr:to>
    <xdr:pic>
      <xdr:nvPicPr>
        <xdr:cNvPr id="14" name="Picture 2685" descr=""/>
        <xdr:cNvPicPr/>
      </xdr:nvPicPr>
      <xdr:blipFill>
        <a:blip r:embed="rId15"/>
        <a:stretch/>
      </xdr:blipFill>
      <xdr:spPr>
        <a:xfrm>
          <a:off x="92124000" y="3429000"/>
          <a:ext cx="22312080" cy="110588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28</xdr:row>
      <xdr:rowOff>0</xdr:rowOff>
    </xdr:from>
    <xdr:to>
      <xdr:col>108</xdr:col>
      <xdr:colOff>94680</xdr:colOff>
      <xdr:row>74</xdr:row>
      <xdr:rowOff>190800</xdr:rowOff>
    </xdr:to>
    <xdr:pic>
      <xdr:nvPicPr>
        <xdr:cNvPr id="15" name="Picture 2686" descr=""/>
        <xdr:cNvPicPr/>
      </xdr:nvPicPr>
      <xdr:blipFill>
        <a:blip r:embed="rId16"/>
        <a:stretch/>
      </xdr:blipFill>
      <xdr:spPr>
        <a:xfrm>
          <a:off x="92124000" y="5334120"/>
          <a:ext cx="22312080" cy="9153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23</xdr:row>
      <xdr:rowOff>0</xdr:rowOff>
    </xdr:from>
    <xdr:to>
      <xdr:col>108</xdr:col>
      <xdr:colOff>94680</xdr:colOff>
      <xdr:row>74</xdr:row>
      <xdr:rowOff>190800</xdr:rowOff>
    </xdr:to>
    <xdr:pic>
      <xdr:nvPicPr>
        <xdr:cNvPr id="16" name="Picture 2687" descr=""/>
        <xdr:cNvPicPr/>
      </xdr:nvPicPr>
      <xdr:blipFill>
        <a:blip r:embed="rId17"/>
        <a:stretch/>
      </xdr:blipFill>
      <xdr:spPr>
        <a:xfrm>
          <a:off x="92124000" y="4381560"/>
          <a:ext cx="22312080" cy="10106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13</xdr:row>
      <xdr:rowOff>0</xdr:rowOff>
    </xdr:from>
    <xdr:to>
      <xdr:col>108</xdr:col>
      <xdr:colOff>94680</xdr:colOff>
      <xdr:row>74</xdr:row>
      <xdr:rowOff>190800</xdr:rowOff>
    </xdr:to>
    <xdr:pic>
      <xdr:nvPicPr>
        <xdr:cNvPr id="17" name="Picture 2688" descr=""/>
        <xdr:cNvPicPr/>
      </xdr:nvPicPr>
      <xdr:blipFill>
        <a:blip r:embed="rId18"/>
        <a:stretch/>
      </xdr:blipFill>
      <xdr:spPr>
        <a:xfrm>
          <a:off x="92124000" y="2476440"/>
          <a:ext cx="22312080" cy="120114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8</xdr:row>
      <xdr:rowOff>0</xdr:rowOff>
    </xdr:from>
    <xdr:to>
      <xdr:col>108</xdr:col>
      <xdr:colOff>10440</xdr:colOff>
      <xdr:row>13</xdr:row>
      <xdr:rowOff>9720</xdr:rowOff>
    </xdr:to>
    <xdr:pic>
      <xdr:nvPicPr>
        <xdr:cNvPr id="18" name="PRTLY" descr=""/>
        <xdr:cNvPicPr/>
      </xdr:nvPicPr>
      <xdr:blipFill>
        <a:blip r:embed="rId19"/>
        <a:stretch/>
      </xdr:blipFill>
      <xdr:spPr>
        <a:xfrm>
          <a:off x="113272560" y="152388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18</xdr:row>
      <xdr:rowOff>0</xdr:rowOff>
    </xdr:from>
    <xdr:to>
      <xdr:col>108</xdr:col>
      <xdr:colOff>10440</xdr:colOff>
      <xdr:row>23</xdr:row>
      <xdr:rowOff>9720</xdr:rowOff>
    </xdr:to>
    <xdr:pic>
      <xdr:nvPicPr>
        <xdr:cNvPr id="19" name="TSTORM" descr=""/>
        <xdr:cNvPicPr/>
      </xdr:nvPicPr>
      <xdr:blipFill>
        <a:blip r:embed="rId20"/>
        <a:stretch/>
      </xdr:blipFill>
      <xdr:spPr>
        <a:xfrm>
          <a:off x="113272560" y="342900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28</xdr:row>
      <xdr:rowOff>0</xdr:rowOff>
    </xdr:from>
    <xdr:to>
      <xdr:col>108</xdr:col>
      <xdr:colOff>10440</xdr:colOff>
      <xdr:row>33</xdr:row>
      <xdr:rowOff>9360</xdr:rowOff>
    </xdr:to>
    <xdr:pic>
      <xdr:nvPicPr>
        <xdr:cNvPr id="20" name="SNOW" descr=""/>
        <xdr:cNvPicPr/>
      </xdr:nvPicPr>
      <xdr:blipFill>
        <a:blip r:embed="rId21"/>
        <a:stretch/>
      </xdr:blipFill>
      <xdr:spPr>
        <a:xfrm>
          <a:off x="113272560" y="5334120"/>
          <a:ext cx="1079280" cy="9619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23</xdr:row>
      <xdr:rowOff>0</xdr:rowOff>
    </xdr:from>
    <xdr:to>
      <xdr:col>108</xdr:col>
      <xdr:colOff>10440</xdr:colOff>
      <xdr:row>28</xdr:row>
      <xdr:rowOff>9720</xdr:rowOff>
    </xdr:to>
    <xdr:pic>
      <xdr:nvPicPr>
        <xdr:cNvPr id="21" name="SUNNY" descr=""/>
        <xdr:cNvPicPr/>
      </xdr:nvPicPr>
      <xdr:blipFill>
        <a:blip r:embed="rId22"/>
        <a:stretch/>
      </xdr:blipFill>
      <xdr:spPr>
        <a:xfrm>
          <a:off x="113272560" y="438156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13</xdr:row>
      <xdr:rowOff>0</xdr:rowOff>
    </xdr:from>
    <xdr:to>
      <xdr:col>108</xdr:col>
      <xdr:colOff>10440</xdr:colOff>
      <xdr:row>18</xdr:row>
      <xdr:rowOff>9720</xdr:rowOff>
    </xdr:to>
    <xdr:pic>
      <xdr:nvPicPr>
        <xdr:cNvPr id="22" name="RAIN" descr=""/>
        <xdr:cNvPicPr/>
      </xdr:nvPicPr>
      <xdr:blipFill>
        <a:blip r:embed="rId23"/>
        <a:stretch/>
      </xdr:blipFill>
      <xdr:spPr>
        <a:xfrm>
          <a:off x="113272560" y="247644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3</xdr:row>
      <xdr:rowOff>0</xdr:rowOff>
    </xdr:from>
    <xdr:to>
      <xdr:col>108</xdr:col>
      <xdr:colOff>10440</xdr:colOff>
      <xdr:row>8</xdr:row>
      <xdr:rowOff>9720</xdr:rowOff>
    </xdr:to>
    <xdr:pic>
      <xdr:nvPicPr>
        <xdr:cNvPr id="23" name="CLOUDY" descr=""/>
        <xdr:cNvPicPr/>
      </xdr:nvPicPr>
      <xdr:blipFill>
        <a:blip r:embed="rId24"/>
        <a:stretch/>
      </xdr:blipFill>
      <xdr:spPr>
        <a:xfrm>
          <a:off x="113272560" y="571680"/>
          <a:ext cx="1079280" cy="9619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95040</xdr:colOff>
      <xdr:row>9</xdr:row>
      <xdr:rowOff>95040</xdr:rowOff>
    </xdr:to>
    <xdr:pic>
      <xdr:nvPicPr>
        <xdr:cNvPr id="24" name="Day_1" descr=""/>
        <xdr:cNvPicPr/>
      </xdr:nvPicPr>
      <xdr:blipFill>
        <a:blip r:embed="rId25"/>
        <a:stretch/>
      </xdr:blipFill>
      <xdr:spPr>
        <a:xfrm>
          <a:off x="2221920" y="76212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3</xdr:col>
      <xdr:colOff>95040</xdr:colOff>
      <xdr:row>14</xdr:row>
      <xdr:rowOff>95400</xdr:rowOff>
    </xdr:to>
    <xdr:pic>
      <xdr:nvPicPr>
        <xdr:cNvPr id="25" name="Day_2" descr=""/>
        <xdr:cNvPicPr/>
      </xdr:nvPicPr>
      <xdr:blipFill>
        <a:blip r:embed="rId26"/>
        <a:stretch/>
      </xdr:blipFill>
      <xdr:spPr>
        <a:xfrm>
          <a:off x="2221920" y="171468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3</xdr:col>
      <xdr:colOff>95040</xdr:colOff>
      <xdr:row>19</xdr:row>
      <xdr:rowOff>95400</xdr:rowOff>
    </xdr:to>
    <xdr:pic>
      <xdr:nvPicPr>
        <xdr:cNvPr id="26" name="Day_3" descr=""/>
        <xdr:cNvPicPr/>
      </xdr:nvPicPr>
      <xdr:blipFill>
        <a:blip r:embed="rId27"/>
        <a:stretch/>
      </xdr:blipFill>
      <xdr:spPr>
        <a:xfrm>
          <a:off x="2221920" y="2666880"/>
          <a:ext cx="1163520" cy="1047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3</xdr:col>
      <xdr:colOff>95040</xdr:colOff>
      <xdr:row>24</xdr:row>
      <xdr:rowOff>95400</xdr:rowOff>
    </xdr:to>
    <xdr:pic>
      <xdr:nvPicPr>
        <xdr:cNvPr id="27" name="Day_4" descr=""/>
        <xdr:cNvPicPr/>
      </xdr:nvPicPr>
      <xdr:blipFill>
        <a:blip r:embed="rId28"/>
        <a:stretch/>
      </xdr:blipFill>
      <xdr:spPr>
        <a:xfrm>
          <a:off x="2221920" y="3619440"/>
          <a:ext cx="1163520" cy="1047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24</xdr:row>
      <xdr:rowOff>0</xdr:rowOff>
    </xdr:from>
    <xdr:to>
      <xdr:col>3</xdr:col>
      <xdr:colOff>95040</xdr:colOff>
      <xdr:row>29</xdr:row>
      <xdr:rowOff>95040</xdr:rowOff>
    </xdr:to>
    <xdr:pic>
      <xdr:nvPicPr>
        <xdr:cNvPr id="28" name="Day_5" descr=""/>
        <xdr:cNvPicPr/>
      </xdr:nvPicPr>
      <xdr:blipFill>
        <a:blip r:embed="rId29"/>
        <a:stretch/>
      </xdr:blipFill>
      <xdr:spPr>
        <a:xfrm>
          <a:off x="2221920" y="457200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3</xdr:col>
      <xdr:colOff>95040</xdr:colOff>
      <xdr:row>34</xdr:row>
      <xdr:rowOff>85680</xdr:rowOff>
    </xdr:to>
    <xdr:pic>
      <xdr:nvPicPr>
        <xdr:cNvPr id="29" name="Day_6" descr=""/>
        <xdr:cNvPicPr/>
      </xdr:nvPicPr>
      <xdr:blipFill>
        <a:blip r:embed="rId30"/>
        <a:stretch/>
      </xdr:blipFill>
      <xdr:spPr>
        <a:xfrm>
          <a:off x="2221920" y="552456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</xdr:col>
      <xdr:colOff>0</xdr:colOff>
      <xdr:row>1</xdr:row>
      <xdr:rowOff>47520</xdr:rowOff>
    </xdr:from>
    <xdr:to>
      <xdr:col>3</xdr:col>
      <xdr:colOff>720</xdr:colOff>
      <xdr:row>7</xdr:row>
      <xdr:rowOff>28440</xdr:rowOff>
    </xdr:to>
    <xdr:sp>
      <xdr:nvSpPr>
        <xdr:cNvPr id="30" name="Line 1"/>
        <xdr:cNvSpPr/>
      </xdr:nvSpPr>
      <xdr:spPr>
        <a:xfrm>
          <a:off x="2080800" y="333360"/>
          <a:ext cx="720" cy="1266840"/>
        </a:xfrm>
        <a:prstGeom prst="line">
          <a:avLst/>
        </a:prstGeom>
        <a:ln w="2844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3</xdr:row>
      <xdr:rowOff>66240</xdr:rowOff>
    </xdr:from>
    <xdr:to>
      <xdr:col>5</xdr:col>
      <xdr:colOff>720</xdr:colOff>
      <xdr:row>3</xdr:row>
      <xdr:rowOff>66240</xdr:rowOff>
    </xdr:to>
    <xdr:sp>
      <xdr:nvSpPr>
        <xdr:cNvPr id="31" name="Line 2"/>
        <xdr:cNvSpPr/>
      </xdr:nvSpPr>
      <xdr:spPr>
        <a:xfrm>
          <a:off x="2080800" y="771120"/>
          <a:ext cx="87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2</xdr:row>
      <xdr:rowOff>171000</xdr:rowOff>
    </xdr:from>
    <xdr:to>
      <xdr:col>4</xdr:col>
      <xdr:colOff>187560</xdr:colOff>
      <xdr:row>4</xdr:row>
      <xdr:rowOff>19440</xdr:rowOff>
    </xdr:to>
    <xdr:sp>
      <xdr:nvSpPr>
        <xdr:cNvPr id="32" name="Text 3"/>
        <xdr:cNvSpPr/>
      </xdr:nvSpPr>
      <xdr:spPr>
        <a:xfrm>
          <a:off x="2390400" y="666360"/>
          <a:ext cx="3747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  OPEN  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7</xdr:row>
      <xdr:rowOff>0</xdr:rowOff>
    </xdr:from>
    <xdr:to>
      <xdr:col>4</xdr:col>
      <xdr:colOff>374400</xdr:colOff>
      <xdr:row>7</xdr:row>
      <xdr:rowOff>0</xdr:rowOff>
    </xdr:to>
    <xdr:sp>
      <xdr:nvSpPr>
        <xdr:cNvPr id="33" name="Line 5"/>
        <xdr:cNvSpPr/>
      </xdr:nvSpPr>
      <xdr:spPr>
        <a:xfrm>
          <a:off x="740160" y="1571760"/>
          <a:ext cx="221184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6</xdr:row>
      <xdr:rowOff>219600</xdr:rowOff>
    </xdr:from>
    <xdr:to>
      <xdr:col>4</xdr:col>
      <xdr:colOff>262440</xdr:colOff>
      <xdr:row>8</xdr:row>
      <xdr:rowOff>65520</xdr:rowOff>
    </xdr:to>
    <xdr:sp>
      <xdr:nvSpPr>
        <xdr:cNvPr id="34" name="Text 8"/>
        <xdr:cNvSpPr/>
      </xdr:nvSpPr>
      <xdr:spPr>
        <a:xfrm>
          <a:off x="2390400" y="155304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496800</xdr:colOff>
      <xdr:row>9</xdr:row>
      <xdr:rowOff>47520</xdr:rowOff>
    </xdr:from>
    <xdr:to>
      <xdr:col>2</xdr:col>
      <xdr:colOff>131760</xdr:colOff>
      <xdr:row>10</xdr:row>
      <xdr:rowOff>86400</xdr:rowOff>
    </xdr:to>
    <xdr:sp>
      <xdr:nvSpPr>
        <xdr:cNvPr id="35" name="Text 14"/>
        <xdr:cNvSpPr/>
      </xdr:nvSpPr>
      <xdr:spPr>
        <a:xfrm>
          <a:off x="1227600" y="1986120"/>
          <a:ext cx="31968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11</xdr:row>
      <xdr:rowOff>19440</xdr:rowOff>
    </xdr:from>
    <xdr:to>
      <xdr:col>5</xdr:col>
      <xdr:colOff>19440</xdr:colOff>
      <xdr:row>11</xdr:row>
      <xdr:rowOff>19440</xdr:rowOff>
    </xdr:to>
    <xdr:sp>
      <xdr:nvSpPr>
        <xdr:cNvPr id="36" name="Line 17"/>
        <xdr:cNvSpPr/>
      </xdr:nvSpPr>
      <xdr:spPr>
        <a:xfrm>
          <a:off x="740160" y="2370240"/>
          <a:ext cx="2231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10</xdr:row>
      <xdr:rowOff>19440</xdr:rowOff>
    </xdr:from>
    <xdr:to>
      <xdr:col>4</xdr:col>
      <xdr:colOff>262440</xdr:colOff>
      <xdr:row>11</xdr:row>
      <xdr:rowOff>103320</xdr:rowOff>
    </xdr:to>
    <xdr:sp>
      <xdr:nvSpPr>
        <xdr:cNvPr id="37" name="Text 19"/>
        <xdr:cNvSpPr/>
      </xdr:nvSpPr>
      <xdr:spPr>
        <a:xfrm>
          <a:off x="2390400" y="218664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18720</xdr:colOff>
      <xdr:row>8</xdr:row>
      <xdr:rowOff>9360</xdr:rowOff>
    </xdr:from>
    <xdr:to>
      <xdr:col>3</xdr:col>
      <xdr:colOff>720</xdr:colOff>
      <xdr:row>8</xdr:row>
      <xdr:rowOff>9360</xdr:rowOff>
    </xdr:to>
    <xdr:sp>
      <xdr:nvSpPr>
        <xdr:cNvPr id="38" name="Line 21"/>
        <xdr:cNvSpPr/>
      </xdr:nvSpPr>
      <xdr:spPr>
        <a:xfrm>
          <a:off x="749520" y="1764360"/>
          <a:ext cx="1332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516240</xdr:colOff>
      <xdr:row>7</xdr:row>
      <xdr:rowOff>66600</xdr:rowOff>
    </xdr:from>
    <xdr:to>
      <xdr:col>2</xdr:col>
      <xdr:colOff>150840</xdr:colOff>
      <xdr:row>8</xdr:row>
      <xdr:rowOff>150840</xdr:rowOff>
    </xdr:to>
    <xdr:sp>
      <xdr:nvSpPr>
        <xdr:cNvPr id="39" name="Text 23"/>
        <xdr:cNvSpPr/>
      </xdr:nvSpPr>
      <xdr:spPr>
        <a:xfrm>
          <a:off x="1247040" y="1638360"/>
          <a:ext cx="3193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0</xdr:colOff>
      <xdr:row>10</xdr:row>
      <xdr:rowOff>9360</xdr:rowOff>
    </xdr:from>
    <xdr:to>
      <xdr:col>1</xdr:col>
      <xdr:colOff>720</xdr:colOff>
      <xdr:row>11</xdr:row>
      <xdr:rowOff>37800</xdr:rowOff>
    </xdr:to>
    <xdr:sp>
      <xdr:nvSpPr>
        <xdr:cNvPr id="40" name="Line 24"/>
        <xdr:cNvSpPr/>
      </xdr:nvSpPr>
      <xdr:spPr>
        <a:xfrm>
          <a:off x="730800" y="2176560"/>
          <a:ext cx="720" cy="212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20</xdr:row>
      <xdr:rowOff>0</xdr:rowOff>
    </xdr:from>
    <xdr:to>
      <xdr:col>5</xdr:col>
      <xdr:colOff>19440</xdr:colOff>
      <xdr:row>20</xdr:row>
      <xdr:rowOff>0</xdr:rowOff>
    </xdr:to>
    <xdr:sp>
      <xdr:nvSpPr>
        <xdr:cNvPr id="41" name="Line 27"/>
        <xdr:cNvSpPr/>
      </xdr:nvSpPr>
      <xdr:spPr>
        <a:xfrm>
          <a:off x="721440" y="4680720"/>
          <a:ext cx="2250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168840</xdr:colOff>
      <xdr:row>20</xdr:row>
      <xdr:rowOff>0</xdr:rowOff>
    </xdr:from>
    <xdr:to>
      <xdr:col>3</xdr:col>
      <xdr:colOff>487800</xdr:colOff>
      <xdr:row>21</xdr:row>
      <xdr:rowOff>124560</xdr:rowOff>
    </xdr:to>
    <xdr:sp>
      <xdr:nvSpPr>
        <xdr:cNvPr id="42" name="Text 28"/>
        <xdr:cNvSpPr/>
      </xdr:nvSpPr>
      <xdr:spPr>
        <a:xfrm>
          <a:off x="2249640" y="468072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19</xdr:row>
      <xdr:rowOff>9360</xdr:rowOff>
    </xdr:from>
    <xdr:to>
      <xdr:col>3</xdr:col>
      <xdr:colOff>9720</xdr:colOff>
      <xdr:row>19</xdr:row>
      <xdr:rowOff>9360</xdr:rowOff>
    </xdr:to>
    <xdr:sp>
      <xdr:nvSpPr>
        <xdr:cNvPr id="43" name="Line 29"/>
        <xdr:cNvSpPr/>
      </xdr:nvSpPr>
      <xdr:spPr>
        <a:xfrm>
          <a:off x="740160" y="4470840"/>
          <a:ext cx="1350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22</xdr:row>
      <xdr:rowOff>9720</xdr:rowOff>
    </xdr:from>
    <xdr:to>
      <xdr:col>3</xdr:col>
      <xdr:colOff>9720</xdr:colOff>
      <xdr:row>22</xdr:row>
      <xdr:rowOff>9720</xdr:rowOff>
    </xdr:to>
    <xdr:sp>
      <xdr:nvSpPr>
        <xdr:cNvPr id="44" name="Line 31"/>
        <xdr:cNvSpPr/>
      </xdr:nvSpPr>
      <xdr:spPr>
        <a:xfrm>
          <a:off x="740160" y="4975920"/>
          <a:ext cx="1350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703080</xdr:colOff>
      <xdr:row>23</xdr:row>
      <xdr:rowOff>9360</xdr:rowOff>
    </xdr:from>
    <xdr:to>
      <xdr:col>5</xdr:col>
      <xdr:colOff>720</xdr:colOff>
      <xdr:row>23</xdr:row>
      <xdr:rowOff>9360</xdr:rowOff>
    </xdr:to>
    <xdr:sp>
      <xdr:nvSpPr>
        <xdr:cNvPr id="45" name="Line 32"/>
        <xdr:cNvSpPr/>
      </xdr:nvSpPr>
      <xdr:spPr>
        <a:xfrm>
          <a:off x="703080" y="5118480"/>
          <a:ext cx="2249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168840</xdr:colOff>
      <xdr:row>22</xdr:row>
      <xdr:rowOff>28440</xdr:rowOff>
    </xdr:from>
    <xdr:to>
      <xdr:col>4</xdr:col>
      <xdr:colOff>122040</xdr:colOff>
      <xdr:row>24</xdr:row>
      <xdr:rowOff>38520</xdr:rowOff>
    </xdr:to>
    <xdr:sp>
      <xdr:nvSpPr>
        <xdr:cNvPr id="46" name="Text 36"/>
        <xdr:cNvSpPr/>
      </xdr:nvSpPr>
      <xdr:spPr>
        <a:xfrm>
          <a:off x="2249640" y="499464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9360</xdr:colOff>
      <xdr:row>25</xdr:row>
      <xdr:rowOff>171720</xdr:rowOff>
    </xdr:from>
    <xdr:to>
      <xdr:col>5</xdr:col>
      <xdr:colOff>10080</xdr:colOff>
      <xdr:row>25</xdr:row>
      <xdr:rowOff>171720</xdr:rowOff>
    </xdr:to>
    <xdr:sp>
      <xdr:nvSpPr>
        <xdr:cNvPr id="47" name="Line 37"/>
        <xdr:cNvSpPr/>
      </xdr:nvSpPr>
      <xdr:spPr>
        <a:xfrm>
          <a:off x="2090160" y="5528520"/>
          <a:ext cx="87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</xdr:row>
      <xdr:rowOff>47520</xdr:rowOff>
    </xdr:from>
    <xdr:to>
      <xdr:col>5</xdr:col>
      <xdr:colOff>0</xdr:colOff>
      <xdr:row>4</xdr:row>
      <xdr:rowOff>18720</xdr:rowOff>
    </xdr:to>
    <xdr:sp>
      <xdr:nvSpPr>
        <xdr:cNvPr id="48" name="Line 39"/>
        <xdr:cNvSpPr/>
      </xdr:nvSpPr>
      <xdr:spPr>
        <a:xfrm flipV="1">
          <a:off x="2952000" y="333360"/>
          <a:ext cx="0" cy="5997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10080</xdr:colOff>
      <xdr:row>7</xdr:row>
      <xdr:rowOff>0</xdr:rowOff>
    </xdr:to>
    <xdr:sp>
      <xdr:nvSpPr>
        <xdr:cNvPr id="49" name="Line 50"/>
        <xdr:cNvSpPr/>
      </xdr:nvSpPr>
      <xdr:spPr>
        <a:xfrm>
          <a:off x="2952000" y="1571760"/>
          <a:ext cx="1008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19</xdr:row>
      <xdr:rowOff>-360</xdr:rowOff>
    </xdr:from>
    <xdr:to>
      <xdr:col>3</xdr:col>
      <xdr:colOff>720</xdr:colOff>
      <xdr:row>20</xdr:row>
      <xdr:rowOff>9000</xdr:rowOff>
    </xdr:to>
    <xdr:sp>
      <xdr:nvSpPr>
        <xdr:cNvPr id="50" name="Line 51"/>
        <xdr:cNvSpPr/>
      </xdr:nvSpPr>
      <xdr:spPr>
        <a:xfrm flipV="1">
          <a:off x="2080800" y="4461120"/>
          <a:ext cx="720" cy="2286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18</xdr:row>
      <xdr:rowOff>104760</xdr:rowOff>
    </xdr:from>
    <xdr:to>
      <xdr:col>3</xdr:col>
      <xdr:colOff>720</xdr:colOff>
      <xdr:row>18</xdr:row>
      <xdr:rowOff>142560</xdr:rowOff>
    </xdr:to>
    <xdr:sp>
      <xdr:nvSpPr>
        <xdr:cNvPr id="51" name="Line 52"/>
        <xdr:cNvSpPr/>
      </xdr:nvSpPr>
      <xdr:spPr>
        <a:xfrm flipH="1" flipV="1">
          <a:off x="2080800" y="4423320"/>
          <a:ext cx="720" cy="3780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18</xdr:row>
      <xdr:rowOff>9720</xdr:rowOff>
    </xdr:from>
    <xdr:to>
      <xdr:col>5</xdr:col>
      <xdr:colOff>720</xdr:colOff>
      <xdr:row>19</xdr:row>
      <xdr:rowOff>18720</xdr:rowOff>
    </xdr:to>
    <xdr:sp>
      <xdr:nvSpPr>
        <xdr:cNvPr id="52" name="Line 54"/>
        <xdr:cNvSpPr/>
      </xdr:nvSpPr>
      <xdr:spPr>
        <a:xfrm flipV="1">
          <a:off x="2952000" y="4328280"/>
          <a:ext cx="720" cy="15192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18</xdr:row>
      <xdr:rowOff>-360</xdr:rowOff>
    </xdr:from>
    <xdr:to>
      <xdr:col>3</xdr:col>
      <xdr:colOff>720</xdr:colOff>
      <xdr:row>18</xdr:row>
      <xdr:rowOff>142560</xdr:rowOff>
    </xdr:to>
    <xdr:sp>
      <xdr:nvSpPr>
        <xdr:cNvPr id="53" name="Line 55"/>
        <xdr:cNvSpPr/>
      </xdr:nvSpPr>
      <xdr:spPr>
        <a:xfrm flipV="1">
          <a:off x="2080800" y="4318200"/>
          <a:ext cx="720" cy="14292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720</xdr:colOff>
      <xdr:row>18</xdr:row>
      <xdr:rowOff>86040</xdr:rowOff>
    </xdr:to>
    <xdr:sp>
      <xdr:nvSpPr>
        <xdr:cNvPr id="54" name="Line 68"/>
        <xdr:cNvSpPr/>
      </xdr:nvSpPr>
      <xdr:spPr>
        <a:xfrm>
          <a:off x="2952000" y="4318560"/>
          <a:ext cx="720" cy="8604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19</xdr:row>
      <xdr:rowOff>161640</xdr:rowOff>
    </xdr:from>
    <xdr:to>
      <xdr:col>3</xdr:col>
      <xdr:colOff>720</xdr:colOff>
      <xdr:row>25</xdr:row>
      <xdr:rowOff>181080</xdr:rowOff>
    </xdr:to>
    <xdr:sp>
      <xdr:nvSpPr>
        <xdr:cNvPr id="55" name="Line 80"/>
        <xdr:cNvSpPr/>
      </xdr:nvSpPr>
      <xdr:spPr>
        <a:xfrm>
          <a:off x="2080800" y="4623120"/>
          <a:ext cx="720" cy="9147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19</xdr:row>
      <xdr:rowOff>171360</xdr:rowOff>
    </xdr:from>
    <xdr:to>
      <xdr:col>5</xdr:col>
      <xdr:colOff>720</xdr:colOff>
      <xdr:row>26</xdr:row>
      <xdr:rowOff>9360</xdr:rowOff>
    </xdr:to>
    <xdr:sp>
      <xdr:nvSpPr>
        <xdr:cNvPr id="56" name="Line 81"/>
        <xdr:cNvSpPr/>
      </xdr:nvSpPr>
      <xdr:spPr>
        <a:xfrm>
          <a:off x="2952000" y="4632840"/>
          <a:ext cx="720" cy="9144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4</xdr:row>
      <xdr:rowOff>9720</xdr:rowOff>
    </xdr:from>
    <xdr:to>
      <xdr:col>5</xdr:col>
      <xdr:colOff>720</xdr:colOff>
      <xdr:row>9</xdr:row>
      <xdr:rowOff>9720</xdr:rowOff>
    </xdr:to>
    <xdr:sp>
      <xdr:nvSpPr>
        <xdr:cNvPr id="57" name="Line 83"/>
        <xdr:cNvSpPr/>
      </xdr:nvSpPr>
      <xdr:spPr>
        <a:xfrm>
          <a:off x="2952000" y="924120"/>
          <a:ext cx="720" cy="1024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8</xdr:row>
      <xdr:rowOff>124200</xdr:rowOff>
    </xdr:from>
    <xdr:to>
      <xdr:col>3</xdr:col>
      <xdr:colOff>720</xdr:colOff>
      <xdr:row>11</xdr:row>
      <xdr:rowOff>183600</xdr:rowOff>
    </xdr:to>
    <xdr:sp>
      <xdr:nvSpPr>
        <xdr:cNvPr id="58" name="Line 96"/>
        <xdr:cNvSpPr/>
      </xdr:nvSpPr>
      <xdr:spPr>
        <a:xfrm>
          <a:off x="2080800" y="1879200"/>
          <a:ext cx="720" cy="655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8</xdr:row>
      <xdr:rowOff>181440</xdr:rowOff>
    </xdr:from>
    <xdr:to>
      <xdr:col>5</xdr:col>
      <xdr:colOff>720</xdr:colOff>
      <xdr:row>15</xdr:row>
      <xdr:rowOff>19080</xdr:rowOff>
    </xdr:to>
    <xdr:sp>
      <xdr:nvSpPr>
        <xdr:cNvPr id="59" name="Line 97"/>
        <xdr:cNvSpPr/>
      </xdr:nvSpPr>
      <xdr:spPr>
        <a:xfrm>
          <a:off x="2952000" y="1936440"/>
          <a:ext cx="720" cy="11822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93600</xdr:colOff>
      <xdr:row>34</xdr:row>
      <xdr:rowOff>0</xdr:rowOff>
    </xdr:from>
    <xdr:to>
      <xdr:col>4</xdr:col>
      <xdr:colOff>187560</xdr:colOff>
      <xdr:row>35</xdr:row>
      <xdr:rowOff>86040</xdr:rowOff>
    </xdr:to>
    <xdr:sp>
      <xdr:nvSpPr>
        <xdr:cNvPr id="60" name="Text 108"/>
        <xdr:cNvSpPr/>
      </xdr:nvSpPr>
      <xdr:spPr>
        <a:xfrm>
          <a:off x="2671200" y="6671160"/>
          <a:ext cx="93960" cy="2289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372600</xdr:colOff>
      <xdr:row>18</xdr:row>
      <xdr:rowOff>132480</xdr:rowOff>
    </xdr:from>
    <xdr:to>
      <xdr:col>5</xdr:col>
      <xdr:colOff>2520</xdr:colOff>
      <xdr:row>19</xdr:row>
      <xdr:rowOff>218880</xdr:rowOff>
    </xdr:to>
    <xdr:sp>
      <xdr:nvSpPr>
        <xdr:cNvPr id="61" name="Line 117"/>
        <xdr:cNvSpPr/>
      </xdr:nvSpPr>
      <xdr:spPr>
        <a:xfrm>
          <a:off x="2950200" y="4451040"/>
          <a:ext cx="4320" cy="22932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20</xdr:row>
      <xdr:rowOff>76320</xdr:rowOff>
    </xdr:from>
    <xdr:to>
      <xdr:col>3</xdr:col>
      <xdr:colOff>720</xdr:colOff>
      <xdr:row>21</xdr:row>
      <xdr:rowOff>114120</xdr:rowOff>
    </xdr:to>
    <xdr:sp>
      <xdr:nvSpPr>
        <xdr:cNvPr id="62" name="Line 118"/>
        <xdr:cNvSpPr/>
      </xdr:nvSpPr>
      <xdr:spPr>
        <a:xfrm flipV="1">
          <a:off x="2080800" y="4757040"/>
          <a:ext cx="720" cy="18072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372240</xdr:colOff>
      <xdr:row>7</xdr:row>
      <xdr:rowOff>-360</xdr:rowOff>
    </xdr:from>
    <xdr:to>
      <xdr:col>5</xdr:col>
      <xdr:colOff>12240</xdr:colOff>
      <xdr:row>7</xdr:row>
      <xdr:rowOff>182880</xdr:rowOff>
    </xdr:to>
    <xdr:sp>
      <xdr:nvSpPr>
        <xdr:cNvPr id="63" name="Line 119"/>
        <xdr:cNvSpPr/>
      </xdr:nvSpPr>
      <xdr:spPr>
        <a:xfrm flipH="1" flipV="1">
          <a:off x="2949840" y="1571400"/>
          <a:ext cx="14400" cy="18324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9720</xdr:colOff>
      <xdr:row>7</xdr:row>
      <xdr:rowOff>104400</xdr:rowOff>
    </xdr:to>
    <xdr:sp>
      <xdr:nvSpPr>
        <xdr:cNvPr id="64" name="Line 120"/>
        <xdr:cNvSpPr/>
      </xdr:nvSpPr>
      <xdr:spPr>
        <a:xfrm flipV="1">
          <a:off x="2080800" y="1571760"/>
          <a:ext cx="9720" cy="10440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720</xdr:colOff>
      <xdr:row>9</xdr:row>
      <xdr:rowOff>9720</xdr:rowOff>
    </xdr:to>
    <xdr:sp>
      <xdr:nvSpPr>
        <xdr:cNvPr id="65" name="Line 129"/>
        <xdr:cNvSpPr/>
      </xdr:nvSpPr>
      <xdr:spPr>
        <a:xfrm>
          <a:off x="730800" y="1755000"/>
          <a:ext cx="720" cy="1933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37800</xdr:colOff>
      <xdr:row>8</xdr:row>
      <xdr:rowOff>181440</xdr:rowOff>
    </xdr:from>
    <xdr:to>
      <xdr:col>1</xdr:col>
      <xdr:colOff>28800</xdr:colOff>
      <xdr:row>8</xdr:row>
      <xdr:rowOff>183600</xdr:rowOff>
    </xdr:to>
    <xdr:sp>
      <xdr:nvSpPr>
        <xdr:cNvPr id="66" name="Line 133"/>
        <xdr:cNvSpPr/>
      </xdr:nvSpPr>
      <xdr:spPr>
        <a:xfrm flipV="1">
          <a:off x="37800" y="1936440"/>
          <a:ext cx="721800" cy="21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37800</xdr:colOff>
      <xdr:row>11</xdr:row>
      <xdr:rowOff>19440</xdr:rowOff>
    </xdr:from>
    <xdr:to>
      <xdr:col>0</xdr:col>
      <xdr:colOff>722160</xdr:colOff>
      <xdr:row>11</xdr:row>
      <xdr:rowOff>19440</xdr:rowOff>
    </xdr:to>
    <xdr:sp>
      <xdr:nvSpPr>
        <xdr:cNvPr id="67" name="Line 134"/>
        <xdr:cNvSpPr/>
      </xdr:nvSpPr>
      <xdr:spPr>
        <a:xfrm>
          <a:off x="37800" y="2370240"/>
          <a:ext cx="684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20</xdr:row>
      <xdr:rowOff>0</xdr:rowOff>
    </xdr:from>
    <xdr:to>
      <xdr:col>1</xdr:col>
      <xdr:colOff>19440</xdr:colOff>
      <xdr:row>20</xdr:row>
      <xdr:rowOff>0</xdr:rowOff>
    </xdr:to>
    <xdr:sp>
      <xdr:nvSpPr>
        <xdr:cNvPr id="68" name="Line 135"/>
        <xdr:cNvSpPr/>
      </xdr:nvSpPr>
      <xdr:spPr>
        <a:xfrm>
          <a:off x="9360" y="4680720"/>
          <a:ext cx="7408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23</xdr:row>
      <xdr:rowOff>9360</xdr:rowOff>
    </xdr:from>
    <xdr:to>
      <xdr:col>0</xdr:col>
      <xdr:colOff>703080</xdr:colOff>
      <xdr:row>23</xdr:row>
      <xdr:rowOff>9360</xdr:rowOff>
    </xdr:to>
    <xdr:sp>
      <xdr:nvSpPr>
        <xdr:cNvPr id="69" name="Line 136"/>
        <xdr:cNvSpPr/>
      </xdr:nvSpPr>
      <xdr:spPr>
        <a:xfrm>
          <a:off x="18720" y="5118480"/>
          <a:ext cx="684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7</xdr:row>
      <xdr:rowOff>0</xdr:rowOff>
    </xdr:from>
    <xdr:to>
      <xdr:col>1</xdr:col>
      <xdr:colOff>10080</xdr:colOff>
      <xdr:row>7</xdr:row>
      <xdr:rowOff>0</xdr:rowOff>
    </xdr:to>
    <xdr:sp>
      <xdr:nvSpPr>
        <xdr:cNvPr id="70" name="Line 137"/>
        <xdr:cNvSpPr/>
      </xdr:nvSpPr>
      <xdr:spPr>
        <a:xfrm>
          <a:off x="9360" y="1571760"/>
          <a:ext cx="7315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11</xdr:row>
      <xdr:rowOff>162000</xdr:rowOff>
    </xdr:from>
    <xdr:to>
      <xdr:col>3</xdr:col>
      <xdr:colOff>720</xdr:colOff>
      <xdr:row>15</xdr:row>
      <xdr:rowOff>27360</xdr:rowOff>
    </xdr:to>
    <xdr:sp>
      <xdr:nvSpPr>
        <xdr:cNvPr id="71" name="Line 145"/>
        <xdr:cNvSpPr/>
      </xdr:nvSpPr>
      <xdr:spPr>
        <a:xfrm>
          <a:off x="2080800" y="2512800"/>
          <a:ext cx="720" cy="6141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18720</xdr:colOff>
      <xdr:row>19</xdr:row>
      <xdr:rowOff>18720</xdr:rowOff>
    </xdr:from>
    <xdr:to>
      <xdr:col>1</xdr:col>
      <xdr:colOff>19440</xdr:colOff>
      <xdr:row>19</xdr:row>
      <xdr:rowOff>209520</xdr:rowOff>
    </xdr:to>
    <xdr:sp>
      <xdr:nvSpPr>
        <xdr:cNvPr id="72" name="Line 160"/>
        <xdr:cNvSpPr/>
      </xdr:nvSpPr>
      <xdr:spPr>
        <a:xfrm>
          <a:off x="749520" y="4480200"/>
          <a:ext cx="720" cy="1908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22</xdr:row>
      <xdr:rowOff>19080</xdr:rowOff>
    </xdr:from>
    <xdr:to>
      <xdr:col>1</xdr:col>
      <xdr:colOff>10080</xdr:colOff>
      <xdr:row>23</xdr:row>
      <xdr:rowOff>9360</xdr:rowOff>
    </xdr:to>
    <xdr:sp>
      <xdr:nvSpPr>
        <xdr:cNvPr id="73" name="Line 161"/>
        <xdr:cNvSpPr/>
      </xdr:nvSpPr>
      <xdr:spPr>
        <a:xfrm>
          <a:off x="740160" y="4985280"/>
          <a:ext cx="720" cy="133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25</xdr:row>
      <xdr:rowOff>171720</xdr:rowOff>
    </xdr:from>
    <xdr:to>
      <xdr:col>2</xdr:col>
      <xdr:colOff>665280</xdr:colOff>
      <xdr:row>25</xdr:row>
      <xdr:rowOff>171720</xdr:rowOff>
    </xdr:to>
    <xdr:sp>
      <xdr:nvSpPr>
        <xdr:cNvPr id="74" name="Line 169"/>
        <xdr:cNvSpPr/>
      </xdr:nvSpPr>
      <xdr:spPr>
        <a:xfrm>
          <a:off x="9360" y="5528520"/>
          <a:ext cx="20714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25</xdr:row>
      <xdr:rowOff>19080</xdr:rowOff>
    </xdr:from>
    <xdr:to>
      <xdr:col>1</xdr:col>
      <xdr:colOff>720</xdr:colOff>
      <xdr:row>25</xdr:row>
      <xdr:rowOff>181080</xdr:rowOff>
    </xdr:to>
    <xdr:sp>
      <xdr:nvSpPr>
        <xdr:cNvPr id="75" name="Line 171"/>
        <xdr:cNvSpPr/>
      </xdr:nvSpPr>
      <xdr:spPr>
        <a:xfrm>
          <a:off x="730800" y="5375880"/>
          <a:ext cx="720" cy="162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215280</xdr:colOff>
      <xdr:row>25</xdr:row>
      <xdr:rowOff>19080</xdr:rowOff>
    </xdr:from>
    <xdr:to>
      <xdr:col>4</xdr:col>
      <xdr:colOff>168840</xdr:colOff>
      <xdr:row>27</xdr:row>
      <xdr:rowOff>720</xdr:rowOff>
    </xdr:to>
    <xdr:sp>
      <xdr:nvSpPr>
        <xdr:cNvPr id="76" name="Text 177"/>
        <xdr:cNvSpPr/>
      </xdr:nvSpPr>
      <xdr:spPr>
        <a:xfrm>
          <a:off x="2296080" y="53758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18720</xdr:colOff>
      <xdr:row>5</xdr:row>
      <xdr:rowOff>9720</xdr:rowOff>
    </xdr:from>
    <xdr:to>
      <xdr:col>1</xdr:col>
      <xdr:colOff>19440</xdr:colOff>
      <xdr:row>5</xdr:row>
      <xdr:rowOff>9720</xdr:rowOff>
    </xdr:to>
    <xdr:sp>
      <xdr:nvSpPr>
        <xdr:cNvPr id="77" name="Line 178"/>
        <xdr:cNvSpPr/>
      </xdr:nvSpPr>
      <xdr:spPr>
        <a:xfrm>
          <a:off x="18720" y="1133640"/>
          <a:ext cx="7315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9</xdr:row>
      <xdr:rowOff>209880</xdr:rowOff>
    </xdr:from>
    <xdr:to>
      <xdr:col>1</xdr:col>
      <xdr:colOff>720</xdr:colOff>
      <xdr:row>11</xdr:row>
      <xdr:rowOff>37800</xdr:rowOff>
    </xdr:to>
    <xdr:sp>
      <xdr:nvSpPr>
        <xdr:cNvPr id="78" name="Line 179"/>
        <xdr:cNvSpPr/>
      </xdr:nvSpPr>
      <xdr:spPr>
        <a:xfrm>
          <a:off x="730800" y="2148480"/>
          <a:ext cx="720" cy="2401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4</xdr:row>
      <xdr:rowOff>0</xdr:rowOff>
    </xdr:from>
    <xdr:to>
      <xdr:col>2</xdr:col>
      <xdr:colOff>665280</xdr:colOff>
      <xdr:row>4</xdr:row>
      <xdr:rowOff>0</xdr:rowOff>
    </xdr:to>
    <xdr:sp>
      <xdr:nvSpPr>
        <xdr:cNvPr id="79" name="Line 181"/>
        <xdr:cNvSpPr/>
      </xdr:nvSpPr>
      <xdr:spPr>
        <a:xfrm>
          <a:off x="740160" y="914400"/>
          <a:ext cx="1340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5</xdr:row>
      <xdr:rowOff>9720</xdr:rowOff>
    </xdr:from>
    <xdr:to>
      <xdr:col>5</xdr:col>
      <xdr:colOff>10080</xdr:colOff>
      <xdr:row>5</xdr:row>
      <xdr:rowOff>9720</xdr:rowOff>
    </xdr:to>
    <xdr:sp>
      <xdr:nvSpPr>
        <xdr:cNvPr id="80" name="Line 182"/>
        <xdr:cNvSpPr/>
      </xdr:nvSpPr>
      <xdr:spPr>
        <a:xfrm>
          <a:off x="740160" y="1133640"/>
          <a:ext cx="222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581760</xdr:colOff>
      <xdr:row>4</xdr:row>
      <xdr:rowOff>18720</xdr:rowOff>
    </xdr:from>
    <xdr:to>
      <xdr:col>2</xdr:col>
      <xdr:colOff>216360</xdr:colOff>
      <xdr:row>5</xdr:row>
      <xdr:rowOff>76680</xdr:rowOff>
    </xdr:to>
    <xdr:sp>
      <xdr:nvSpPr>
        <xdr:cNvPr id="81" name="Text 184"/>
        <xdr:cNvSpPr/>
      </xdr:nvSpPr>
      <xdr:spPr>
        <a:xfrm>
          <a:off x="1312560" y="933120"/>
          <a:ext cx="3193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309600</xdr:colOff>
      <xdr:row>4</xdr:row>
      <xdr:rowOff>143280</xdr:rowOff>
    </xdr:from>
    <xdr:to>
      <xdr:col>4</xdr:col>
      <xdr:colOff>262440</xdr:colOff>
      <xdr:row>5</xdr:row>
      <xdr:rowOff>201240</xdr:rowOff>
    </xdr:to>
    <xdr:sp>
      <xdr:nvSpPr>
        <xdr:cNvPr id="82" name="Text 185"/>
        <xdr:cNvSpPr/>
      </xdr:nvSpPr>
      <xdr:spPr>
        <a:xfrm>
          <a:off x="2390400" y="105768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9360</xdr:colOff>
      <xdr:row>29</xdr:row>
      <xdr:rowOff>0</xdr:rowOff>
    </xdr:from>
    <xdr:to>
      <xdr:col>5</xdr:col>
      <xdr:colOff>10080</xdr:colOff>
      <xdr:row>29</xdr:row>
      <xdr:rowOff>0</xdr:rowOff>
    </xdr:to>
    <xdr:sp>
      <xdr:nvSpPr>
        <xdr:cNvPr id="83" name="Line 186"/>
        <xdr:cNvSpPr/>
      </xdr:nvSpPr>
      <xdr:spPr>
        <a:xfrm>
          <a:off x="9360" y="5947560"/>
          <a:ext cx="29527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28</xdr:row>
      <xdr:rowOff>18720</xdr:rowOff>
    </xdr:from>
    <xdr:to>
      <xdr:col>2</xdr:col>
      <xdr:colOff>665280</xdr:colOff>
      <xdr:row>28</xdr:row>
      <xdr:rowOff>18720</xdr:rowOff>
    </xdr:to>
    <xdr:sp>
      <xdr:nvSpPr>
        <xdr:cNvPr id="84" name="Line 190"/>
        <xdr:cNvSpPr/>
      </xdr:nvSpPr>
      <xdr:spPr>
        <a:xfrm>
          <a:off x="730800" y="5823360"/>
          <a:ext cx="1350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25</xdr:row>
      <xdr:rowOff>152640</xdr:rowOff>
    </xdr:from>
    <xdr:to>
      <xdr:col>3</xdr:col>
      <xdr:colOff>0</xdr:colOff>
      <xdr:row>28</xdr:row>
      <xdr:rowOff>142920</xdr:rowOff>
    </xdr:to>
    <xdr:sp>
      <xdr:nvSpPr>
        <xdr:cNvPr id="85" name="Line 191"/>
        <xdr:cNvSpPr/>
      </xdr:nvSpPr>
      <xdr:spPr>
        <a:xfrm>
          <a:off x="2080800" y="5509440"/>
          <a:ext cx="0" cy="4381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28</xdr:row>
      <xdr:rowOff>9000</xdr:rowOff>
    </xdr:from>
    <xdr:to>
      <xdr:col>1</xdr:col>
      <xdr:colOff>10080</xdr:colOff>
      <xdr:row>28</xdr:row>
      <xdr:rowOff>142560</xdr:rowOff>
    </xdr:to>
    <xdr:sp>
      <xdr:nvSpPr>
        <xdr:cNvPr id="86" name="Line 192"/>
        <xdr:cNvSpPr/>
      </xdr:nvSpPr>
      <xdr:spPr>
        <a:xfrm flipH="1" flipV="1">
          <a:off x="740160" y="5813640"/>
          <a:ext cx="720" cy="1335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25</xdr:row>
      <xdr:rowOff>161640</xdr:rowOff>
    </xdr:from>
    <xdr:to>
      <xdr:col>5</xdr:col>
      <xdr:colOff>720</xdr:colOff>
      <xdr:row>28</xdr:row>
      <xdr:rowOff>142560</xdr:rowOff>
    </xdr:to>
    <xdr:sp>
      <xdr:nvSpPr>
        <xdr:cNvPr id="87" name="Line 193"/>
        <xdr:cNvSpPr/>
      </xdr:nvSpPr>
      <xdr:spPr>
        <a:xfrm flipV="1">
          <a:off x="2952000" y="5518440"/>
          <a:ext cx="720" cy="4287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31</xdr:row>
      <xdr:rowOff>0</xdr:rowOff>
    </xdr:from>
    <xdr:to>
      <xdr:col>3</xdr:col>
      <xdr:colOff>720</xdr:colOff>
      <xdr:row>31</xdr:row>
      <xdr:rowOff>0</xdr:rowOff>
    </xdr:to>
    <xdr:sp>
      <xdr:nvSpPr>
        <xdr:cNvPr id="88" name="Line 196"/>
        <xdr:cNvSpPr/>
      </xdr:nvSpPr>
      <xdr:spPr>
        <a:xfrm>
          <a:off x="721440" y="6300000"/>
          <a:ext cx="13600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30</xdr:row>
      <xdr:rowOff>209520</xdr:rowOff>
    </xdr:from>
    <xdr:to>
      <xdr:col>1</xdr:col>
      <xdr:colOff>720</xdr:colOff>
      <xdr:row>31</xdr:row>
      <xdr:rowOff>142560</xdr:rowOff>
    </xdr:to>
    <xdr:sp>
      <xdr:nvSpPr>
        <xdr:cNvPr id="89" name="Line 197"/>
        <xdr:cNvSpPr/>
      </xdr:nvSpPr>
      <xdr:spPr>
        <a:xfrm>
          <a:off x="730800" y="6290280"/>
          <a:ext cx="720" cy="15228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0</xdr:colOff>
      <xdr:row>31</xdr:row>
      <xdr:rowOff>142560</xdr:rowOff>
    </xdr:to>
    <xdr:sp>
      <xdr:nvSpPr>
        <xdr:cNvPr id="90" name="Line 199"/>
        <xdr:cNvSpPr/>
      </xdr:nvSpPr>
      <xdr:spPr>
        <a:xfrm>
          <a:off x="2080800" y="5947560"/>
          <a:ext cx="0" cy="495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29</xdr:row>
      <xdr:rowOff>0</xdr:rowOff>
    </xdr:from>
    <xdr:to>
      <xdr:col>5</xdr:col>
      <xdr:colOff>720</xdr:colOff>
      <xdr:row>31</xdr:row>
      <xdr:rowOff>142560</xdr:rowOff>
    </xdr:to>
    <xdr:sp>
      <xdr:nvSpPr>
        <xdr:cNvPr id="91" name="Line 200"/>
        <xdr:cNvSpPr/>
      </xdr:nvSpPr>
      <xdr:spPr>
        <a:xfrm>
          <a:off x="2952000" y="5947560"/>
          <a:ext cx="720" cy="495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35</xdr:row>
      <xdr:rowOff>0</xdr:rowOff>
    </xdr:from>
    <xdr:to>
      <xdr:col>5</xdr:col>
      <xdr:colOff>10080</xdr:colOff>
      <xdr:row>35</xdr:row>
      <xdr:rowOff>0</xdr:rowOff>
    </xdr:to>
    <xdr:sp>
      <xdr:nvSpPr>
        <xdr:cNvPr id="92" name="Line 201"/>
        <xdr:cNvSpPr/>
      </xdr:nvSpPr>
      <xdr:spPr>
        <a:xfrm>
          <a:off x="18720" y="6814080"/>
          <a:ext cx="2943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34</xdr:row>
      <xdr:rowOff>19080</xdr:rowOff>
    </xdr:from>
    <xdr:to>
      <xdr:col>3</xdr:col>
      <xdr:colOff>720</xdr:colOff>
      <xdr:row>34</xdr:row>
      <xdr:rowOff>19080</xdr:rowOff>
    </xdr:to>
    <xdr:sp>
      <xdr:nvSpPr>
        <xdr:cNvPr id="93" name="Line 202"/>
        <xdr:cNvSpPr/>
      </xdr:nvSpPr>
      <xdr:spPr>
        <a:xfrm>
          <a:off x="721440" y="6690240"/>
          <a:ext cx="13600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34</xdr:row>
      <xdr:rowOff>9720</xdr:rowOff>
    </xdr:from>
    <xdr:to>
      <xdr:col>0</xdr:col>
      <xdr:colOff>722160</xdr:colOff>
      <xdr:row>34</xdr:row>
      <xdr:rowOff>142920</xdr:rowOff>
    </xdr:to>
    <xdr:sp>
      <xdr:nvSpPr>
        <xdr:cNvPr id="94" name="Line 203"/>
        <xdr:cNvSpPr/>
      </xdr:nvSpPr>
      <xdr:spPr>
        <a:xfrm>
          <a:off x="721440" y="6680880"/>
          <a:ext cx="720" cy="133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0</xdr:colOff>
      <xdr:row>34</xdr:row>
      <xdr:rowOff>142920</xdr:rowOff>
    </xdr:to>
    <xdr:sp>
      <xdr:nvSpPr>
        <xdr:cNvPr id="95" name="Line 204"/>
        <xdr:cNvSpPr/>
      </xdr:nvSpPr>
      <xdr:spPr>
        <a:xfrm>
          <a:off x="2080800" y="6442560"/>
          <a:ext cx="0" cy="3715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32</xdr:row>
      <xdr:rowOff>0</xdr:rowOff>
    </xdr:from>
    <xdr:to>
      <xdr:col>5</xdr:col>
      <xdr:colOff>720</xdr:colOff>
      <xdr:row>34</xdr:row>
      <xdr:rowOff>142920</xdr:rowOff>
    </xdr:to>
    <xdr:sp>
      <xdr:nvSpPr>
        <xdr:cNvPr id="96" name="Line 205"/>
        <xdr:cNvSpPr/>
      </xdr:nvSpPr>
      <xdr:spPr>
        <a:xfrm>
          <a:off x="2952000" y="6442560"/>
          <a:ext cx="720" cy="3715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9720</xdr:colOff>
      <xdr:row>31</xdr:row>
      <xdr:rowOff>95400</xdr:rowOff>
    </xdr:from>
    <xdr:to>
      <xdr:col>6</xdr:col>
      <xdr:colOff>720</xdr:colOff>
      <xdr:row>31</xdr:row>
      <xdr:rowOff>95400</xdr:rowOff>
    </xdr:to>
    <xdr:sp>
      <xdr:nvSpPr>
        <xdr:cNvPr id="97" name="Line 206"/>
        <xdr:cNvSpPr/>
      </xdr:nvSpPr>
      <xdr:spPr>
        <a:xfrm>
          <a:off x="2961720" y="6395400"/>
          <a:ext cx="431280" cy="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34</xdr:row>
      <xdr:rowOff>86040</xdr:rowOff>
    </xdr:from>
    <xdr:to>
      <xdr:col>5</xdr:col>
      <xdr:colOff>440280</xdr:colOff>
      <xdr:row>34</xdr:row>
      <xdr:rowOff>86040</xdr:rowOff>
    </xdr:to>
    <xdr:sp>
      <xdr:nvSpPr>
        <xdr:cNvPr id="98" name="Line 207"/>
        <xdr:cNvSpPr/>
      </xdr:nvSpPr>
      <xdr:spPr>
        <a:xfrm>
          <a:off x="2952000" y="6757200"/>
          <a:ext cx="440280" cy="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32</xdr:row>
      <xdr:rowOff>0</xdr:rowOff>
    </xdr:from>
    <xdr:to>
      <xdr:col>4</xdr:col>
      <xdr:colOff>356400</xdr:colOff>
      <xdr:row>32</xdr:row>
      <xdr:rowOff>0</xdr:rowOff>
    </xdr:to>
    <xdr:sp>
      <xdr:nvSpPr>
        <xdr:cNvPr id="99" name="Line 211"/>
        <xdr:cNvSpPr/>
      </xdr:nvSpPr>
      <xdr:spPr>
        <a:xfrm>
          <a:off x="18720" y="6442560"/>
          <a:ext cx="2915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19</xdr:row>
      <xdr:rowOff>0</xdr:rowOff>
    </xdr:from>
    <xdr:to>
      <xdr:col>2</xdr:col>
      <xdr:colOff>469080</xdr:colOff>
      <xdr:row>20</xdr:row>
      <xdr:rowOff>48240</xdr:rowOff>
    </xdr:to>
    <xdr:sp>
      <xdr:nvSpPr>
        <xdr:cNvPr id="100" name="Text 216"/>
        <xdr:cNvSpPr/>
      </xdr:nvSpPr>
      <xdr:spPr>
        <a:xfrm>
          <a:off x="1434240" y="44614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0</xdr:colOff>
      <xdr:row>21</xdr:row>
      <xdr:rowOff>28440</xdr:rowOff>
    </xdr:from>
    <xdr:to>
      <xdr:col>2</xdr:col>
      <xdr:colOff>318960</xdr:colOff>
      <xdr:row>23</xdr:row>
      <xdr:rowOff>10440</xdr:rowOff>
    </xdr:to>
    <xdr:sp>
      <xdr:nvSpPr>
        <xdr:cNvPr id="101" name="Text 217"/>
        <xdr:cNvSpPr/>
      </xdr:nvSpPr>
      <xdr:spPr>
        <a:xfrm>
          <a:off x="1415520" y="485208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23</xdr:row>
      <xdr:rowOff>76320</xdr:rowOff>
    </xdr:from>
    <xdr:to>
      <xdr:col>2</xdr:col>
      <xdr:colOff>337680</xdr:colOff>
      <xdr:row>25</xdr:row>
      <xdr:rowOff>96120</xdr:rowOff>
    </xdr:to>
    <xdr:sp>
      <xdr:nvSpPr>
        <xdr:cNvPr id="102" name="Text 218"/>
        <xdr:cNvSpPr/>
      </xdr:nvSpPr>
      <xdr:spPr>
        <a:xfrm>
          <a:off x="1434240" y="518544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27</xdr:row>
      <xdr:rowOff>19080</xdr:rowOff>
    </xdr:from>
    <xdr:to>
      <xdr:col>2</xdr:col>
      <xdr:colOff>337680</xdr:colOff>
      <xdr:row>28</xdr:row>
      <xdr:rowOff>124560</xdr:rowOff>
    </xdr:to>
    <xdr:sp>
      <xdr:nvSpPr>
        <xdr:cNvPr id="103" name="Text 219"/>
        <xdr:cNvSpPr/>
      </xdr:nvSpPr>
      <xdr:spPr>
        <a:xfrm>
          <a:off x="1434240" y="566172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187200</xdr:colOff>
      <xdr:row>28</xdr:row>
      <xdr:rowOff>18720</xdr:rowOff>
    </xdr:from>
    <xdr:to>
      <xdr:col>4</xdr:col>
      <xdr:colOff>140760</xdr:colOff>
      <xdr:row>30</xdr:row>
      <xdr:rowOff>10080</xdr:rowOff>
    </xdr:to>
    <xdr:sp>
      <xdr:nvSpPr>
        <xdr:cNvPr id="104" name="Text 220"/>
        <xdr:cNvSpPr/>
      </xdr:nvSpPr>
      <xdr:spPr>
        <a:xfrm>
          <a:off x="2268000" y="582336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30</xdr:row>
      <xdr:rowOff>28080</xdr:rowOff>
    </xdr:from>
    <xdr:to>
      <xdr:col>2</xdr:col>
      <xdr:colOff>337680</xdr:colOff>
      <xdr:row>31</xdr:row>
      <xdr:rowOff>76320</xdr:rowOff>
    </xdr:to>
    <xdr:sp>
      <xdr:nvSpPr>
        <xdr:cNvPr id="105" name="Text 221"/>
        <xdr:cNvSpPr/>
      </xdr:nvSpPr>
      <xdr:spPr>
        <a:xfrm>
          <a:off x="1434240" y="610884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215280</xdr:colOff>
      <xdr:row>30</xdr:row>
      <xdr:rowOff>209520</xdr:rowOff>
    </xdr:from>
    <xdr:to>
      <xdr:col>4</xdr:col>
      <xdr:colOff>168840</xdr:colOff>
      <xdr:row>33</xdr:row>
      <xdr:rowOff>29160</xdr:rowOff>
    </xdr:to>
    <xdr:sp>
      <xdr:nvSpPr>
        <xdr:cNvPr id="106" name="Text 222"/>
        <xdr:cNvSpPr/>
      </xdr:nvSpPr>
      <xdr:spPr>
        <a:xfrm>
          <a:off x="2296080" y="62902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619200</xdr:colOff>
      <xdr:row>33</xdr:row>
      <xdr:rowOff>47160</xdr:rowOff>
    </xdr:from>
    <xdr:to>
      <xdr:col>2</xdr:col>
      <xdr:colOff>384480</xdr:colOff>
      <xdr:row>35</xdr:row>
      <xdr:rowOff>29160</xdr:rowOff>
    </xdr:to>
    <xdr:sp>
      <xdr:nvSpPr>
        <xdr:cNvPr id="107" name="Text 223"/>
        <xdr:cNvSpPr/>
      </xdr:nvSpPr>
      <xdr:spPr>
        <a:xfrm>
          <a:off x="1350000" y="657576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206280</xdr:colOff>
      <xdr:row>34</xdr:row>
      <xdr:rowOff>0</xdr:rowOff>
    </xdr:from>
    <xdr:to>
      <xdr:col>4</xdr:col>
      <xdr:colOff>28440</xdr:colOff>
      <xdr:row>35</xdr:row>
      <xdr:rowOff>124560</xdr:rowOff>
    </xdr:to>
    <xdr:sp>
      <xdr:nvSpPr>
        <xdr:cNvPr id="108" name="Text 224"/>
        <xdr:cNvSpPr/>
      </xdr:nvSpPr>
      <xdr:spPr>
        <a:xfrm>
          <a:off x="2287080" y="667116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206280</xdr:colOff>
      <xdr:row>17</xdr:row>
      <xdr:rowOff>0</xdr:rowOff>
    </xdr:from>
    <xdr:to>
      <xdr:col>4</xdr:col>
      <xdr:colOff>159480</xdr:colOff>
      <xdr:row>17</xdr:row>
      <xdr:rowOff>171000</xdr:rowOff>
    </xdr:to>
    <xdr:sp>
      <xdr:nvSpPr>
        <xdr:cNvPr id="109" name="Text 229"/>
        <xdr:cNvSpPr/>
      </xdr:nvSpPr>
      <xdr:spPr>
        <a:xfrm>
          <a:off x="2287080" y="4128120"/>
          <a:ext cx="450000" cy="171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0" lang="en-US" sz="800" strike="noStrike" u="none">
              <a:effectLst/>
              <a:uFillTx/>
              <a:latin typeface="Arial"/>
            </a:rPr>
            <a:t>CLOSEDCLOSED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9360</xdr:colOff>
      <xdr:row>17</xdr:row>
      <xdr:rowOff>180360</xdr:rowOff>
    </xdr:from>
    <xdr:to>
      <xdr:col>5</xdr:col>
      <xdr:colOff>720</xdr:colOff>
      <xdr:row>17</xdr:row>
      <xdr:rowOff>190080</xdr:rowOff>
    </xdr:to>
    <xdr:sp>
      <xdr:nvSpPr>
        <xdr:cNvPr id="110" name="Line 230"/>
        <xdr:cNvSpPr/>
      </xdr:nvSpPr>
      <xdr:spPr>
        <a:xfrm flipV="1">
          <a:off x="2090160" y="4308480"/>
          <a:ext cx="862560" cy="97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619200</xdr:colOff>
      <xdr:row>6</xdr:row>
      <xdr:rowOff>18720</xdr:rowOff>
    </xdr:from>
    <xdr:to>
      <xdr:col>2</xdr:col>
      <xdr:colOff>253440</xdr:colOff>
      <xdr:row>7</xdr:row>
      <xdr:rowOff>47880</xdr:rowOff>
    </xdr:to>
    <xdr:sp>
      <xdr:nvSpPr>
        <xdr:cNvPr id="111" name="Text 241"/>
        <xdr:cNvSpPr/>
      </xdr:nvSpPr>
      <xdr:spPr>
        <a:xfrm>
          <a:off x="1350000" y="135216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37440</xdr:colOff>
      <xdr:row>10</xdr:row>
      <xdr:rowOff>9360</xdr:rowOff>
    </xdr:from>
    <xdr:to>
      <xdr:col>3</xdr:col>
      <xdr:colOff>28800</xdr:colOff>
      <xdr:row>10</xdr:row>
      <xdr:rowOff>9360</xdr:rowOff>
    </xdr:to>
    <xdr:sp>
      <xdr:nvSpPr>
        <xdr:cNvPr id="112" name="Line 242"/>
        <xdr:cNvSpPr/>
      </xdr:nvSpPr>
      <xdr:spPr>
        <a:xfrm>
          <a:off x="768240" y="2176560"/>
          <a:ext cx="1341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14</xdr:row>
      <xdr:rowOff>181080</xdr:rowOff>
    </xdr:from>
    <xdr:to>
      <xdr:col>4</xdr:col>
      <xdr:colOff>365400</xdr:colOff>
      <xdr:row>14</xdr:row>
      <xdr:rowOff>181080</xdr:rowOff>
    </xdr:to>
    <xdr:sp>
      <xdr:nvSpPr>
        <xdr:cNvPr id="113" name="Line 244"/>
        <xdr:cNvSpPr/>
      </xdr:nvSpPr>
      <xdr:spPr>
        <a:xfrm>
          <a:off x="2080800" y="3082320"/>
          <a:ext cx="8622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262440</xdr:colOff>
      <xdr:row>14</xdr:row>
      <xdr:rowOff>0</xdr:rowOff>
    </xdr:from>
    <xdr:to>
      <xdr:col>4</xdr:col>
      <xdr:colOff>84240</xdr:colOff>
      <xdr:row>15</xdr:row>
      <xdr:rowOff>69120</xdr:rowOff>
    </xdr:to>
    <xdr:sp>
      <xdr:nvSpPr>
        <xdr:cNvPr id="114" name="Text 245"/>
        <xdr:cNvSpPr/>
      </xdr:nvSpPr>
      <xdr:spPr>
        <a:xfrm>
          <a:off x="2343240" y="2901240"/>
          <a:ext cx="3186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0</xdr:colOff>
      <xdr:row>34</xdr:row>
      <xdr:rowOff>105120</xdr:rowOff>
    </xdr:from>
    <xdr:to>
      <xdr:col>3</xdr:col>
      <xdr:colOff>720</xdr:colOff>
      <xdr:row>37</xdr:row>
      <xdr:rowOff>19080</xdr:rowOff>
    </xdr:to>
    <xdr:sp>
      <xdr:nvSpPr>
        <xdr:cNvPr id="115" name="Line 247"/>
        <xdr:cNvSpPr/>
      </xdr:nvSpPr>
      <xdr:spPr>
        <a:xfrm flipV="1">
          <a:off x="2080800" y="6776280"/>
          <a:ext cx="720" cy="3427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720</xdr:colOff>
      <xdr:row>36</xdr:row>
      <xdr:rowOff>142920</xdr:rowOff>
    </xdr:to>
    <xdr:sp>
      <xdr:nvSpPr>
        <xdr:cNvPr id="116" name="Line 248"/>
        <xdr:cNvSpPr/>
      </xdr:nvSpPr>
      <xdr:spPr>
        <a:xfrm flipH="1" flipV="1">
          <a:off x="2952000" y="6814080"/>
          <a:ext cx="720" cy="2858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656280</xdr:colOff>
      <xdr:row>36</xdr:row>
      <xdr:rowOff>0</xdr:rowOff>
    </xdr:from>
    <xdr:to>
      <xdr:col>4</xdr:col>
      <xdr:colOff>356400</xdr:colOff>
      <xdr:row>36</xdr:row>
      <xdr:rowOff>0</xdr:rowOff>
    </xdr:to>
    <xdr:sp>
      <xdr:nvSpPr>
        <xdr:cNvPr id="117" name="Line 249"/>
        <xdr:cNvSpPr/>
      </xdr:nvSpPr>
      <xdr:spPr>
        <a:xfrm>
          <a:off x="2071800" y="6957000"/>
          <a:ext cx="8622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206280</xdr:colOff>
      <xdr:row>35</xdr:row>
      <xdr:rowOff>114480</xdr:rowOff>
    </xdr:from>
    <xdr:to>
      <xdr:col>4</xdr:col>
      <xdr:colOff>159480</xdr:colOff>
      <xdr:row>37</xdr:row>
      <xdr:rowOff>96120</xdr:rowOff>
    </xdr:to>
    <xdr:sp>
      <xdr:nvSpPr>
        <xdr:cNvPr id="118" name="Text 250"/>
        <xdr:cNvSpPr/>
      </xdr:nvSpPr>
      <xdr:spPr>
        <a:xfrm>
          <a:off x="2287080" y="692856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6</xdr:row>
      <xdr:rowOff>0</xdr:rowOff>
    </xdr:from>
    <xdr:to>
      <xdr:col>1</xdr:col>
      <xdr:colOff>10080</xdr:colOff>
      <xdr:row>6</xdr:row>
      <xdr:rowOff>238320</xdr:rowOff>
    </xdr:to>
    <xdr:sp>
      <xdr:nvSpPr>
        <xdr:cNvPr id="119" name="Line 257"/>
        <xdr:cNvSpPr/>
      </xdr:nvSpPr>
      <xdr:spPr>
        <a:xfrm flipV="1">
          <a:off x="740160" y="1333440"/>
          <a:ext cx="720" cy="2383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</xdr:row>
      <xdr:rowOff>9720</xdr:rowOff>
    </xdr:from>
    <xdr:to>
      <xdr:col>2</xdr:col>
      <xdr:colOff>300960</xdr:colOff>
      <xdr:row>3</xdr:row>
      <xdr:rowOff>9720</xdr:rowOff>
    </xdr:to>
    <xdr:sp>
      <xdr:nvSpPr>
        <xdr:cNvPr id="120" name="Line 258"/>
        <xdr:cNvSpPr/>
      </xdr:nvSpPr>
      <xdr:spPr>
        <a:xfrm>
          <a:off x="18720" y="714600"/>
          <a:ext cx="16977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281160</xdr:colOff>
      <xdr:row>0</xdr:row>
      <xdr:rowOff>180360</xdr:rowOff>
    </xdr:from>
    <xdr:to>
      <xdr:col>2</xdr:col>
      <xdr:colOff>657000</xdr:colOff>
      <xdr:row>3</xdr:row>
      <xdr:rowOff>9360</xdr:rowOff>
    </xdr:to>
    <xdr:sp>
      <xdr:nvSpPr>
        <xdr:cNvPr id="121" name="Line 260"/>
        <xdr:cNvSpPr/>
      </xdr:nvSpPr>
      <xdr:spPr>
        <a:xfrm flipV="1">
          <a:off x="1696680" y="180360"/>
          <a:ext cx="375840" cy="53388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224640</xdr:colOff>
      <xdr:row>15</xdr:row>
      <xdr:rowOff>-360</xdr:rowOff>
    </xdr:from>
    <xdr:to>
      <xdr:col>6</xdr:col>
      <xdr:colOff>225360</xdr:colOff>
      <xdr:row>18</xdr:row>
      <xdr:rowOff>18720</xdr:rowOff>
    </xdr:to>
    <xdr:sp>
      <xdr:nvSpPr>
        <xdr:cNvPr id="122" name="Line 329"/>
        <xdr:cNvSpPr/>
      </xdr:nvSpPr>
      <xdr:spPr>
        <a:xfrm flipH="1" flipV="1">
          <a:off x="3616920" y="3099240"/>
          <a:ext cx="720" cy="1238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15</xdr:row>
      <xdr:rowOff>-360</xdr:rowOff>
    </xdr:from>
    <xdr:to>
      <xdr:col>2</xdr:col>
      <xdr:colOff>19440</xdr:colOff>
      <xdr:row>18</xdr:row>
      <xdr:rowOff>18720</xdr:rowOff>
    </xdr:to>
    <xdr:sp>
      <xdr:nvSpPr>
        <xdr:cNvPr id="123" name="Line 331"/>
        <xdr:cNvSpPr/>
      </xdr:nvSpPr>
      <xdr:spPr>
        <a:xfrm flipV="1">
          <a:off x="1434240" y="3099240"/>
          <a:ext cx="720" cy="1238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14</xdr:row>
      <xdr:rowOff>181080</xdr:rowOff>
    </xdr:from>
    <xdr:to>
      <xdr:col>2</xdr:col>
      <xdr:colOff>657000</xdr:colOff>
      <xdr:row>14</xdr:row>
      <xdr:rowOff>181080</xdr:rowOff>
    </xdr:to>
    <xdr:sp>
      <xdr:nvSpPr>
        <xdr:cNvPr id="124" name="Line 332"/>
        <xdr:cNvSpPr/>
      </xdr:nvSpPr>
      <xdr:spPr>
        <a:xfrm>
          <a:off x="1434240" y="3082320"/>
          <a:ext cx="638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9720</xdr:colOff>
      <xdr:row>14</xdr:row>
      <xdr:rowOff>181080</xdr:rowOff>
    </xdr:from>
    <xdr:to>
      <xdr:col>6</xdr:col>
      <xdr:colOff>235080</xdr:colOff>
      <xdr:row>14</xdr:row>
      <xdr:rowOff>181080</xdr:rowOff>
    </xdr:to>
    <xdr:sp>
      <xdr:nvSpPr>
        <xdr:cNvPr id="125" name="Line 334"/>
        <xdr:cNvSpPr/>
      </xdr:nvSpPr>
      <xdr:spPr>
        <a:xfrm>
          <a:off x="2961720" y="3082320"/>
          <a:ext cx="665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19080</xdr:colOff>
      <xdr:row>18</xdr:row>
      <xdr:rowOff>0</xdr:rowOff>
    </xdr:from>
    <xdr:to>
      <xdr:col>6</xdr:col>
      <xdr:colOff>235080</xdr:colOff>
      <xdr:row>18</xdr:row>
      <xdr:rowOff>0</xdr:rowOff>
    </xdr:to>
    <xdr:sp>
      <xdr:nvSpPr>
        <xdr:cNvPr id="126" name="Line 335"/>
        <xdr:cNvSpPr/>
      </xdr:nvSpPr>
      <xdr:spPr>
        <a:xfrm>
          <a:off x="2971080" y="4318560"/>
          <a:ext cx="656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18</xdr:row>
      <xdr:rowOff>0</xdr:rowOff>
    </xdr:from>
    <xdr:to>
      <xdr:col>3</xdr:col>
      <xdr:colOff>9720</xdr:colOff>
      <xdr:row>18</xdr:row>
      <xdr:rowOff>0</xdr:rowOff>
    </xdr:to>
    <xdr:sp>
      <xdr:nvSpPr>
        <xdr:cNvPr id="127" name="Line 336"/>
        <xdr:cNvSpPr/>
      </xdr:nvSpPr>
      <xdr:spPr>
        <a:xfrm>
          <a:off x="1434240" y="4318560"/>
          <a:ext cx="656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234360</xdr:colOff>
      <xdr:row>16</xdr:row>
      <xdr:rowOff>0</xdr:rowOff>
    </xdr:from>
    <xdr:to>
      <xdr:col>6</xdr:col>
      <xdr:colOff>685080</xdr:colOff>
      <xdr:row>16</xdr:row>
      <xdr:rowOff>267480</xdr:rowOff>
    </xdr:to>
    <xdr:sp>
      <xdr:nvSpPr>
        <xdr:cNvPr id="128" name="Text 339"/>
        <xdr:cNvSpPr/>
      </xdr:nvSpPr>
      <xdr:spPr>
        <a:xfrm>
          <a:off x="3626640" y="3642480"/>
          <a:ext cx="4507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131040</xdr:colOff>
      <xdr:row>16</xdr:row>
      <xdr:rowOff>9360</xdr:rowOff>
    </xdr:from>
    <xdr:to>
      <xdr:col>2</xdr:col>
      <xdr:colOff>720</xdr:colOff>
      <xdr:row>16</xdr:row>
      <xdr:rowOff>170640</xdr:rowOff>
    </xdr:to>
    <xdr:sp>
      <xdr:nvSpPr>
        <xdr:cNvPr id="129" name="Text 340"/>
        <xdr:cNvSpPr/>
      </xdr:nvSpPr>
      <xdr:spPr>
        <a:xfrm>
          <a:off x="861840" y="3651840"/>
          <a:ext cx="554400" cy="161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4</xdr:col>
      <xdr:colOff>372960</xdr:colOff>
      <xdr:row>17</xdr:row>
      <xdr:rowOff>152280</xdr:rowOff>
    </xdr:from>
    <xdr:to>
      <xdr:col>5</xdr:col>
      <xdr:colOff>2160</xdr:colOff>
      <xdr:row>19</xdr:row>
      <xdr:rowOff>181080</xdr:rowOff>
    </xdr:to>
    <xdr:sp>
      <xdr:nvSpPr>
        <xdr:cNvPr id="130" name="Line 342"/>
        <xdr:cNvSpPr/>
      </xdr:nvSpPr>
      <xdr:spPr>
        <a:xfrm>
          <a:off x="2950560" y="4280400"/>
          <a:ext cx="3600" cy="3621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506160</xdr:colOff>
      <xdr:row>17</xdr:row>
      <xdr:rowOff>162360</xdr:rowOff>
    </xdr:from>
    <xdr:to>
      <xdr:col>3</xdr:col>
      <xdr:colOff>169200</xdr:colOff>
      <xdr:row>17</xdr:row>
      <xdr:rowOff>171000</xdr:rowOff>
    </xdr:to>
    <xdr:sp>
      <xdr:nvSpPr>
        <xdr:cNvPr id="131" name="Line 343"/>
        <xdr:cNvSpPr/>
      </xdr:nvSpPr>
      <xdr:spPr>
        <a:xfrm flipH="1">
          <a:off x="1921680" y="4290480"/>
          <a:ext cx="328320" cy="864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627840</xdr:colOff>
      <xdr:row>17</xdr:row>
      <xdr:rowOff>162360</xdr:rowOff>
    </xdr:from>
    <xdr:to>
      <xdr:col>3</xdr:col>
      <xdr:colOff>37800</xdr:colOff>
      <xdr:row>18</xdr:row>
      <xdr:rowOff>47520</xdr:rowOff>
    </xdr:to>
    <xdr:sp>
      <xdr:nvSpPr>
        <xdr:cNvPr id="132" name="Oval 344"/>
        <xdr:cNvSpPr/>
      </xdr:nvSpPr>
      <xdr:spPr>
        <a:xfrm>
          <a:off x="2043360" y="4290480"/>
          <a:ext cx="75240" cy="7560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346320</xdr:colOff>
      <xdr:row>17</xdr:row>
      <xdr:rowOff>142920</xdr:rowOff>
    </xdr:from>
    <xdr:to>
      <xdr:col>5</xdr:col>
      <xdr:colOff>47520</xdr:colOff>
      <xdr:row>18</xdr:row>
      <xdr:rowOff>28440</xdr:rowOff>
    </xdr:to>
    <xdr:sp>
      <xdr:nvSpPr>
        <xdr:cNvPr id="133" name="Oval 345"/>
        <xdr:cNvSpPr/>
      </xdr:nvSpPr>
      <xdr:spPr>
        <a:xfrm>
          <a:off x="2923920" y="4271040"/>
          <a:ext cx="7560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337320</xdr:colOff>
      <xdr:row>20</xdr:row>
      <xdr:rowOff>104760</xdr:rowOff>
    </xdr:from>
    <xdr:to>
      <xdr:col>5</xdr:col>
      <xdr:colOff>37800</xdr:colOff>
      <xdr:row>21</xdr:row>
      <xdr:rowOff>37800</xdr:rowOff>
    </xdr:to>
    <xdr:sp>
      <xdr:nvSpPr>
        <xdr:cNvPr id="134" name="Oval 346"/>
        <xdr:cNvSpPr/>
      </xdr:nvSpPr>
      <xdr:spPr>
        <a:xfrm>
          <a:off x="2914920" y="4785480"/>
          <a:ext cx="7488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627840</xdr:colOff>
      <xdr:row>20</xdr:row>
      <xdr:rowOff>114120</xdr:rowOff>
    </xdr:from>
    <xdr:to>
      <xdr:col>3</xdr:col>
      <xdr:colOff>37800</xdr:colOff>
      <xdr:row>21</xdr:row>
      <xdr:rowOff>47160</xdr:rowOff>
    </xdr:to>
    <xdr:sp>
      <xdr:nvSpPr>
        <xdr:cNvPr id="135" name="Oval 347"/>
        <xdr:cNvSpPr/>
      </xdr:nvSpPr>
      <xdr:spPr>
        <a:xfrm>
          <a:off x="2043360" y="4794840"/>
          <a:ext cx="7524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25</xdr:row>
      <xdr:rowOff>0</xdr:rowOff>
    </xdr:from>
    <xdr:to>
      <xdr:col>3</xdr:col>
      <xdr:colOff>720</xdr:colOff>
      <xdr:row>25</xdr:row>
      <xdr:rowOff>0</xdr:rowOff>
    </xdr:to>
    <xdr:sp>
      <xdr:nvSpPr>
        <xdr:cNvPr id="136" name="Line 350"/>
        <xdr:cNvSpPr/>
      </xdr:nvSpPr>
      <xdr:spPr>
        <a:xfrm>
          <a:off x="730800" y="5356800"/>
          <a:ext cx="13507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6</xdr:row>
      <xdr:rowOff>0</xdr:rowOff>
    </xdr:from>
    <xdr:to>
      <xdr:col>3</xdr:col>
      <xdr:colOff>720</xdr:colOff>
      <xdr:row>6</xdr:row>
      <xdr:rowOff>0</xdr:rowOff>
    </xdr:to>
    <xdr:sp>
      <xdr:nvSpPr>
        <xdr:cNvPr id="137" name="Line 351"/>
        <xdr:cNvSpPr/>
      </xdr:nvSpPr>
      <xdr:spPr>
        <a:xfrm>
          <a:off x="740160" y="1333440"/>
          <a:ext cx="1341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7</xdr:row>
      <xdr:rowOff>123840</xdr:rowOff>
    </xdr:from>
    <xdr:to>
      <xdr:col>3</xdr:col>
      <xdr:colOff>720</xdr:colOff>
      <xdr:row>8</xdr:row>
      <xdr:rowOff>133560</xdr:rowOff>
    </xdr:to>
    <xdr:sp>
      <xdr:nvSpPr>
        <xdr:cNvPr id="138" name="Line 380"/>
        <xdr:cNvSpPr/>
      </xdr:nvSpPr>
      <xdr:spPr>
        <a:xfrm flipV="1">
          <a:off x="2080800" y="1695600"/>
          <a:ext cx="720" cy="1929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327960</xdr:colOff>
      <xdr:row>2</xdr:row>
      <xdr:rowOff>0</xdr:rowOff>
    </xdr:from>
    <xdr:to>
      <xdr:col>10</xdr:col>
      <xdr:colOff>160200</xdr:colOff>
      <xdr:row>3</xdr:row>
      <xdr:rowOff>28440</xdr:rowOff>
    </xdr:to>
    <xdr:sp>
      <xdr:nvSpPr>
        <xdr:cNvPr id="139" name="Line 394"/>
        <xdr:cNvSpPr/>
      </xdr:nvSpPr>
      <xdr:spPr>
        <a:xfrm>
          <a:off x="5979600" y="495360"/>
          <a:ext cx="582120" cy="2379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393840</xdr:colOff>
      <xdr:row>4</xdr:row>
      <xdr:rowOff>0</xdr:rowOff>
    </xdr:from>
    <xdr:to>
      <xdr:col>10</xdr:col>
      <xdr:colOff>394560</xdr:colOff>
      <xdr:row>4</xdr:row>
      <xdr:rowOff>209520</xdr:rowOff>
    </xdr:to>
    <xdr:sp>
      <xdr:nvSpPr>
        <xdr:cNvPr id="140" name="Line 395"/>
        <xdr:cNvSpPr/>
      </xdr:nvSpPr>
      <xdr:spPr>
        <a:xfrm>
          <a:off x="6795360" y="914400"/>
          <a:ext cx="720" cy="20952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0</xdr:colOff>
      <xdr:row>5</xdr:row>
      <xdr:rowOff>9720</xdr:rowOff>
    </xdr:from>
    <xdr:to>
      <xdr:col>9</xdr:col>
      <xdr:colOff>720</xdr:colOff>
      <xdr:row>14</xdr:row>
      <xdr:rowOff>181080</xdr:rowOff>
    </xdr:to>
    <xdr:sp>
      <xdr:nvSpPr>
        <xdr:cNvPr id="141" name="Line 396"/>
        <xdr:cNvSpPr/>
      </xdr:nvSpPr>
      <xdr:spPr>
        <a:xfrm>
          <a:off x="5651640" y="1133640"/>
          <a:ext cx="720" cy="194868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13</xdr:col>
      <xdr:colOff>0</xdr:colOff>
      <xdr:row>5</xdr:row>
      <xdr:rowOff>0</xdr:rowOff>
    </xdr:from>
    <xdr:to>
      <xdr:col>13</xdr:col>
      <xdr:colOff>0</xdr:colOff>
      <xdr:row>14</xdr:row>
      <xdr:rowOff>198360</xdr:rowOff>
    </xdr:to>
    <xdr:sp>
      <xdr:nvSpPr>
        <xdr:cNvPr id="142" name="Line 397"/>
        <xdr:cNvSpPr/>
      </xdr:nvSpPr>
      <xdr:spPr>
        <a:xfrm>
          <a:off x="8885520" y="1123920"/>
          <a:ext cx="0" cy="197568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9720</xdr:colOff>
      <xdr:row>8</xdr:row>
      <xdr:rowOff>104760</xdr:rowOff>
    </xdr:from>
    <xdr:to>
      <xdr:col>9</xdr:col>
      <xdr:colOff>720</xdr:colOff>
      <xdr:row>8</xdr:row>
      <xdr:rowOff>104760</xdr:rowOff>
    </xdr:to>
    <xdr:sp>
      <xdr:nvSpPr>
        <xdr:cNvPr id="143" name="Line 398"/>
        <xdr:cNvSpPr/>
      </xdr:nvSpPr>
      <xdr:spPr>
        <a:xfrm>
          <a:off x="4911120" y="1859760"/>
          <a:ext cx="741240" cy="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449640</xdr:colOff>
      <xdr:row>17</xdr:row>
      <xdr:rowOff>-360</xdr:rowOff>
    </xdr:from>
    <xdr:to>
      <xdr:col>10</xdr:col>
      <xdr:colOff>450360</xdr:colOff>
      <xdr:row>17</xdr:row>
      <xdr:rowOff>190080</xdr:rowOff>
    </xdr:to>
    <xdr:sp>
      <xdr:nvSpPr>
        <xdr:cNvPr id="144" name="Line 399"/>
        <xdr:cNvSpPr/>
      </xdr:nvSpPr>
      <xdr:spPr>
        <a:xfrm flipV="1">
          <a:off x="6851160" y="4127760"/>
          <a:ext cx="720" cy="19044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440640</xdr:colOff>
      <xdr:row>15</xdr:row>
      <xdr:rowOff>0</xdr:rowOff>
    </xdr:from>
    <xdr:to>
      <xdr:col>10</xdr:col>
      <xdr:colOff>441360</xdr:colOff>
      <xdr:row>16</xdr:row>
      <xdr:rowOff>227520</xdr:rowOff>
    </xdr:to>
    <xdr:sp>
      <xdr:nvSpPr>
        <xdr:cNvPr id="145" name="Line 400"/>
        <xdr:cNvSpPr/>
      </xdr:nvSpPr>
      <xdr:spPr>
        <a:xfrm flipV="1">
          <a:off x="6842160" y="3099600"/>
          <a:ext cx="720" cy="77040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731160</xdr:colOff>
      <xdr:row>9</xdr:row>
      <xdr:rowOff>85680</xdr:rowOff>
    </xdr:from>
    <xdr:to>
      <xdr:col>8</xdr:col>
      <xdr:colOff>722880</xdr:colOff>
      <xdr:row>10</xdr:row>
      <xdr:rowOff>104760</xdr:rowOff>
    </xdr:to>
    <xdr:sp>
      <xdr:nvSpPr>
        <xdr:cNvPr id="146" name="Line 401"/>
        <xdr:cNvSpPr/>
      </xdr:nvSpPr>
      <xdr:spPr>
        <a:xfrm flipV="1">
          <a:off x="4882680" y="2024280"/>
          <a:ext cx="741600" cy="24768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740520</xdr:colOff>
      <xdr:row>5</xdr:row>
      <xdr:rowOff>0</xdr:rowOff>
    </xdr:from>
    <xdr:to>
      <xdr:col>12</xdr:col>
      <xdr:colOff>477360</xdr:colOff>
      <xdr:row>5</xdr:row>
      <xdr:rowOff>0</xdr:rowOff>
    </xdr:to>
    <xdr:sp>
      <xdr:nvSpPr>
        <xdr:cNvPr id="147" name="Line 402"/>
        <xdr:cNvSpPr/>
      </xdr:nvSpPr>
      <xdr:spPr>
        <a:xfrm>
          <a:off x="5641920" y="1123920"/>
          <a:ext cx="3243600" cy="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9360</xdr:colOff>
      <xdr:row>15</xdr:row>
      <xdr:rowOff>0</xdr:rowOff>
    </xdr:from>
    <xdr:to>
      <xdr:col>12</xdr:col>
      <xdr:colOff>477360</xdr:colOff>
      <xdr:row>15</xdr:row>
      <xdr:rowOff>0</xdr:rowOff>
    </xdr:to>
    <xdr:sp>
      <xdr:nvSpPr>
        <xdr:cNvPr id="148" name="Line 403"/>
        <xdr:cNvSpPr/>
      </xdr:nvSpPr>
      <xdr:spPr>
        <a:xfrm>
          <a:off x="5661000" y="3099600"/>
          <a:ext cx="3224520" cy="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9360</xdr:colOff>
      <xdr:row>15</xdr:row>
      <xdr:rowOff>218160</xdr:rowOff>
    </xdr:from>
    <xdr:to>
      <xdr:col>4</xdr:col>
      <xdr:colOff>365400</xdr:colOff>
      <xdr:row>16</xdr:row>
      <xdr:rowOff>248400</xdr:rowOff>
    </xdr:to>
    <xdr:sp>
      <xdr:nvSpPr>
        <xdr:cNvPr id="149" name="Text 413"/>
        <xdr:cNvSpPr/>
      </xdr:nvSpPr>
      <xdr:spPr>
        <a:xfrm>
          <a:off x="2090160" y="3317760"/>
          <a:ext cx="852840" cy="573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1" lang="en-US" sz="700" strike="noStrike" u="none">
              <a:effectLst/>
              <a:uFillTx/>
              <a:latin typeface="Arial"/>
            </a:rPr>
            <a:t>MANHATTAN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STATION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CONTROL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LINE 1&amp;2</a:t>
          </a:r>
          <a:endParaRPr b="0" lang="en-US" sz="700" strike="noStrike" u="none">
            <a:effectLst/>
            <a:uFillTx/>
            <a:latin typeface="Times New Roman"/>
          </a:endParaRPr>
        </a:p>
        <a:p>
          <a:endParaRPr b="0" lang="en-US" sz="7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9360</xdr:colOff>
      <xdr:row>13</xdr:row>
      <xdr:rowOff>0</xdr:rowOff>
    </xdr:from>
    <xdr:to>
      <xdr:col>5</xdr:col>
      <xdr:colOff>10080</xdr:colOff>
      <xdr:row>13</xdr:row>
      <xdr:rowOff>0</xdr:rowOff>
    </xdr:to>
    <xdr:sp>
      <xdr:nvSpPr>
        <xdr:cNvPr id="150" name="Line 417"/>
        <xdr:cNvSpPr/>
      </xdr:nvSpPr>
      <xdr:spPr>
        <a:xfrm>
          <a:off x="9360" y="2717640"/>
          <a:ext cx="295272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12</xdr:row>
      <xdr:rowOff>9360</xdr:rowOff>
    </xdr:from>
    <xdr:to>
      <xdr:col>3</xdr:col>
      <xdr:colOff>720</xdr:colOff>
      <xdr:row>12</xdr:row>
      <xdr:rowOff>9360</xdr:rowOff>
    </xdr:to>
    <xdr:sp>
      <xdr:nvSpPr>
        <xdr:cNvPr id="151" name="Line 418"/>
        <xdr:cNvSpPr/>
      </xdr:nvSpPr>
      <xdr:spPr>
        <a:xfrm>
          <a:off x="740160" y="2543760"/>
          <a:ext cx="134136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12</xdr:row>
      <xdr:rowOff>28440</xdr:rowOff>
    </xdr:from>
    <xdr:to>
      <xdr:col>1</xdr:col>
      <xdr:colOff>10080</xdr:colOff>
      <xdr:row>12</xdr:row>
      <xdr:rowOff>183240</xdr:rowOff>
    </xdr:to>
    <xdr:sp>
      <xdr:nvSpPr>
        <xdr:cNvPr id="152" name="Line 419"/>
        <xdr:cNvSpPr/>
      </xdr:nvSpPr>
      <xdr:spPr>
        <a:xfrm>
          <a:off x="740160" y="2562840"/>
          <a:ext cx="720" cy="15480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459360</xdr:colOff>
      <xdr:row>11</xdr:row>
      <xdr:rowOff>66600</xdr:rowOff>
    </xdr:from>
    <xdr:to>
      <xdr:col>2</xdr:col>
      <xdr:colOff>281880</xdr:colOff>
      <xdr:row>12</xdr:row>
      <xdr:rowOff>9360</xdr:rowOff>
    </xdr:to>
    <xdr:sp>
      <xdr:nvSpPr>
        <xdr:cNvPr id="153" name="Text 420"/>
        <xdr:cNvSpPr/>
      </xdr:nvSpPr>
      <xdr:spPr>
        <a:xfrm>
          <a:off x="1190160" y="2417400"/>
          <a:ext cx="507240" cy="1263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299880</xdr:colOff>
      <xdr:row>12</xdr:row>
      <xdr:rowOff>47160</xdr:rowOff>
    </xdr:from>
    <xdr:to>
      <xdr:col>4</xdr:col>
      <xdr:colOff>206280</xdr:colOff>
      <xdr:row>12</xdr:row>
      <xdr:rowOff>183240</xdr:rowOff>
    </xdr:to>
    <xdr:sp>
      <xdr:nvSpPr>
        <xdr:cNvPr id="154" name="Text 421"/>
        <xdr:cNvSpPr/>
      </xdr:nvSpPr>
      <xdr:spPr>
        <a:xfrm>
          <a:off x="2380680" y="2581560"/>
          <a:ext cx="403200" cy="1360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<Relationship Id="rId4" Type="http://schemas.openxmlformats.org/officeDocument/2006/relationships/ctrlProp" Target="../ctrlProps/ctrlProps3.xml"/><Relationship Id="rId5" Type="http://schemas.openxmlformats.org/officeDocument/2006/relationships/ctrlProp" Target="../ctrlProps/ctrlProps4.xml"/><Relationship Id="rId6" Type="http://schemas.openxmlformats.org/officeDocument/2006/relationships/ctrlProp" Target="../ctrlProps/ctrlProps5.xml"/><Relationship Id="rId7" Type="http://schemas.openxmlformats.org/officeDocument/2006/relationships/ctrlProp" Target="../ctrlProps/ctrlProps6.xml"/><Relationship Id="rId8" Type="http://schemas.openxmlformats.org/officeDocument/2006/relationships/ctrlProp" Target="../ctrlProps/ctrlProps7.xml"/><Relationship Id="rId9" Type="http://schemas.openxmlformats.org/officeDocument/2006/relationships/ctrlProp" Target="../ctrlProps/ctrlProps8.xml"/><Relationship Id="rId10" Type="http://schemas.openxmlformats.org/officeDocument/2006/relationships/ctrlProp" Target="../ctrlProps/ctrlProps9.xml"/><Relationship Id="rId11" Type="http://schemas.openxmlformats.org/officeDocument/2006/relationships/ctrlProp" Target="../ctrlProps/ctrlProps10.xml"/><Relationship Id="rId12" Type="http://schemas.openxmlformats.org/officeDocument/2006/relationships/ctrlProp" Target="../ctrlProps/ctrlProps11.xml"/><Relationship Id="rId13" Type="http://schemas.openxmlformats.org/officeDocument/2006/relationships/ctrlProp" Target="../ctrlProps/ctrlProps12.xml"/><Relationship Id="rId14" Type="http://schemas.openxmlformats.org/officeDocument/2006/relationships/ctrlProp" Target="../ctrlProps/ctrlProps13.xml"/><Relationship Id="rId15" Type="http://schemas.openxmlformats.org/officeDocument/2006/relationships/ctrlProp" Target="../ctrlProps/ctrlProps14.xml"/><Relationship Id="rId16" Type="http://schemas.openxmlformats.org/officeDocument/2006/relationships/ctrlProp" Target="../ctrlProps/ctrlProps15.xml"/>
</Relationships>
</file>

<file path=xl/worksheets/_rels/sheet16.xml.rels><?xml version="1.0" encoding="UTF-8"?>
<Relationships xmlns="http://schemas.openxmlformats.org/package/2006/relationships"><Relationship Id="rId1" Type="http://schemas.openxmlformats.org/officeDocument/2006/relationships/drawing" Target="../drawings/drawing17.xml"/>
</Relationships>
</file>

<file path=xl/worksheets/_rels/sheet19.xml.rels><?xml version="1.0" encoding="UTF-8"?>
<Relationships xmlns="http://schemas.openxmlformats.org/package/2006/relationships"><Relationship Id="rId1" Type="http://schemas.openxmlformats.org/officeDocument/2006/relationships/drawing" Target="../drawings/drawing18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6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J95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8.99"/>
    <col collapsed="false" customWidth="true" hidden="false" outlineLevel="0" max="5" min="5" style="0" width="8.99"/>
    <col collapsed="false" customWidth="true" hidden="false" outlineLevel="0" max="88" min="88" style="0" width="17.43"/>
  </cols>
  <sheetData>
    <row r="1" customFormat="false" ht="15" hidden="false" customHeight="false" outlineLevel="0" collapsed="false">
      <c r="A1" s="1" t="s">
        <v>0</v>
      </c>
      <c r="B1" s="2"/>
    </row>
    <row r="2" customFormat="false" ht="15" hidden="false" customHeight="false" outlineLevel="0" collapsed="false">
      <c r="A2" s="1" t="s">
        <v>1</v>
      </c>
      <c r="B2" s="0" t="s">
        <v>1</v>
      </c>
    </row>
    <row r="3" customFormat="false" ht="15.75" hidden="false" customHeight="false" outlineLevel="0" collapsed="false">
      <c r="A3" s="3" t="s">
        <v>1</v>
      </c>
      <c r="B3" s="0" t="s">
        <v>1</v>
      </c>
      <c r="C3" s="4" t="s">
        <v>2</v>
      </c>
      <c r="D3" s="4"/>
      <c r="E3" s="4"/>
      <c r="F3" s="4"/>
      <c r="G3" s="4"/>
      <c r="H3" s="4"/>
      <c r="I3" s="0" t="s">
        <v>1</v>
      </c>
      <c r="K3" s="0" t="s">
        <v>1</v>
      </c>
    </row>
    <row r="4" customFormat="false" ht="15.75" hidden="false" customHeight="false" outlineLevel="0" collapsed="false">
      <c r="A4" s="5"/>
      <c r="B4" s="2" t="s">
        <v>3</v>
      </c>
      <c r="H4" s="0" t="s">
        <v>1</v>
      </c>
      <c r="I4" s="0" t="s">
        <v>1</v>
      </c>
      <c r="J4" s="0" t="s">
        <v>1</v>
      </c>
      <c r="CJ4" s="6" t="s">
        <v>1</v>
      </c>
    </row>
    <row r="5" customFormat="false" ht="15" hidden="false" customHeight="false" outlineLevel="0" collapsed="false">
      <c r="A5" s="0" t="s">
        <v>1</v>
      </c>
      <c r="B5" s="7" t="s">
        <v>1</v>
      </c>
      <c r="C5" s="0" t="s">
        <v>1</v>
      </c>
      <c r="I5" s="0" t="s">
        <v>1</v>
      </c>
      <c r="J5" s="0" t="s">
        <v>1</v>
      </c>
      <c r="K5" s="0" t="s">
        <v>1</v>
      </c>
    </row>
    <row r="6" customFormat="false" ht="15" hidden="false" customHeight="false" outlineLevel="0" collapsed="false">
      <c r="A6" s="0" t="s">
        <v>1</v>
      </c>
      <c r="C6" s="0" t="s">
        <v>3</v>
      </c>
      <c r="H6" s="0" t="s">
        <v>1</v>
      </c>
      <c r="J6" s="0" t="s">
        <v>3</v>
      </c>
      <c r="K6" s="0" t="s">
        <v>4</v>
      </c>
    </row>
    <row r="7" customFormat="false" ht="15" hidden="false" customHeight="false" outlineLevel="0" collapsed="false">
      <c r="A7" s="0" t="s">
        <v>1</v>
      </c>
      <c r="B7" s="0" t="s">
        <v>1</v>
      </c>
      <c r="H7" s="0" t="s">
        <v>3</v>
      </c>
      <c r="I7" s="0" t="s">
        <v>1</v>
      </c>
      <c r="J7" s="0" t="s">
        <v>1</v>
      </c>
      <c r="K7" s="0" t="s">
        <v>1</v>
      </c>
    </row>
    <row r="8" customFormat="false" ht="15" hidden="false" customHeight="false" outlineLevel="0" collapsed="false">
      <c r="A8" s="0" t="s">
        <v>1</v>
      </c>
      <c r="B8" s="0" t="s">
        <v>1</v>
      </c>
      <c r="C8" s="0" t="s">
        <v>1</v>
      </c>
      <c r="H8" s="0" t="s">
        <v>1</v>
      </c>
      <c r="I8" s="0" t="s">
        <v>1</v>
      </c>
      <c r="J8" s="0" t="s">
        <v>1</v>
      </c>
      <c r="K8" s="7"/>
      <c r="L8" s="0" t="s">
        <v>1</v>
      </c>
      <c r="M8" s="0" t="s">
        <v>1</v>
      </c>
    </row>
    <row r="9" customFormat="false" ht="15" hidden="false" customHeight="false" outlineLevel="0" collapsed="false">
      <c r="A9" s="0" t="s">
        <v>1</v>
      </c>
      <c r="B9" s="0" t="s">
        <v>1</v>
      </c>
      <c r="H9" s="0" t="s">
        <v>1</v>
      </c>
      <c r="I9" s="0" t="s">
        <v>1</v>
      </c>
      <c r="J9" s="0" t="s">
        <v>3</v>
      </c>
      <c r="K9" s="0" t="s">
        <v>1</v>
      </c>
      <c r="L9" s="0" t="s">
        <v>1</v>
      </c>
      <c r="M9" s="0" t="s">
        <v>1</v>
      </c>
    </row>
    <row r="10" customFormat="false" ht="15" hidden="false" customHeight="false" outlineLevel="0" collapsed="false">
      <c r="A10" s="0" t="s">
        <v>1</v>
      </c>
      <c r="B10" s="0" t="s">
        <v>1</v>
      </c>
      <c r="C10" s="0" t="s">
        <v>1</v>
      </c>
      <c r="D10" s="0" t="s">
        <v>3</v>
      </c>
      <c r="I10" s="0" t="s">
        <v>1</v>
      </c>
      <c r="J10" s="0" t="s">
        <v>3</v>
      </c>
      <c r="K10" s="0" t="s">
        <v>1</v>
      </c>
      <c r="L10" s="0" t="s">
        <v>0</v>
      </c>
    </row>
    <row r="11" customFormat="false" ht="15" hidden="false" customHeight="false" outlineLevel="0" collapsed="false">
      <c r="A11" s="0" t="s">
        <v>1</v>
      </c>
      <c r="B11" s="2" t="s">
        <v>1</v>
      </c>
      <c r="C11" s="8"/>
      <c r="H11" s="0" t="s">
        <v>1</v>
      </c>
      <c r="I11" s="0" t="s">
        <v>1</v>
      </c>
      <c r="J11" s="0" t="s">
        <v>1</v>
      </c>
      <c r="K11" s="0" t="s">
        <v>1</v>
      </c>
      <c r="L11" s="0" t="s">
        <v>1</v>
      </c>
    </row>
    <row r="12" customFormat="false" ht="15" hidden="false" customHeight="false" outlineLevel="0" collapsed="false">
      <c r="A12" s="0" t="s">
        <v>1</v>
      </c>
      <c r="B12" s="0" t="s">
        <v>1</v>
      </c>
      <c r="I12" s="0" t="s">
        <v>1</v>
      </c>
      <c r="J12" s="0" t="s">
        <v>1</v>
      </c>
      <c r="K12" s="0" t="s">
        <v>1</v>
      </c>
      <c r="L12" s="0" t="s">
        <v>1</v>
      </c>
    </row>
    <row r="13" customFormat="false" ht="15" hidden="false" customHeight="false" outlineLevel="0" collapsed="false">
      <c r="A13" s="0" t="s">
        <v>1</v>
      </c>
      <c r="B13" s="9" t="s">
        <v>1</v>
      </c>
      <c r="H13" s="0" t="s">
        <v>1</v>
      </c>
      <c r="I13" s="0" t="s">
        <v>1</v>
      </c>
      <c r="J13" s="0" t="s">
        <v>1</v>
      </c>
      <c r="K13" s="0" t="s">
        <v>1</v>
      </c>
      <c r="L13" s="0" t="s">
        <v>0</v>
      </c>
    </row>
    <row r="14" customFormat="false" ht="15" hidden="false" customHeight="false" outlineLevel="0" collapsed="false">
      <c r="A14" s="0" t="s">
        <v>1</v>
      </c>
      <c r="B14" s="0" t="s">
        <v>1</v>
      </c>
      <c r="H14" s="0" t="s">
        <v>1</v>
      </c>
      <c r="I14" s="0" t="s">
        <v>1</v>
      </c>
      <c r="J14" s="0" t="s">
        <v>1</v>
      </c>
      <c r="K14" s="0" t="s">
        <v>3</v>
      </c>
      <c r="L14" s="0" t="s">
        <v>1</v>
      </c>
    </row>
    <row r="15" customFormat="false" ht="15" hidden="false" customHeight="false" outlineLevel="0" collapsed="false">
      <c r="A15" s="10" t="s">
        <v>1</v>
      </c>
      <c r="B15" s="0" t="s">
        <v>3</v>
      </c>
      <c r="I15" s="0" t="s">
        <v>1</v>
      </c>
      <c r="J15" s="0" t="s">
        <v>1</v>
      </c>
      <c r="K15" s="0" t="s">
        <v>1</v>
      </c>
      <c r="L15" s="0" t="s">
        <v>1</v>
      </c>
    </row>
    <row r="16" customFormat="false" ht="15" hidden="false" customHeight="false" outlineLevel="0" collapsed="false">
      <c r="A16" s="0" t="s">
        <v>1</v>
      </c>
      <c r="B16" s="0" t="s">
        <v>1</v>
      </c>
      <c r="C16" s="0" t="s">
        <v>1</v>
      </c>
      <c r="G16" s="0" t="s">
        <v>1</v>
      </c>
      <c r="H16" s="0" t="s">
        <v>3</v>
      </c>
      <c r="J16" s="0" t="s">
        <v>1</v>
      </c>
      <c r="K16" s="0" t="s">
        <v>1</v>
      </c>
      <c r="L16" s="0" t="s">
        <v>1</v>
      </c>
    </row>
    <row r="17" customFormat="false" ht="15" hidden="false" customHeight="false" outlineLevel="0" collapsed="false">
      <c r="A17" s="0" t="s">
        <v>1</v>
      </c>
      <c r="B17" s="0" t="s">
        <v>1</v>
      </c>
      <c r="E17" s="0" t="s">
        <v>1</v>
      </c>
      <c r="H17" s="0" t="s">
        <v>1</v>
      </c>
      <c r="I17" s="0" t="s">
        <v>1</v>
      </c>
      <c r="J17" s="0" t="s">
        <v>1</v>
      </c>
      <c r="K17" s="0" t="s">
        <v>5</v>
      </c>
      <c r="L17" s="0" t="s">
        <v>1</v>
      </c>
    </row>
    <row r="18" customFormat="false" ht="15" hidden="false" customHeight="false" outlineLevel="0" collapsed="false">
      <c r="A18" s="0" t="s">
        <v>3</v>
      </c>
      <c r="B18" s="0" t="s">
        <v>1</v>
      </c>
      <c r="C18" s="0" t="s">
        <v>1</v>
      </c>
      <c r="E18" s="9" t="s">
        <v>1</v>
      </c>
      <c r="F18" s="0" t="s">
        <v>1</v>
      </c>
      <c r="H18" s="0" t="s">
        <v>1</v>
      </c>
      <c r="I18" s="0" t="s">
        <v>1</v>
      </c>
      <c r="J18" s="0" t="s">
        <v>1</v>
      </c>
      <c r="K18" s="0" t="s">
        <v>1</v>
      </c>
    </row>
    <row r="19" customFormat="false" ht="15" hidden="false" customHeight="false" outlineLevel="0" collapsed="false">
      <c r="B19" s="0" t="s">
        <v>1</v>
      </c>
      <c r="C19" s="0" t="s">
        <v>1</v>
      </c>
      <c r="G19" s="0" t="s">
        <v>1</v>
      </c>
      <c r="H19" s="0" t="s">
        <v>1</v>
      </c>
      <c r="I19" s="0" t="s">
        <v>1</v>
      </c>
      <c r="J19" s="0" t="s">
        <v>1</v>
      </c>
      <c r="K19" s="0" t="s">
        <v>1</v>
      </c>
      <c r="L19" s="0" t="s">
        <v>6</v>
      </c>
    </row>
    <row r="20" customFormat="false" ht="15" hidden="false" customHeight="false" outlineLevel="0" collapsed="false">
      <c r="A20" s="0" t="s">
        <v>1</v>
      </c>
      <c r="B20" s="0" t="s">
        <v>1</v>
      </c>
      <c r="C20" s="0" t="s">
        <v>1</v>
      </c>
      <c r="H20" s="0" t="s">
        <v>1</v>
      </c>
      <c r="I20" s="0" t="s">
        <v>1</v>
      </c>
      <c r="J20" s="0" t="s">
        <v>1</v>
      </c>
      <c r="K20" s="0" t="s">
        <v>1</v>
      </c>
      <c r="L20" s="0" t="s">
        <v>1</v>
      </c>
    </row>
    <row r="21" customFormat="false" ht="15" hidden="false" customHeight="false" outlineLevel="0" collapsed="false">
      <c r="B21" s="0" t="s">
        <v>1</v>
      </c>
      <c r="D21" s="0" t="s">
        <v>1</v>
      </c>
      <c r="F21" s="0" t="s">
        <v>1</v>
      </c>
      <c r="H21" s="0" t="s">
        <v>1</v>
      </c>
      <c r="I21" s="0" t="s">
        <v>1</v>
      </c>
      <c r="J21" s="0" t="s">
        <v>6</v>
      </c>
      <c r="K21" s="0" t="s">
        <v>1</v>
      </c>
      <c r="L21" s="0" t="s">
        <v>1</v>
      </c>
    </row>
    <row r="22" customFormat="false" ht="15" hidden="false" customHeight="false" outlineLevel="0" collapsed="false">
      <c r="C22" s="0" t="s">
        <v>1</v>
      </c>
      <c r="H22" s="0" t="s">
        <v>1</v>
      </c>
      <c r="I22" s="0" t="s">
        <v>1</v>
      </c>
      <c r="J22" s="0" t="s">
        <v>1</v>
      </c>
      <c r="K22" s="0" t="s">
        <v>1</v>
      </c>
    </row>
    <row r="23" customFormat="false" ht="15" hidden="false" customHeight="false" outlineLevel="0" collapsed="false">
      <c r="A23" s="0" t="s">
        <v>1</v>
      </c>
      <c r="B23" s="0" t="s">
        <v>1</v>
      </c>
      <c r="C23" s="0" t="s">
        <v>1</v>
      </c>
      <c r="D23" s="11" t="s">
        <v>1</v>
      </c>
      <c r="G23" s="0" t="s">
        <v>1</v>
      </c>
      <c r="H23" s="0" t="s">
        <v>1</v>
      </c>
      <c r="I23" s="0" t="s">
        <v>1</v>
      </c>
      <c r="J23" s="0" t="s">
        <v>1</v>
      </c>
      <c r="K23" s="0" t="s">
        <v>1</v>
      </c>
      <c r="L23" s="0" t="s">
        <v>1</v>
      </c>
    </row>
    <row r="24" customFormat="false" ht="15" hidden="false" customHeight="false" outlineLevel="0" collapsed="false">
      <c r="A24" s="0" t="s">
        <v>1</v>
      </c>
      <c r="B24" s="0" t="s">
        <v>1</v>
      </c>
      <c r="C24" s="0" t="s">
        <v>1</v>
      </c>
      <c r="E24" s="0" t="s">
        <v>1</v>
      </c>
      <c r="G24" s="0" t="s">
        <v>1</v>
      </c>
      <c r="H24" s="0" t="s">
        <v>1</v>
      </c>
      <c r="I24" s="0" t="s">
        <v>1</v>
      </c>
      <c r="J24" s="0" t="s">
        <v>1</v>
      </c>
      <c r="K24" s="0" t="s">
        <v>1</v>
      </c>
    </row>
    <row r="25" customFormat="false" ht="15" hidden="false" customHeight="false" outlineLevel="0" collapsed="false">
      <c r="B25" s="7" t="s">
        <v>3</v>
      </c>
      <c r="C25" s="0" t="s">
        <v>1</v>
      </c>
      <c r="E25" s="0" t="s">
        <v>1</v>
      </c>
      <c r="G25" s="12"/>
      <c r="H25" s="0" t="s">
        <v>1</v>
      </c>
      <c r="I25" s="0" t="s">
        <v>1</v>
      </c>
      <c r="J25" s="0" t="s">
        <v>1</v>
      </c>
      <c r="K25" s="0" t="s">
        <v>0</v>
      </c>
    </row>
    <row r="26" customFormat="false" ht="15" hidden="false" customHeight="false" outlineLevel="0" collapsed="false">
      <c r="A26" s="0" t="s">
        <v>1</v>
      </c>
      <c r="B26" s="0" t="s">
        <v>1</v>
      </c>
      <c r="C26" s="0" t="s">
        <v>3</v>
      </c>
      <c r="G26" s="12"/>
      <c r="H26" s="0" t="s">
        <v>1</v>
      </c>
      <c r="I26" s="0" t="s">
        <v>1</v>
      </c>
      <c r="J26" s="0" t="s">
        <v>1</v>
      </c>
      <c r="K26" s="0" t="s">
        <v>1</v>
      </c>
    </row>
    <row r="27" customFormat="false" ht="15" hidden="false" customHeight="false" outlineLevel="0" collapsed="false">
      <c r="A27" s="0" t="s">
        <v>1</v>
      </c>
      <c r="B27" s="0" t="s">
        <v>1</v>
      </c>
      <c r="C27" s="0" t="s">
        <v>0</v>
      </c>
      <c r="D27" s="0" t="s">
        <v>1</v>
      </c>
      <c r="G27" s="12"/>
      <c r="H27" s="0" t="s">
        <v>1</v>
      </c>
      <c r="I27" s="0" t="s">
        <v>1</v>
      </c>
      <c r="J27" s="9" t="s">
        <v>1</v>
      </c>
      <c r="K27" s="0" t="s">
        <v>1</v>
      </c>
      <c r="L27" s="0" t="s">
        <v>3</v>
      </c>
    </row>
    <row r="28" customFormat="false" ht="15" hidden="false" customHeight="false" outlineLevel="0" collapsed="false">
      <c r="G28" s="12"/>
      <c r="H28" s="0" t="s">
        <v>1</v>
      </c>
      <c r="I28" s="0" t="s">
        <v>1</v>
      </c>
      <c r="J28" s="0" t="s">
        <v>1</v>
      </c>
      <c r="K28" s="0" t="s">
        <v>1</v>
      </c>
      <c r="L28" s="0" t="s">
        <v>1</v>
      </c>
      <c r="M28" s="0" t="s">
        <v>1</v>
      </c>
    </row>
    <row r="29" customFormat="false" ht="15" hidden="false" customHeight="false" outlineLevel="0" collapsed="false">
      <c r="G29" s="12"/>
      <c r="H29" s="0" t="s">
        <v>1</v>
      </c>
      <c r="I29" s="0" t="s">
        <v>1</v>
      </c>
      <c r="J29" s="0" t="s">
        <v>1</v>
      </c>
      <c r="K29" s="0" t="s">
        <v>1</v>
      </c>
    </row>
    <row r="30" customFormat="false" ht="15" hidden="false" customHeight="false" outlineLevel="0" collapsed="false">
      <c r="H30" s="0" t="s">
        <v>1</v>
      </c>
      <c r="I30" s="0" t="s">
        <v>1</v>
      </c>
      <c r="J30" s="0" t="s">
        <v>1</v>
      </c>
      <c r="K30" s="0" t="s">
        <v>1</v>
      </c>
    </row>
    <row r="31" customFormat="false" ht="15" hidden="false" customHeight="false" outlineLevel="0" collapsed="false">
      <c r="H31" s="0" t="s">
        <v>1</v>
      </c>
      <c r="I31" s="0" t="s">
        <v>1</v>
      </c>
      <c r="J31" s="0" t="s">
        <v>1</v>
      </c>
      <c r="K31" s="0" t="s">
        <v>1</v>
      </c>
    </row>
    <row r="32" customFormat="false" ht="15" hidden="false" customHeight="false" outlineLevel="0" collapsed="false">
      <c r="A32" s="0" t="s">
        <v>1</v>
      </c>
      <c r="H32" s="0" t="s">
        <v>1</v>
      </c>
      <c r="I32" s="0" t="s">
        <v>1</v>
      </c>
      <c r="J32" s="0" t="s">
        <v>1</v>
      </c>
      <c r="K32" s="0" t="s">
        <v>1</v>
      </c>
    </row>
    <row r="33" customFormat="false" ht="15" hidden="false" customHeight="false" outlineLevel="0" collapsed="false">
      <c r="C33" s="0" t="s">
        <v>1</v>
      </c>
      <c r="H33" s="0" t="s">
        <v>1</v>
      </c>
      <c r="I33" s="0" t="s">
        <v>1</v>
      </c>
      <c r="J33" s="0" t="s">
        <v>1</v>
      </c>
      <c r="K33" s="0" t="s">
        <v>1</v>
      </c>
    </row>
    <row r="34" customFormat="false" ht="15" hidden="false" customHeight="false" outlineLevel="0" collapsed="false">
      <c r="H34" s="0" t="s">
        <v>1</v>
      </c>
      <c r="I34" s="0" t="s">
        <v>1</v>
      </c>
      <c r="J34" s="0" t="s">
        <v>1</v>
      </c>
      <c r="K34" s="0" t="s">
        <v>1</v>
      </c>
    </row>
    <row r="35" customFormat="false" ht="15" hidden="false" customHeight="false" outlineLevel="0" collapsed="false">
      <c r="H35" s="0" t="s">
        <v>1</v>
      </c>
      <c r="I35" s="0" t="s">
        <v>1</v>
      </c>
      <c r="J35" s="0" t="s">
        <v>1</v>
      </c>
      <c r="K35" s="0" t="s">
        <v>1</v>
      </c>
    </row>
    <row r="83" customFormat="false" ht="15" hidden="false" customHeight="false" outlineLevel="0" collapsed="false">
      <c r="A83" s="0" t="s">
        <v>1</v>
      </c>
    </row>
    <row r="86" customFormat="false" ht="15" hidden="false" customHeight="false" outlineLevel="0" collapsed="false">
      <c r="I86" s="0" t="s">
        <v>1</v>
      </c>
    </row>
    <row r="90" customFormat="false" ht="15" hidden="false" customHeight="false" outlineLevel="0" collapsed="false">
      <c r="A90" s="0" t="s">
        <v>3</v>
      </c>
    </row>
    <row r="142" customFormat="false" ht="15" hidden="false" customHeight="false" outlineLevel="0" collapsed="false">
      <c r="B142" s="0" t="s">
        <v>1</v>
      </c>
    </row>
    <row r="293" customFormat="false" ht="15" hidden="false" customHeight="false" outlineLevel="0" collapsed="false">
      <c r="A293" s="0" t="s">
        <v>1</v>
      </c>
    </row>
    <row r="958" customFormat="false" ht="15" hidden="false" customHeight="false" outlineLevel="0" collapsed="false">
      <c r="A958" s="0" t="s">
        <v>3</v>
      </c>
    </row>
  </sheetData>
  <mergeCells count="1">
    <mergeCell ref="C3:H3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&amp;L&amp;"Arial Black,Bold"&amp;24REVISED&amp;CPage &amp;P</oddFooter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0">
              <controlPr defaultSize="0" print="false" autoFill="0" autoPict="0" macro="xls.Code_6day.Print_Six_Day">
                <anchor moveWithCells="true" sizeWithCells="false">
                  <from>
                    <xdr:col>3</xdr:col>
                    <xdr:colOff>0</xdr:colOff>
                    <xdr:row>4</xdr:row>
                    <xdr:rowOff>0</xdr:rowOff>
                  </from>
                  <to>
                    <xdr:col>4</xdr:col>
                    <xdr:colOff>535320</xdr:colOff>
                    <xdr:row>6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11">
              <controlPr defaultSize="0" print="false" autoFill="0" autoPict="0" macro="xls.New_sheet_Code.Create_Tomorrow">
                <anchor moveWithCells="true" sizeWithCells="false">
                  <from>
                    <xdr:col>5</xdr:col>
                    <xdr:colOff>0</xdr:colOff>
                    <xdr:row>4</xdr:row>
                    <xdr:rowOff>0</xdr:rowOff>
                  </from>
                  <to>
                    <xdr:col>6</xdr:col>
                    <xdr:colOff>527040</xdr:colOff>
                    <xdr:row>6</xdr:row>
                    <xdr:rowOff>85680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5" name="Button 12">
              <controlPr defaultSize="0" print="false" autoFill="0" autoPict="0" macro="xls.File_Operations.Load_Sheet">
                <anchor moveWithCells="true" sizeWithCells="false">
                  <from>
                    <xdr:col>5</xdr:col>
                    <xdr:colOff>0</xdr:colOff>
                    <xdr:row>7</xdr:row>
                    <xdr:rowOff>0</xdr:rowOff>
                  </from>
                  <to>
                    <xdr:col>6</xdr:col>
                    <xdr:colOff>527040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6" name="Button 13">
              <controlPr defaultSize="0" print="false" autoFill="0" autoPict="0" macro="xls.Code_6day.Print_PGL_NSG">
                <anchor moveWithCells="true" sizeWithCells="false">
                  <from>
                    <xdr:col>3</xdr:col>
                    <xdr:colOff>0</xdr:colOff>
                    <xdr:row>7</xdr:row>
                    <xdr:rowOff>0</xdr:rowOff>
                  </from>
                  <to>
                    <xdr:col>4</xdr:col>
                    <xdr:colOff>535320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5" r:id="rId7" name="Button 14">
              <controlPr defaultSize="0" print="false" autoFill="0" autoPict="0" macro="xls.Code_6day.Print_Six_Day_Summary">
                <anchor moveWithCells="true" sizeWithCells="false">
                  <from>
                    <xdr:col>3</xdr:col>
                    <xdr:colOff>0</xdr:colOff>
                    <xdr:row>10</xdr:row>
                    <xdr:rowOff>0</xdr:rowOff>
                  </from>
                  <to>
                    <xdr:col>4</xdr:col>
                    <xdr:colOff>535320</xdr:colOff>
                    <xdr:row>12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6" r:id="rId8" name="Button 15">
              <controlPr defaultSize="0" print="false" autoFill="0" autoPict="0" macro="xls.Printing_Routines.Print_NGPL_Forecast">
                <anchor moveWithCells="true" sizeWithCells="false">
                  <from>
                    <xdr:col>5</xdr:col>
                    <xdr:colOff>0</xdr:colOff>
                    <xdr:row>10</xdr:row>
                    <xdr:rowOff>0</xdr:rowOff>
                  </from>
                  <to>
                    <xdr:col>6</xdr:col>
                    <xdr:colOff>536760</xdr:colOff>
                    <xdr:row>12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7" r:id="rId9" name="Button 17">
              <controlPr defaultSize="0" print="false" autoFill="0" autoPict="0" macro="xls.Printing_Routines.Print_Gas_Summary">
                <anchor moveWithCells="true" sizeWithCells="false">
                  <from>
                    <xdr:col>3</xdr:col>
                    <xdr:colOff>9360</xdr:colOff>
                    <xdr:row>13</xdr:row>
                    <xdr:rowOff>0</xdr:rowOff>
                  </from>
                  <to>
                    <xdr:col>4</xdr:col>
                    <xdr:colOff>554040</xdr:colOff>
                    <xdr:row>15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8" r:id="rId10" name="Button 18">
              <controlPr defaultSize="0" print="false" autoFill="0" autoPict="0" macro="xls.Export_Weather.Export_Weather">
                <anchor moveWithCells="true" sizeWithCells="false">
                  <from>
                    <xdr:col>3</xdr:col>
                    <xdr:colOff>0</xdr:colOff>
                    <xdr:row>16</xdr:row>
                    <xdr:rowOff>0</xdr:rowOff>
                  </from>
                  <to>
                    <xdr:col>4</xdr:col>
                    <xdr:colOff>535320</xdr:colOff>
                    <xdr:row>18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9" r:id="rId11" name="Button 19">
              <controlPr defaultSize="0" print="false" autoFill="0" autoPict="0" macro="xls.Printing_Routines.Print_Midcon">
                <anchor moveWithCells="true" sizeWithCells="false">
                  <from>
                    <xdr:col>5</xdr:col>
                    <xdr:colOff>27720</xdr:colOff>
                    <xdr:row>13</xdr:row>
                    <xdr:rowOff>0</xdr:rowOff>
                  </from>
                  <to>
                    <xdr:col>6</xdr:col>
                    <xdr:colOff>564480</xdr:colOff>
                    <xdr:row>15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0" r:id="rId12" name="Button 22">
              <controlPr defaultSize="0" print="false" autoFill="0" autoPict="0" macro="xls.Printing_Routines.Print_PGL_Nine_to_Nine">
                <anchor moveWithCells="true" sizeWithCells="false">
                  <from>
                    <xdr:col>5</xdr:col>
                    <xdr:colOff>0</xdr:colOff>
                    <xdr:row>19</xdr:row>
                    <xdr:rowOff>0</xdr:rowOff>
                  </from>
                  <to>
                    <xdr:col>6</xdr:col>
                    <xdr:colOff>536760</xdr:colOff>
                    <xdr:row>21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1" r:id="rId13" name="Button 23">
              <controlPr defaultSize="0" print="false" autoFill="0" autoPict="0" macro="xls.Printing_Routines.Print_NSG_Nine_to_Nine">
                <anchor moveWithCells="true" sizeWithCells="false">
                  <from>
                    <xdr:col>5</xdr:col>
                    <xdr:colOff>0</xdr:colOff>
                    <xdr:row>19</xdr:row>
                    <xdr:rowOff>28440</xdr:rowOff>
                  </from>
                  <to>
                    <xdr:col>6</xdr:col>
                    <xdr:colOff>536760</xdr:colOff>
                    <xdr:row>21</xdr:row>
                    <xdr:rowOff>105120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2" r:id="rId14" name="Button 24">
              <controlPr defaultSize="0" print="false" autoFill="0" autoPict="0" macro="xls.Printing_Routines.Print_PGL_Nine_to_Nine">
                <anchor moveWithCells="true" sizeWithCells="false">
                  <from>
                    <xdr:col>5</xdr:col>
                    <xdr:colOff>0</xdr:colOff>
                    <xdr:row>16</xdr:row>
                    <xdr:rowOff>0</xdr:rowOff>
                  </from>
                  <to>
                    <xdr:col>6</xdr:col>
                    <xdr:colOff>536760</xdr:colOff>
                    <xdr:row>18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3" r:id="rId15" name="Button 27">
              <controlPr defaultSize="0" print="false" autoFill="0" autoPict="0" macro="xls.Module3.Billy_Sheet">
                <anchor moveWithCells="true" sizeWithCells="false">
                  <from>
                    <xdr:col>3</xdr:col>
                    <xdr:colOff>0</xdr:colOff>
                    <xdr:row>19</xdr:row>
                    <xdr:rowOff>28440</xdr:rowOff>
                  </from>
                  <to>
                    <xdr:col>4</xdr:col>
                    <xdr:colOff>535320</xdr:colOff>
                    <xdr:row>21</xdr:row>
                    <xdr:rowOff>105120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4" r:id="rId16" name="Button 28">
              <controlPr defaultSize="0" print="false" autoFill="0" autoPict="0" macro="xls.Module3.MAHOMET_PIPELINE_GRAPHICS">
                <anchor moveWithCells="true" sizeWithCells="false">
                  <from>
                    <xdr:col>3</xdr:col>
                    <xdr:colOff>9360</xdr:colOff>
                    <xdr:row>22</xdr:row>
                    <xdr:rowOff>104760</xdr:rowOff>
                  </from>
                  <to>
                    <xdr:col>4</xdr:col>
                    <xdr:colOff>544320</xdr:colOff>
                    <xdr:row>24</xdr:row>
                    <xdr:rowOff>180720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49"/>
  <sheetViews>
    <sheetView showFormulas="false" showGridLines="true" showRowColHeaders="true" showZeros="true" rightToLeft="false" tabSelected="false" showOutlineSymbols="true" defaultGridColor="true" view="normal" topLeftCell="A36" colorId="64" zoomScale="75" zoomScaleNormal="75" zoomScalePageLayoutView="100" workbookViewId="0">
      <selection pane="topLeft" activeCell="J41" activeCellId="0" sqref="J40:J41"/>
    </sheetView>
  </sheetViews>
  <sheetFormatPr defaultColWidth="8.8828125" defaultRowHeight="15" customHeight="true" zeroHeight="false" outlineLevelRow="0" outlineLevelCol="0"/>
  <cols>
    <col collapsed="false" customWidth="true" hidden="false" outlineLevel="0" max="1" min="1" style="174" width="23.21"/>
    <col collapsed="false" customWidth="false" hidden="false" outlineLevel="0" max="2" min="2" style="174" width="8.88"/>
    <col collapsed="false" customWidth="true" hidden="false" outlineLevel="0" max="3" min="3" style="174" width="16.99"/>
    <col collapsed="false" customWidth="true" hidden="false" outlineLevel="0" max="4" min="4" style="174" width="7.77"/>
    <col collapsed="false" customWidth="true" hidden="false" outlineLevel="0" max="5" min="5" style="174" width="8.55"/>
    <col collapsed="false" customWidth="true" hidden="false" outlineLevel="0" max="6" min="6" style="174" width="8.65"/>
    <col collapsed="false" customWidth="true" hidden="false" outlineLevel="0" max="7" min="7" style="174" width="8.55"/>
    <col collapsed="false" customWidth="true" hidden="false" outlineLevel="0" max="9" min="8" style="174" width="8.65"/>
    <col collapsed="false" customWidth="false" hidden="false" outlineLevel="0" max="257" min="10" style="174" width="8.88"/>
  </cols>
  <sheetData>
    <row r="1" customFormat="false" ht="20.1" hidden="false" customHeight="true" outlineLevel="0" collapsed="false">
      <c r="A1" s="120" t="s">
        <v>254</v>
      </c>
      <c r="B1" s="121"/>
      <c r="C1" s="121"/>
      <c r="D1" s="121"/>
      <c r="E1" s="121"/>
      <c r="F1" s="121"/>
      <c r="G1" s="121" t="s">
        <v>215</v>
      </c>
      <c r="H1" s="175" t="str">
        <f aca="false">D3</f>
        <v>WED</v>
      </c>
      <c r="I1" s="176" t="n">
        <f aca="false">D4</f>
        <v>37034</v>
      </c>
      <c r="J1" s="177"/>
    </row>
    <row r="2" customFormat="false" ht="20.1" hidden="false" customHeight="true" outlineLevel="0" collapsed="false">
      <c r="A2" s="125" t="s">
        <v>255</v>
      </c>
      <c r="B2" s="126"/>
      <c r="C2" s="126"/>
      <c r="D2" s="126"/>
      <c r="E2" s="126"/>
      <c r="F2" s="126"/>
      <c r="G2" s="126"/>
      <c r="H2" s="126"/>
      <c r="I2" s="127"/>
      <c r="J2" s="177"/>
    </row>
    <row r="3" customFormat="false" ht="20.1" hidden="false" customHeight="true" outlineLevel="0" collapsed="false">
      <c r="A3" s="128"/>
      <c r="B3" s="126"/>
      <c r="C3" s="126"/>
      <c r="D3" s="129" t="str">
        <f aca="false">CHOOSE(WEEKDAY(D4),"SUN","MON","TUE","WED","THU","FRI","SAT")</f>
        <v>WED</v>
      </c>
      <c r="E3" s="129" t="str">
        <f aca="false">CHOOSE(WEEKDAY(E4),"SUN","MON","TUE","WED","THU","FRI","SAT")</f>
        <v>THU</v>
      </c>
      <c r="F3" s="129" t="str">
        <f aca="false">CHOOSE(WEEKDAY(F4),"SUN","MON","TUE","WED","THU","FRI","SAT")</f>
        <v>FRI</v>
      </c>
      <c r="G3" s="129" t="str">
        <f aca="false">CHOOSE(WEEKDAY(G4),"SUN","MON","TUE","WED","THU","FRI","SAT")</f>
        <v>SAT</v>
      </c>
      <c r="H3" s="129" t="str">
        <f aca="false">CHOOSE(WEEKDAY(H4),"SUN","MON","TUE","WED","THU","FRI","SAT")</f>
        <v>SUN</v>
      </c>
      <c r="I3" s="130" t="str">
        <f aca="false">CHOOSE(WEEKDAY(I4),"SUN","MON","TUE","WED","THU","FRI","SAT")</f>
        <v>MON</v>
      </c>
      <c r="J3" s="177"/>
    </row>
    <row r="4" customFormat="false" ht="20.1" hidden="false" customHeight="true" outlineLevel="0" collapsed="false">
      <c r="A4" s="131" t="s">
        <v>256</v>
      </c>
      <c r="B4" s="132"/>
      <c r="C4" s="132"/>
      <c r="D4" s="178" t="n">
        <f aca="false">Weather_Input!A5</f>
        <v>37034</v>
      </c>
      <c r="E4" s="178" t="n">
        <f aca="false">Weather_Input!A6</f>
        <v>37035</v>
      </c>
      <c r="F4" s="178" t="n">
        <f aca="false">Weather_Input!A7</f>
        <v>37036</v>
      </c>
      <c r="G4" s="178" t="n">
        <f aca="false">Weather_Input!A8</f>
        <v>37037</v>
      </c>
      <c r="H4" s="178" t="n">
        <f aca="false">Weather_Input!A9</f>
        <v>37038</v>
      </c>
      <c r="I4" s="179" t="n">
        <f aca="false">Weather_Input!A10</f>
        <v>37039</v>
      </c>
      <c r="J4" s="177"/>
    </row>
    <row r="5" customFormat="false" ht="20.1" hidden="false" customHeight="true" outlineLevel="0" collapsed="false">
      <c r="A5" s="135" t="s">
        <v>217</v>
      </c>
      <c r="B5" s="126"/>
      <c r="C5" s="126" t="s">
        <v>218</v>
      </c>
      <c r="D5" s="180" t="str">
        <f aca="false">TEXT(Weather_Input!B5,"0")&amp;"/"&amp;TEXT(Weather_Input!C5,"0")&amp;"/"&amp;TEXT((Weather_Input!B5+Weather_Input!C5)/2,"0")</f>
        <v>62/44/53</v>
      </c>
      <c r="E5" s="180" t="str">
        <f aca="false">TEXT(Weather_Input!B6,"0")&amp;"/"&amp;TEXT(Weather_Input!C6,"0")&amp;"/"&amp;TEXT((Weather_Input!B6+Weather_Input!C6)/2,"0")</f>
        <v>59/44/52</v>
      </c>
      <c r="F5" s="180" t="str">
        <f aca="false">TEXT(Weather_Input!B7,"0")&amp;"/"&amp;TEXT(Weather_Input!C7,"0")&amp;"/"&amp;TEXT((Weather_Input!B7+Weather_Input!C7)/2,"0")</f>
        <v>60/44/52</v>
      </c>
      <c r="G5" s="180" t="str">
        <f aca="false">TEXT(Weather_Input!B8,"0")&amp;"/"&amp;TEXT(Weather_Input!C8,"0")&amp;"/"&amp;TEXT((Weather_Input!B8+Weather_Input!C8)/2,"0")</f>
        <v>62/45/54</v>
      </c>
      <c r="H5" s="180" t="str">
        <f aca="false">TEXT(Weather_Input!B9,"0")&amp;"/"&amp;TEXT(Weather_Input!C9,"0")&amp;"/"&amp;TEXT((Weather_Input!B9+Weather_Input!C9)/2,"0")</f>
        <v>65/48/57</v>
      </c>
      <c r="I5" s="181" t="str">
        <f aca="false">TEXT(Weather_Input!B10,"0")&amp;"/"&amp;TEXT(Weather_Input!C10,"0")&amp;"/"&amp;TEXT((Weather_Input!B10+Weather_Input!C10)/2,"0")</f>
        <v>65/48/57</v>
      </c>
      <c r="J5" s="177"/>
      <c r="K5" s="119"/>
      <c r="L5" s="119"/>
      <c r="M5" s="119"/>
      <c r="N5" s="119"/>
      <c r="O5" s="119"/>
      <c r="P5" s="119"/>
      <c r="Q5" s="119"/>
      <c r="R5" s="119"/>
      <c r="S5" s="119"/>
      <c r="T5" s="119"/>
      <c r="U5" s="119"/>
      <c r="V5" s="119"/>
      <c r="W5" s="119"/>
      <c r="X5" s="119"/>
      <c r="Y5" s="119"/>
      <c r="Z5" s="119"/>
      <c r="AA5" s="119"/>
      <c r="AB5" s="119"/>
      <c r="AC5" s="119"/>
      <c r="AD5" s="119"/>
      <c r="AE5" s="119"/>
      <c r="AF5" s="119"/>
      <c r="AG5" s="119"/>
      <c r="AH5" s="119"/>
      <c r="AI5" s="119"/>
      <c r="AJ5" s="119"/>
      <c r="AK5" s="119"/>
      <c r="AL5" s="119"/>
      <c r="AM5" s="119"/>
      <c r="AN5" s="119"/>
      <c r="AO5" s="119"/>
      <c r="AP5" s="119"/>
      <c r="AQ5" s="119"/>
      <c r="AR5" s="119"/>
      <c r="AS5" s="119"/>
      <c r="AT5" s="119"/>
      <c r="AU5" s="119"/>
      <c r="AV5" s="119"/>
      <c r="AW5" s="119"/>
      <c r="AX5" s="119"/>
      <c r="AY5" s="119"/>
      <c r="AZ5" s="119"/>
      <c r="BA5" s="119"/>
      <c r="BB5" s="119"/>
      <c r="BC5" s="119"/>
      <c r="BD5" s="119"/>
      <c r="BE5" s="119"/>
      <c r="BF5" s="119"/>
      <c r="BG5" s="119"/>
      <c r="BH5" s="119"/>
      <c r="BI5" s="119"/>
      <c r="BJ5" s="119"/>
      <c r="BK5" s="119"/>
      <c r="BL5" s="119"/>
      <c r="BM5" s="119"/>
      <c r="BN5" s="119"/>
      <c r="BO5" s="119"/>
      <c r="BP5" s="119"/>
      <c r="BQ5" s="119"/>
      <c r="BR5" s="119"/>
      <c r="BS5" s="119"/>
      <c r="BT5" s="119"/>
      <c r="BU5" s="119"/>
      <c r="BV5" s="119"/>
      <c r="BW5" s="119"/>
      <c r="BX5" s="119"/>
      <c r="BY5" s="119"/>
      <c r="BZ5" s="119"/>
      <c r="CA5" s="119"/>
      <c r="CB5" s="119"/>
      <c r="CC5" s="119"/>
      <c r="CD5" s="119"/>
      <c r="CE5" s="119"/>
      <c r="CF5" s="119"/>
      <c r="CG5" s="119"/>
      <c r="CH5" s="119"/>
      <c r="CI5" s="119"/>
      <c r="CJ5" s="119"/>
      <c r="CK5" s="119"/>
      <c r="CL5" s="119"/>
      <c r="CM5" s="119"/>
      <c r="CN5" s="119"/>
      <c r="CO5" s="119"/>
      <c r="CP5" s="119"/>
      <c r="CQ5" s="119"/>
      <c r="CR5" s="119"/>
      <c r="CS5" s="119"/>
      <c r="CT5" s="119"/>
      <c r="CU5" s="119"/>
      <c r="CV5" s="119"/>
      <c r="CW5" s="119"/>
      <c r="CX5" s="119"/>
      <c r="CY5" s="119"/>
      <c r="CZ5" s="119"/>
      <c r="DA5" s="119"/>
      <c r="DB5" s="119"/>
      <c r="DC5" s="119"/>
      <c r="DD5" s="119"/>
      <c r="DE5" s="119"/>
      <c r="DF5" s="119"/>
      <c r="DG5" s="119"/>
      <c r="DH5" s="119"/>
      <c r="DI5" s="119"/>
      <c r="DJ5" s="119"/>
      <c r="DK5" s="119"/>
      <c r="DL5" s="119"/>
      <c r="DM5" s="119"/>
      <c r="DN5" s="119"/>
      <c r="DO5" s="119"/>
      <c r="DP5" s="119"/>
      <c r="DQ5" s="119"/>
      <c r="DR5" s="119"/>
      <c r="DS5" s="119"/>
      <c r="DT5" s="119"/>
      <c r="DU5" s="119"/>
      <c r="DV5" s="119"/>
      <c r="DW5" s="119"/>
      <c r="DX5" s="119"/>
      <c r="DY5" s="119"/>
      <c r="DZ5" s="119"/>
      <c r="EA5" s="119"/>
      <c r="EB5" s="119"/>
      <c r="EC5" s="119"/>
      <c r="ED5" s="119"/>
      <c r="EE5" s="119"/>
      <c r="EF5" s="119"/>
      <c r="EG5" s="119"/>
      <c r="EH5" s="119"/>
      <c r="EI5" s="119"/>
      <c r="EJ5" s="119"/>
      <c r="EK5" s="119"/>
      <c r="EL5" s="119"/>
      <c r="EM5" s="119"/>
      <c r="EN5" s="119"/>
      <c r="EO5" s="119"/>
      <c r="EP5" s="119"/>
      <c r="EQ5" s="119"/>
      <c r="ER5" s="119"/>
      <c r="ES5" s="119"/>
      <c r="ET5" s="119"/>
      <c r="EU5" s="119"/>
      <c r="EV5" s="119"/>
      <c r="EW5" s="119"/>
      <c r="EX5" s="119"/>
      <c r="EY5" s="119"/>
      <c r="EZ5" s="119"/>
      <c r="FA5" s="119"/>
      <c r="FB5" s="119"/>
      <c r="FC5" s="119"/>
      <c r="FD5" s="119"/>
      <c r="FE5" s="119"/>
      <c r="FF5" s="119"/>
      <c r="FG5" s="119"/>
      <c r="FH5" s="119"/>
      <c r="FI5" s="119"/>
      <c r="FJ5" s="119"/>
      <c r="FK5" s="119"/>
      <c r="FL5" s="119"/>
      <c r="FM5" s="119"/>
      <c r="FN5" s="119"/>
      <c r="FO5" s="119"/>
      <c r="FP5" s="119"/>
      <c r="FQ5" s="119"/>
      <c r="FR5" s="119"/>
      <c r="FS5" s="119"/>
      <c r="FT5" s="119"/>
      <c r="FU5" s="119"/>
      <c r="FV5" s="119"/>
      <c r="FW5" s="119"/>
      <c r="FX5" s="119"/>
      <c r="FY5" s="119"/>
      <c r="FZ5" s="119"/>
      <c r="GA5" s="119"/>
      <c r="GB5" s="119"/>
      <c r="GC5" s="119"/>
      <c r="GD5" s="119"/>
      <c r="GE5" s="119"/>
      <c r="GF5" s="119"/>
      <c r="GG5" s="119"/>
      <c r="GH5" s="119"/>
      <c r="GI5" s="119"/>
      <c r="GJ5" s="119"/>
      <c r="GK5" s="119"/>
      <c r="GL5" s="119"/>
      <c r="GM5" s="119"/>
      <c r="GN5" s="119"/>
      <c r="GO5" s="119"/>
      <c r="GP5" s="119"/>
      <c r="GQ5" s="119"/>
      <c r="GR5" s="119"/>
      <c r="GS5" s="119"/>
      <c r="GT5" s="119"/>
      <c r="GU5" s="119"/>
      <c r="GV5" s="119"/>
      <c r="GW5" s="119"/>
      <c r="GX5" s="119"/>
      <c r="GY5" s="119"/>
      <c r="GZ5" s="119"/>
      <c r="HA5" s="119"/>
      <c r="HB5" s="119"/>
      <c r="HC5" s="119"/>
      <c r="HD5" s="119"/>
      <c r="HE5" s="119"/>
      <c r="HF5" s="119"/>
      <c r="HG5" s="119"/>
      <c r="HH5" s="119"/>
      <c r="HI5" s="119"/>
      <c r="HJ5" s="119"/>
      <c r="HK5" s="119"/>
      <c r="HL5" s="119"/>
      <c r="HM5" s="119"/>
      <c r="HN5" s="119"/>
      <c r="HO5" s="119"/>
      <c r="HP5" s="119"/>
      <c r="HQ5" s="119"/>
      <c r="HR5" s="119"/>
      <c r="HS5" s="119"/>
      <c r="HT5" s="119"/>
      <c r="HU5" s="119"/>
      <c r="HV5" s="119"/>
      <c r="HW5" s="119"/>
      <c r="HX5" s="119"/>
      <c r="HY5" s="119"/>
      <c r="HZ5" s="119"/>
      <c r="IA5" s="119"/>
      <c r="IB5" s="119"/>
      <c r="IC5" s="119"/>
      <c r="ID5" s="119"/>
      <c r="IE5" s="119"/>
      <c r="IF5" s="119"/>
      <c r="IG5" s="119"/>
      <c r="IH5" s="119"/>
      <c r="II5" s="119"/>
      <c r="IJ5" s="119"/>
      <c r="IK5" s="119"/>
      <c r="IL5" s="119"/>
      <c r="IM5" s="119"/>
      <c r="IN5" s="119"/>
      <c r="IO5" s="119"/>
      <c r="IP5" s="119"/>
      <c r="IQ5" s="119"/>
      <c r="IR5" s="119"/>
      <c r="IS5" s="119"/>
      <c r="IT5" s="119"/>
      <c r="IU5" s="119"/>
      <c r="IV5" s="119"/>
      <c r="IW5" s="119"/>
    </row>
    <row r="6" customFormat="false" ht="20.1" hidden="false" customHeight="true" outlineLevel="0" collapsed="false">
      <c r="A6" s="138" t="s">
        <v>219</v>
      </c>
      <c r="B6" s="126"/>
      <c r="C6" s="126"/>
      <c r="D6" s="182" t="n">
        <f aca="true">VLOOKUP(D4,NSG_Sendouts,CELL("Col",NSG_Deliveries!C5),FALSE())/1000</f>
        <v>63</v>
      </c>
      <c r="E6" s="182" t="n">
        <f aca="true">VLOOKUP(E4,NSG_Sendouts,CELL("Col",NSG_Deliveries!C6),FALSE())/1000</f>
        <v>62</v>
      </c>
      <c r="F6" s="182" t="n">
        <f aca="true">VLOOKUP(F4,NSG_Sendouts,CELL("Col",NSG_Deliveries!C7),FALSE())/1000</f>
        <v>59</v>
      </c>
      <c r="G6" s="182" t="n">
        <f aca="true">VLOOKUP(G4,NSG_Sendouts,CELL("Col",NSG_Deliveries!C8),FALSE())/1000</f>
        <v>53</v>
      </c>
      <c r="H6" s="182" t="n">
        <f aca="true">VLOOKUP(H4,NSG_Sendouts,CELL("Col",NSG_Deliveries!C9),FALSE())/1000</f>
        <v>52</v>
      </c>
      <c r="I6" s="183" t="n">
        <f aca="true">VLOOKUP(I4,NSG_Sendouts,CELL("Col",NSG_Deliveries!C10),FALSE())/1000</f>
        <v>54</v>
      </c>
      <c r="J6" s="119"/>
    </row>
    <row r="7" customFormat="false" ht="20.1" hidden="false" customHeight="true" outlineLevel="0" collapsed="false">
      <c r="A7" s="135" t="s">
        <v>222</v>
      </c>
      <c r="B7" s="126" t="s">
        <v>225</v>
      </c>
      <c r="C7" s="126"/>
      <c r="D7" s="182" t="n">
        <f aca="false">NSG_Requirements!C7/1000</f>
        <v>0</v>
      </c>
      <c r="E7" s="182" t="n">
        <f aca="false">NSG_Requirements!C8/1000</f>
        <v>0</v>
      </c>
      <c r="F7" s="182" t="n">
        <f aca="false">NSG_Requirements!C9/1000</f>
        <v>0</v>
      </c>
      <c r="G7" s="182" t="n">
        <f aca="false">NSG_Requirements!C10/1000</f>
        <v>0</v>
      </c>
      <c r="H7" s="182" t="n">
        <f aca="false">NSG_Requirements!C11/1000</f>
        <v>0</v>
      </c>
      <c r="I7" s="183" t="n">
        <f aca="false">NSG_Requirements!C12/1000</f>
        <v>0</v>
      </c>
      <c r="J7" s="177"/>
    </row>
    <row r="8" customFormat="false" ht="20.1" hidden="false" customHeight="true" outlineLevel="0" collapsed="false">
      <c r="A8" s="135"/>
      <c r="B8" s="126" t="s">
        <v>223</v>
      </c>
      <c r="C8" s="126"/>
      <c r="D8" s="182" t="n">
        <f aca="false">NSG_Requirements!D7/1000</f>
        <v>0</v>
      </c>
      <c r="E8" s="182" t="n">
        <f aca="false">NSG_Requirements!D8/1000</f>
        <v>0</v>
      </c>
      <c r="F8" s="182" t="n">
        <f aca="false">NSG_Requirements!D9/1000</f>
        <v>0</v>
      </c>
      <c r="G8" s="182" t="n">
        <f aca="false">NSG_Requirements!D10/1000</f>
        <v>0</v>
      </c>
      <c r="H8" s="182" t="n">
        <f aca="false">NSG_Requirements!D11/1000</f>
        <v>0</v>
      </c>
      <c r="I8" s="183" t="n">
        <f aca="false">NSG_Requirements!D11/1000</f>
        <v>0</v>
      </c>
      <c r="J8" s="119"/>
    </row>
    <row r="9" customFormat="false" ht="20.1" hidden="false" customHeight="true" outlineLevel="0" collapsed="false">
      <c r="A9" s="135"/>
      <c r="B9" s="126" t="s">
        <v>224</v>
      </c>
      <c r="C9" s="126"/>
      <c r="D9" s="182" t="n">
        <f aca="false">NSG_Requirements!E7/1000</f>
        <v>0</v>
      </c>
      <c r="E9" s="182" t="n">
        <f aca="false">NSG_Requirements!E8/1000</f>
        <v>0</v>
      </c>
      <c r="F9" s="182" t="n">
        <f aca="false">NSG_Requirements!E9/1000</f>
        <v>0</v>
      </c>
      <c r="G9" s="182" t="n">
        <f aca="false">NSG_Requirements!E10/1000</f>
        <v>0</v>
      </c>
      <c r="H9" s="182" t="n">
        <f aca="false">NSG_Requirements!E11/1000</f>
        <v>0</v>
      </c>
      <c r="I9" s="183" t="n">
        <f aca="false">NSG_Requirements!E12/1000</f>
        <v>0</v>
      </c>
      <c r="J9" s="119"/>
    </row>
    <row r="10" customFormat="false" ht="20.1" hidden="false" customHeight="true" outlineLevel="0" collapsed="false">
      <c r="A10" s="135"/>
      <c r="B10" s="126" t="s">
        <v>138</v>
      </c>
      <c r="C10" s="126"/>
      <c r="D10" s="182" t="n">
        <f aca="false">NSG_Requirements!F7/1000</f>
        <v>0</v>
      </c>
      <c r="E10" s="182" t="n">
        <f aca="false">NSG_Requirements!F8/1000</f>
        <v>0</v>
      </c>
      <c r="F10" s="182" t="n">
        <f aca="false">NSG_Requirements!F9/1000</f>
        <v>0</v>
      </c>
      <c r="G10" s="182" t="n">
        <f aca="false">NSG_Requirements!F10/1000</f>
        <v>0</v>
      </c>
      <c r="H10" s="182" t="n">
        <f aca="false">NSG_Requirements!F11/1000</f>
        <v>0</v>
      </c>
      <c r="I10" s="183" t="n">
        <f aca="false">NSG_Requirements!F12/1000</f>
        <v>0</v>
      </c>
      <c r="J10" s="119"/>
    </row>
    <row r="11" customFormat="false" ht="20.1" hidden="false" customHeight="true" outlineLevel="0" collapsed="false">
      <c r="A11" s="135" t="s">
        <v>226</v>
      </c>
      <c r="B11" s="126" t="s">
        <v>227</v>
      </c>
      <c r="C11" s="126" t="s">
        <v>74</v>
      </c>
      <c r="D11" s="182" t="n">
        <f aca="false">(NSG_Requirements!$K$7+NSG_Requirements!$L$7+NSG_Requirements!$M$7+NSG_Requirements!$N$7)/1000</f>
        <v>0</v>
      </c>
      <c r="E11" s="182" t="n">
        <f aca="false">(NSG_Requirements!$K$8+NSG_Requirements!$L$8+NSG_Requirements!$M$8+NSG_Requirements!$N$8)/1000</f>
        <v>0</v>
      </c>
      <c r="F11" s="182" t="n">
        <f aca="false">(NSG_Requirements!$K$9+NSG_Requirements!$L$9+NSG_Requirements!$M$9+NSG_Requirements!$N$9)/1000</f>
        <v>0</v>
      </c>
      <c r="G11" s="182" t="n">
        <f aca="false">(NSG_Requirements!$K$10+NSG_Requirements!$L$10+NSG_Requirements!$M$10+NSG_Requirements!$N$10)/1000</f>
        <v>0</v>
      </c>
      <c r="H11" s="182" t="n">
        <f aca="false">(NSG_Requirements!$K$11+NSG_Requirements!$L$11+NSG_Requirements!$M$11+NSG_Requirements!$N$11)/1000</f>
        <v>0</v>
      </c>
      <c r="I11" s="183" t="n">
        <f aca="false">(NSG_Requirements!$K$12+NSG_Requirements!$L$12+NSG_Requirements!$M$12+NSG_Requirements!$N$12)/1000</f>
        <v>0</v>
      </c>
      <c r="J11" s="119"/>
    </row>
    <row r="12" customFormat="false" ht="20.1" hidden="false" customHeight="true" outlineLevel="0" collapsed="false">
      <c r="A12" s="135"/>
      <c r="B12" s="126" t="s">
        <v>223</v>
      </c>
      <c r="C12" s="140" t="s">
        <v>153</v>
      </c>
      <c r="D12" s="182" t="n">
        <f aca="false">NSG_Requirements!J7/1000</f>
        <v>0</v>
      </c>
      <c r="E12" s="182" t="n">
        <f aca="false">NSG_Requirements!J8/1000</f>
        <v>0</v>
      </c>
      <c r="F12" s="182" t="n">
        <f aca="false">NSG_Requirements!J9/1000</f>
        <v>0</v>
      </c>
      <c r="G12" s="182" t="n">
        <f aca="false">NSG_Requirements!J10/1000</f>
        <v>0</v>
      </c>
      <c r="H12" s="182" t="n">
        <f aca="false">NSG_Requirements!J11/1000</f>
        <v>0</v>
      </c>
      <c r="I12" s="183" t="n">
        <f aca="false">NSG_Requirements!J12/1000</f>
        <v>0</v>
      </c>
      <c r="J12" s="177"/>
    </row>
    <row r="13" customFormat="false" ht="20.1" hidden="false" customHeight="true" outlineLevel="0" collapsed="false">
      <c r="A13" s="135"/>
      <c r="B13" s="126" t="s">
        <v>225</v>
      </c>
      <c r="C13" s="140" t="s">
        <v>153</v>
      </c>
      <c r="D13" s="182" t="n">
        <f aca="false">NSG_Requirements!H7/1000</f>
        <v>0</v>
      </c>
      <c r="E13" s="182" t="n">
        <f aca="false">NSG_Requirements!H8/1000</f>
        <v>1.25</v>
      </c>
      <c r="F13" s="182" t="n">
        <f aca="false">NSG_Requirements!H9/1000</f>
        <v>1.25</v>
      </c>
      <c r="G13" s="182" t="n">
        <f aca="false">NSG_Requirements!H10/1000</f>
        <v>1.25</v>
      </c>
      <c r="H13" s="182" t="n">
        <f aca="false">NSG_Requirements!H11/1000</f>
        <v>1.25</v>
      </c>
      <c r="I13" s="183" t="n">
        <f aca="false">NSG_Requirements!H12/1000</f>
        <v>1.25</v>
      </c>
      <c r="J13" s="177"/>
    </row>
    <row r="14" customFormat="false" ht="20.1" hidden="false" customHeight="true" outlineLevel="0" collapsed="false">
      <c r="A14" s="135"/>
      <c r="B14" s="126" t="s">
        <v>223</v>
      </c>
      <c r="C14" s="126"/>
      <c r="D14" s="182" t="n">
        <f aca="false">(NSG_Requirements!$S$7+NSG_Requirements!$T$7+NSG_Requirements!$U$7)/1000</f>
        <v>0</v>
      </c>
      <c r="E14" s="182" t="n">
        <f aca="false">(NSG_Requirements!$S$8+NSG_Requirements!$T$8+NSG_Requirements!$U$8)/1000</f>
        <v>0</v>
      </c>
      <c r="F14" s="182" t="n">
        <f aca="false">(NSG_Requirements!$S$9+NSG_Requirements!$T$9+NSG_Requirements!$U$9)/1000</f>
        <v>0</v>
      </c>
      <c r="G14" s="182" t="n">
        <f aca="false">(NSG_Requirements!$S$10+NSG_Requirements!$T$10+NSG_Requirements!$U$10)/1000</f>
        <v>0</v>
      </c>
      <c r="H14" s="182" t="n">
        <f aca="false">(NSG_Requirements!$S$11+NSG_Requirements!$T$11+NSG_Requirements!$U$11)/1000</f>
        <v>0</v>
      </c>
      <c r="I14" s="183" t="n">
        <f aca="false">(NSG_Requirements!$S$12+NSG_Requirements!$T$12+NSG_Requirements!$U$12)/1000</f>
        <v>0</v>
      </c>
      <c r="J14" s="177"/>
    </row>
    <row r="15" customFormat="false" ht="20.1" hidden="false" customHeight="true" outlineLevel="0" collapsed="false">
      <c r="A15" s="135"/>
      <c r="B15" s="126" t="s">
        <v>225</v>
      </c>
      <c r="C15" s="126"/>
      <c r="D15" s="182" t="n">
        <f aca="false">(NSG_Requirements!$Y$7+NSG_Requirements!$Z$7+NSG_Requirements!$AA$7)/1000</f>
        <v>0</v>
      </c>
      <c r="E15" s="182" t="n">
        <f aca="false">(NSG_Requirements!$Y$8+NSG_Requirements!$Z$8+NSG_Requirements!$AA$8)/1000</f>
        <v>0</v>
      </c>
      <c r="F15" s="182" t="n">
        <f aca="false">(NSG_Requirements!$Y$9+NSG_Requirements!$Z$9+NSG_Requirements!$AA$9)/1000</f>
        <v>0</v>
      </c>
      <c r="G15" s="182" t="n">
        <f aca="false">(NSG_Requirements!$Y$10+NSG_Requirements!$Z$10+NSG_Requirements!$AA$10)/1000</f>
        <v>0</v>
      </c>
      <c r="H15" s="182" t="n">
        <f aca="false">(NSG_Requirements!$Y$11+NSG_Requirements!$Z$11+NSG_Requirements!$AA$11)/1000</f>
        <v>0</v>
      </c>
      <c r="I15" s="183" t="n">
        <f aca="false">(NSG_Requirements!$Y$12+NSG_Requirements!$Z$12+NSG_Requirements!$AA$12)/1000</f>
        <v>0</v>
      </c>
      <c r="J15" s="119"/>
    </row>
    <row r="16" customFormat="false" ht="20.1" hidden="false" customHeight="true" outlineLevel="0" collapsed="false">
      <c r="A16" s="135"/>
      <c r="B16" s="126" t="s">
        <v>224</v>
      </c>
      <c r="C16" s="140"/>
      <c r="D16" s="182" t="n">
        <f aca="false">(NSG_Requirements!$V$7+NSG_Requirements!$W$7+NSG_Requirements!$X$7)/1000</f>
        <v>0</v>
      </c>
      <c r="E16" s="182" t="n">
        <f aca="false">(NSG_Requirements!$V$8+NSG_Requirements!$W$8+NSG_Requirements!$X$8)/1000</f>
        <v>0</v>
      </c>
      <c r="F16" s="182" t="n">
        <f aca="false">(NSG_Requirements!$V$9+NSG_Requirements!$W$9+NSG_Requirements!$X$9)/1000</f>
        <v>0</v>
      </c>
      <c r="G16" s="182" t="n">
        <f aca="false">(NSG_Requirements!$V$10+NSG_Requirements!$W$10+NSG_Requirements!$X$10)/1000</f>
        <v>0</v>
      </c>
      <c r="H16" s="182" t="n">
        <f aca="false">(NSG_Requirements!$V$11+NSG_Requirements!$W$11+NSG_Requirements!$X$11)/1000</f>
        <v>0</v>
      </c>
      <c r="I16" s="183" t="n">
        <f aca="false">(NSG_Requirements!$V$12+NSG_Requirements!$W$12+NSG_Requirements!$X$12)/1000</f>
        <v>0</v>
      </c>
      <c r="J16" s="119"/>
    </row>
    <row r="17" customFormat="false" ht="20.1" hidden="false" customHeight="true" outlineLevel="0" collapsed="false">
      <c r="A17" s="135"/>
      <c r="B17" s="126" t="s">
        <v>138</v>
      </c>
      <c r="C17" s="126"/>
      <c r="D17" s="182" t="n">
        <f aca="false">(NSG_Requirements!$AB$7+NSG_Requirements!$AC$7+NSG_Requirements!$AD$7+NSG_Requirements!$AE$7)/1000</f>
        <v>0</v>
      </c>
      <c r="E17" s="182" t="n">
        <f aca="false">(NSG_Requirements!$AB$8+NSG_Requirements!$AC$8+NSG_Requirements!$AD$8+NSG_Requirements!$AE$8)/1000</f>
        <v>0</v>
      </c>
      <c r="F17" s="182" t="n">
        <f aca="false">(NSG_Requirements!$AB$9+NSG_Requirements!$AC9+NSG_Requirements!$AD$9+NSG_Requirements!$AE$9)/1000</f>
        <v>0</v>
      </c>
      <c r="G17" s="182" t="n">
        <f aca="false">(NSG_Requirements!$AB$10+NSG_Requirements!$AC$10+NSG_Requirements!$AD$10+NSG_Requirements!$AE$10)/1000</f>
        <v>0</v>
      </c>
      <c r="H17" s="182" t="n">
        <f aca="false">(NSG_Requirements!$Y$11+NSG_Requirements!$Z$11+NSG_Requirements!$AA$11+NSG_Requirements!$AE$11)/1000</f>
        <v>0</v>
      </c>
      <c r="I17" s="183" t="n">
        <f aca="false">(NSG_Requirements!$Y$12+NSG_Requirements!$Z$12+NSG_Requirements!$AA$12+NSG_Requirements!$AE$12)/1000</f>
        <v>0</v>
      </c>
      <c r="J17" s="119"/>
    </row>
    <row r="18" customFormat="false" ht="20.1" hidden="false" customHeight="true" outlineLevel="0" collapsed="false">
      <c r="A18" s="157" t="s">
        <v>257</v>
      </c>
      <c r="B18" s="158" t="s">
        <v>258</v>
      </c>
      <c r="C18" s="158"/>
      <c r="D18" s="184" t="n">
        <f aca="false">NSG_Requirements!B7/1000</f>
        <v>0</v>
      </c>
      <c r="E18" s="184" t="n">
        <f aca="false">NSG_Requirements!B8/1000</f>
        <v>0</v>
      </c>
      <c r="F18" s="184" t="n">
        <f aca="false">NSG_Requirements!B9/1000</f>
        <v>0</v>
      </c>
      <c r="G18" s="184" t="n">
        <f aca="false">NSG_Requirements!B10/1000</f>
        <v>0</v>
      </c>
      <c r="H18" s="184" t="n">
        <f aca="false">NSG_Requirements!B11/1000</f>
        <v>0</v>
      </c>
      <c r="I18" s="185" t="n">
        <f aca="false">NSG_Requirements!B12/1000</f>
        <v>0</v>
      </c>
      <c r="J18" s="177"/>
    </row>
    <row r="19" customFormat="false" ht="20.1" hidden="false" customHeight="true" outlineLevel="0" collapsed="false">
      <c r="A19" s="186" t="s">
        <v>234</v>
      </c>
      <c r="B19" s="167"/>
      <c r="C19" s="167"/>
      <c r="D19" s="187" t="n">
        <f aca="false">SUM(D6:D18)</f>
        <v>63</v>
      </c>
      <c r="E19" s="187" t="n">
        <f aca="false">SUM(E6:E18)</f>
        <v>63.25</v>
      </c>
      <c r="F19" s="187" t="n">
        <f aca="false">SUM(F6:F18)</f>
        <v>60.25</v>
      </c>
      <c r="G19" s="187" t="n">
        <f aca="false">SUM(G6:G18)</f>
        <v>54.25</v>
      </c>
      <c r="H19" s="187" t="n">
        <f aca="false">SUM(H6:H18)</f>
        <v>53.25</v>
      </c>
      <c r="I19" s="188" t="n">
        <f aca="false">SUM(I6:I18)</f>
        <v>55.25</v>
      </c>
      <c r="J19" s="177"/>
    </row>
    <row r="20" customFormat="false" ht="20.1" hidden="false" customHeight="true" outlineLevel="0" collapsed="false">
      <c r="A20" s="189"/>
      <c r="B20" s="190"/>
      <c r="C20" s="190"/>
      <c r="D20" s="191"/>
      <c r="E20" s="191"/>
      <c r="F20" s="191"/>
      <c r="G20" s="191"/>
      <c r="H20" s="191"/>
      <c r="I20" s="191"/>
      <c r="J20" s="119"/>
    </row>
    <row r="21" customFormat="false" ht="20.1" hidden="false" customHeight="true" outlineLevel="0" collapsed="false">
      <c r="A21" s="192" t="s">
        <v>235</v>
      </c>
      <c r="B21" s="153"/>
      <c r="C21" s="153"/>
      <c r="D21" s="193"/>
      <c r="E21" s="193"/>
      <c r="F21" s="193"/>
      <c r="G21" s="193"/>
      <c r="H21" s="193"/>
      <c r="I21" s="194"/>
      <c r="J21" s="177"/>
    </row>
    <row r="22" customFormat="false" ht="20.1" hidden="false" customHeight="true" outlineLevel="0" collapsed="false">
      <c r="A22" s="135" t="s">
        <v>259</v>
      </c>
      <c r="B22" s="126" t="s">
        <v>227</v>
      </c>
      <c r="C22" s="126" t="s">
        <v>260</v>
      </c>
      <c r="D22" s="182" t="n">
        <f aca="false">NSG_Supplies!H7/1000</f>
        <v>0</v>
      </c>
      <c r="E22" s="182" t="n">
        <f aca="false">NSG_Supplies!H8/1000</f>
        <v>0</v>
      </c>
      <c r="F22" s="182" t="n">
        <f aca="false">NSG_Supplies!H9/1000</f>
        <v>0</v>
      </c>
      <c r="G22" s="182" t="n">
        <f aca="false">NSG_Supplies!H10/1000</f>
        <v>0</v>
      </c>
      <c r="H22" s="182" t="n">
        <f aca="false">NSG_Supplies!H11/1000</f>
        <v>0</v>
      </c>
      <c r="I22" s="183" t="n">
        <f aca="false">NSG_Supplies!H12/1000</f>
        <v>0</v>
      </c>
      <c r="J22" s="177"/>
    </row>
    <row r="23" customFormat="false" ht="20.1" hidden="false" customHeight="true" outlineLevel="0" collapsed="false">
      <c r="A23" s="135"/>
      <c r="B23" s="126" t="s">
        <v>223</v>
      </c>
      <c r="C23" s="126" t="s">
        <v>261</v>
      </c>
      <c r="D23" s="182" t="n">
        <f aca="false">NSG_Supplies!L7/1000</f>
        <v>0</v>
      </c>
      <c r="E23" s="182" t="n">
        <f aca="false">NSG_Supplies!L8/1000</f>
        <v>0</v>
      </c>
      <c r="F23" s="182" t="n">
        <f aca="false">NSG_Supplies!L9/1000</f>
        <v>0</v>
      </c>
      <c r="G23" s="182" t="n">
        <f aca="false">NSG_Supplies!L10/1000</f>
        <v>0</v>
      </c>
      <c r="H23" s="182" t="n">
        <f aca="false">NSG_Supplies!L11/1000</f>
        <v>0</v>
      </c>
      <c r="I23" s="183" t="n">
        <f aca="false">NSG_Supplies!L12/1000</f>
        <v>0</v>
      </c>
      <c r="J23" s="177"/>
    </row>
    <row r="24" customFormat="false" ht="20.1" hidden="false" customHeight="true" outlineLevel="0" collapsed="false">
      <c r="A24" s="135"/>
      <c r="B24" s="126"/>
      <c r="C24" s="126" t="s">
        <v>262</v>
      </c>
      <c r="D24" s="182" t="n">
        <f aca="false">NSG_Supplies!E7/1000</f>
        <v>1.5</v>
      </c>
      <c r="E24" s="182" t="n">
        <f aca="false">NSG_Supplies!E8/1000</f>
        <v>0</v>
      </c>
      <c r="F24" s="182" t="n">
        <f aca="false">NSG_Supplies!E9/1000</f>
        <v>0</v>
      </c>
      <c r="G24" s="182" t="n">
        <f aca="false">NSG_Supplies!E10/1000</f>
        <v>0</v>
      </c>
      <c r="H24" s="182" t="n">
        <f aca="false">NSG_Supplies!E11/1000</f>
        <v>0</v>
      </c>
      <c r="I24" s="183" t="n">
        <f aca="false">NSG_Supplies!E12/1000</f>
        <v>0</v>
      </c>
      <c r="J24" s="119"/>
    </row>
    <row r="25" customFormat="false" ht="20.1" hidden="false" customHeight="true" outlineLevel="0" collapsed="false">
      <c r="A25" s="135"/>
      <c r="B25" s="126" t="s">
        <v>225</v>
      </c>
      <c r="C25" s="140" t="s">
        <v>153</v>
      </c>
      <c r="D25" s="182" t="n">
        <f aca="false">NSG_Supplies!F7/1000</f>
        <v>2.7</v>
      </c>
      <c r="E25" s="182" t="n">
        <f aca="false">NSG_Supplies!F8/1000</f>
        <v>0</v>
      </c>
      <c r="F25" s="182" t="n">
        <f aca="false">NSG_Supplies!F9/1000</f>
        <v>0</v>
      </c>
      <c r="G25" s="182" t="n">
        <f aca="false">NSG_Supplies!F10/1000</f>
        <v>0</v>
      </c>
      <c r="H25" s="182" t="n">
        <f aca="false">NSG_Supplies!F11/1000</f>
        <v>0</v>
      </c>
      <c r="I25" s="183" t="n">
        <f aca="false">NSG_Supplies!F12/1000</f>
        <v>0</v>
      </c>
      <c r="J25" s="119"/>
    </row>
    <row r="26" customFormat="false" ht="20.1" hidden="false" customHeight="true" outlineLevel="0" collapsed="false">
      <c r="A26" s="135"/>
      <c r="B26" s="126" t="s">
        <v>124</v>
      </c>
      <c r="C26" s="126" t="s">
        <v>263</v>
      </c>
      <c r="D26" s="182" t="n">
        <f aca="false">NSG_Supplies!U7/1000</f>
        <v>0</v>
      </c>
      <c r="E26" s="182" t="n">
        <f aca="false">NSG_Supplies!U8/1000</f>
        <v>0</v>
      </c>
      <c r="F26" s="182" t="n">
        <f aca="false">NSG_Supplies!U9/1000</f>
        <v>0</v>
      </c>
      <c r="G26" s="182" t="n">
        <f aca="false">NSG_Supplies!U10/1000</f>
        <v>0</v>
      </c>
      <c r="H26" s="182" t="n">
        <f aca="false">NSG_Supplies!U11/1000</f>
        <v>0</v>
      </c>
      <c r="I26" s="183" t="n">
        <f aca="false">NSG_Supplies!U12/1000</f>
        <v>0</v>
      </c>
      <c r="J26" s="119"/>
    </row>
    <row r="27" customFormat="false" ht="20.1" hidden="false" customHeight="true" outlineLevel="0" collapsed="false">
      <c r="A27" s="138" t="s">
        <v>264</v>
      </c>
      <c r="B27" s="140" t="s">
        <v>223</v>
      </c>
      <c r="C27" s="140"/>
      <c r="D27" s="182" t="n">
        <f aca="false">(PGL_Requirements!$V$7+PGL_Requirements!$W$7+PGL_Requirements!$X$7)/1000</f>
        <v>0</v>
      </c>
      <c r="E27" s="182" t="n">
        <f aca="false">(PGL_Requirements!$V$8+PGL_Requirements!$W$8+PGL_Requirements!$X$8)/1000</f>
        <v>0</v>
      </c>
      <c r="F27" s="182" t="n">
        <f aca="false">(PGL_Requirements!$V$9+PGL_Requirements!$W$9+PGL_Requirements!$X$9)/1000</f>
        <v>0</v>
      </c>
      <c r="G27" s="182" t="n">
        <f aca="false">(PGL_Requirements!$V$10+PGL_Requirements!$W$10+PGL_Requirements!$X$10)/1000</f>
        <v>0</v>
      </c>
      <c r="H27" s="182" t="n">
        <f aca="false">(PGL_Requirements!$V$11+PGL_Requirements!$W$11+PGL_Requirements!$X$11)/1000</f>
        <v>0</v>
      </c>
      <c r="I27" s="183" t="n">
        <f aca="false">(PGL_Requirements!$V$12+PGL_Requirements!$W$12+PGL_Requirements!$X$12)/1000</f>
        <v>0</v>
      </c>
      <c r="J27" s="177"/>
    </row>
    <row r="28" customFormat="false" ht="20.1" hidden="false" customHeight="true" outlineLevel="0" collapsed="false">
      <c r="A28" s="135"/>
      <c r="B28" s="140" t="s">
        <v>225</v>
      </c>
      <c r="C28" s="140"/>
      <c r="D28" s="182" t="n">
        <f aca="false">(PGL_Requirements!$Y$7+PGL_Requirements!$AA$7+PGL_Requirements!$Z$7+PGL_Requirements!$AB$7)/1000</f>
        <v>0</v>
      </c>
      <c r="E28" s="182" t="n">
        <f aca="false">(PGL_Requirements!$Y$8+PGL_Requirements!$AA$8+PGL_Requirements!$Z$8+PGL_Requirements!$AB$8)/1000</f>
        <v>0</v>
      </c>
      <c r="F28" s="182" t="n">
        <f aca="false">(PGL_Requirements!$Y$9+PGL_Requirements!$AA$9+PGL_Requirements!$Z$9+PGL_Requirements!$AB$9)/1000</f>
        <v>0</v>
      </c>
      <c r="G28" s="182" t="n">
        <f aca="false">(PGL_Requirements!$Y$10+PGL_Requirements!$AA$10+PGL_Requirements!$Z$10+PGL_Requirements!$AB$10)/1000</f>
        <v>0</v>
      </c>
      <c r="H28" s="182" t="n">
        <f aca="false">(PGL_Requirements!$Y$11+PGL_Requirements!$AA$11+PGL_Requirements!$Z$11+PGL_Requirements!$AB$11)/1000</f>
        <v>0</v>
      </c>
      <c r="I28" s="183" t="n">
        <f aca="false">(PGL_Requirements!$Y$12+PGL_Requirements!$AA$12+PGL_Requirements!$Z$12+PGL_Requirements!$AB$12)/1000</f>
        <v>0</v>
      </c>
      <c r="J28" s="177"/>
    </row>
    <row r="29" customFormat="false" ht="20.1" hidden="false" customHeight="true" outlineLevel="0" collapsed="false">
      <c r="A29" s="135"/>
      <c r="B29" s="140" t="s">
        <v>224</v>
      </c>
      <c r="C29" s="126"/>
      <c r="D29" s="182" t="n">
        <f aca="false">(PGL_Requirements!$AC$7+PGL_Requirements!$AD$7+PGL_Requirements!$AE$7)/1000</f>
        <v>0</v>
      </c>
      <c r="E29" s="182" t="n">
        <f aca="false">(PGL_Requirements!$AC$8+PGL_Requirements!$AD$8+PGL_Requirements!$AE$8)/1000</f>
        <v>0</v>
      </c>
      <c r="F29" s="182" t="n">
        <f aca="false">(PGL_Requirements!$AC$9+PGL_Requirements!$AD$9+PGL_Requirements!$AE$9)/1000</f>
        <v>0</v>
      </c>
      <c r="G29" s="182" t="n">
        <f aca="false">(PGL_Requirements!$AC$10+PGL_Requirements!$AD$10+PGL_Requirements!$AE$10)/1000</f>
        <v>0</v>
      </c>
      <c r="H29" s="182" t="n">
        <f aca="false">(PGL_Requirements!$AC$11+PGL_Requirements!$AD$11+PGL_Requirements!$AE$11)/1000</f>
        <v>0</v>
      </c>
      <c r="I29" s="183" t="n">
        <f aca="false">(PGL_Requirements!$AC$12+PGL_Requirements!$AD$12+PGL_Requirements!$AE$12)/1000</f>
        <v>0</v>
      </c>
      <c r="J29" s="177"/>
    </row>
    <row r="30" customFormat="false" ht="20.1" hidden="false" customHeight="true" outlineLevel="0" collapsed="false">
      <c r="A30" s="135"/>
      <c r="B30" s="126" t="s">
        <v>138</v>
      </c>
      <c r="C30" s="126"/>
      <c r="D30" s="182" t="n">
        <v>0</v>
      </c>
      <c r="E30" s="182" t="n">
        <v>0</v>
      </c>
      <c r="F30" s="182" t="n">
        <v>0</v>
      </c>
      <c r="G30" s="182" t="n">
        <v>0</v>
      </c>
      <c r="H30" s="182" t="n">
        <v>0</v>
      </c>
      <c r="I30" s="183" t="n">
        <v>0</v>
      </c>
      <c r="J30" s="177"/>
    </row>
    <row r="31" customFormat="false" ht="20.1" hidden="false" customHeight="true" outlineLevel="0" collapsed="false">
      <c r="A31" s="135" t="s">
        <v>265</v>
      </c>
      <c r="B31" s="126" t="s">
        <v>223</v>
      </c>
      <c r="C31" s="126" t="s">
        <v>266</v>
      </c>
      <c r="D31" s="182" t="n">
        <f aca="false">NSG_Supplies!P7/1000</f>
        <v>0</v>
      </c>
      <c r="E31" s="182" t="n">
        <f aca="false">NSG_Supplies!P8/1000</f>
        <v>0</v>
      </c>
      <c r="F31" s="182" t="n">
        <f aca="false">NSG_Supplies!P9/1000</f>
        <v>0</v>
      </c>
      <c r="G31" s="182" t="n">
        <f aca="false">NSG_Supplies!P10/1000</f>
        <v>0</v>
      </c>
      <c r="H31" s="182" t="n">
        <f aca="false">NSG_Supplies!P11/1000</f>
        <v>0</v>
      </c>
      <c r="I31" s="183" t="n">
        <f aca="false">NSG_Supplies!P12/1000</f>
        <v>0</v>
      </c>
      <c r="J31" s="177"/>
    </row>
    <row r="32" customFormat="false" ht="20.1" hidden="false" customHeight="true" outlineLevel="0" collapsed="false">
      <c r="A32" s="135"/>
      <c r="B32" s="126" t="s">
        <v>225</v>
      </c>
      <c r="C32" s="195" t="s">
        <v>267</v>
      </c>
      <c r="D32" s="182" t="n">
        <f aca="false">NSG_Supplies!R7/1000</f>
        <v>38.798</v>
      </c>
      <c r="E32" s="182" t="n">
        <f aca="false">NSG_Supplies!R8/1000</f>
        <v>38.748</v>
      </c>
      <c r="F32" s="182" t="n">
        <f aca="false">NSG_Supplies!R9/1000</f>
        <v>38.748</v>
      </c>
      <c r="G32" s="182" t="n">
        <f aca="false">NSG_Supplies!R10/1000</f>
        <v>38.748</v>
      </c>
      <c r="H32" s="182" t="n">
        <f aca="false">NSG_Supplies!R11/1000</f>
        <v>38.748</v>
      </c>
      <c r="I32" s="183" t="n">
        <f aca="false">NSG_Supplies!R12/1000</f>
        <v>38.748</v>
      </c>
      <c r="J32" s="177"/>
    </row>
    <row r="33" customFormat="false" ht="20.1" hidden="false" customHeight="true" outlineLevel="0" collapsed="false">
      <c r="A33" s="135"/>
      <c r="B33" s="126" t="s">
        <v>223</v>
      </c>
      <c r="C33" s="126" t="s">
        <v>268</v>
      </c>
      <c r="D33" s="182" t="n">
        <f aca="false">NSG_Supplies!Q7/1000</f>
        <v>20</v>
      </c>
      <c r="E33" s="182" t="n">
        <f aca="false">NSG_Supplies!Q8/1000</f>
        <v>20</v>
      </c>
      <c r="F33" s="182" t="n">
        <f aca="false">NSG_Supplies!Q9/1000</f>
        <v>20</v>
      </c>
      <c r="G33" s="182" t="n">
        <f aca="false">NSG_Supplies!Q10/1000</f>
        <v>20</v>
      </c>
      <c r="H33" s="182" t="n">
        <f aca="false">NSG_Supplies!Q11/1000</f>
        <v>20</v>
      </c>
      <c r="I33" s="183" t="n">
        <f aca="false">NSG_Supplies!Q12/1000</f>
        <v>20</v>
      </c>
      <c r="J33" s="177"/>
    </row>
    <row r="34" customFormat="false" ht="20.1" hidden="false" customHeight="true" outlineLevel="0" collapsed="false">
      <c r="A34" s="135" t="s">
        <v>249</v>
      </c>
      <c r="B34" s="126" t="s">
        <v>224</v>
      </c>
      <c r="C34" s="126" t="s">
        <v>269</v>
      </c>
      <c r="D34" s="182" t="n">
        <f aca="false">NSG_Supplies!O7/1000</f>
        <v>0</v>
      </c>
      <c r="E34" s="182" t="n">
        <f aca="false">NSG_Supplies!O8/1000</f>
        <v>0</v>
      </c>
      <c r="F34" s="182" t="n">
        <f aca="false">NSG_Supplies!O9/1000</f>
        <v>0</v>
      </c>
      <c r="G34" s="182" t="n">
        <f aca="false">NSG_Supplies!O10/1000</f>
        <v>0</v>
      </c>
      <c r="H34" s="182" t="n">
        <f aca="false">NSG_Supplies!O11/1000</f>
        <v>0</v>
      </c>
      <c r="I34" s="183" t="n">
        <f aca="false">NSG_Supplies!O12/1000</f>
        <v>0</v>
      </c>
      <c r="J34" s="177"/>
    </row>
    <row r="35" customFormat="false" ht="20.1" hidden="false" customHeight="true" outlineLevel="0" collapsed="false">
      <c r="A35" s="135"/>
      <c r="B35" s="126" t="s">
        <v>138</v>
      </c>
      <c r="C35" s="140" t="s">
        <v>270</v>
      </c>
      <c r="D35" s="182" t="n">
        <f aca="false">NSG_Supplies!N7/1000</f>
        <v>0</v>
      </c>
      <c r="E35" s="182" t="n">
        <f aca="false">NSG_Supplies!N8/1000</f>
        <v>0</v>
      </c>
      <c r="F35" s="182" t="n">
        <f aca="false">NSG_Supplies!N9/1000</f>
        <v>0</v>
      </c>
      <c r="G35" s="182" t="n">
        <f aca="false">NSG_Supplies!N10/1000</f>
        <v>0</v>
      </c>
      <c r="H35" s="182" t="n">
        <f aca="false">NSG_Supplies!N11/1000</f>
        <v>0</v>
      </c>
      <c r="I35" s="183" t="n">
        <f aca="false">NSG_Supplies!N12/1000</f>
        <v>0</v>
      </c>
      <c r="J35" s="177"/>
    </row>
    <row r="36" customFormat="false" ht="20.1" hidden="false" customHeight="true" outlineLevel="0" collapsed="false">
      <c r="A36" s="157"/>
      <c r="B36" s="158" t="s">
        <v>258</v>
      </c>
      <c r="C36" s="158"/>
      <c r="D36" s="184" t="n">
        <f aca="false">NSG_Supplies!B7/1000</f>
        <v>0</v>
      </c>
      <c r="E36" s="184" t="n">
        <f aca="false">NSG_Supplies!B8/1000</f>
        <v>0</v>
      </c>
      <c r="F36" s="184" t="n">
        <f aca="false">NSG_Supplies!B9/1000</f>
        <v>0</v>
      </c>
      <c r="G36" s="184" t="n">
        <f aca="false">NSG_Supplies!B10/1000</f>
        <v>0</v>
      </c>
      <c r="H36" s="184" t="n">
        <f aca="false">NSG_Supplies!B11/1000</f>
        <v>0</v>
      </c>
      <c r="I36" s="185" t="n">
        <f aca="false">NSG_Supplies!B12/1000</f>
        <v>0</v>
      </c>
      <c r="J36" s="177"/>
      <c r="K36" s="119"/>
      <c r="L36" s="196"/>
      <c r="M36" s="119"/>
    </row>
    <row r="37" customFormat="false" ht="20.1" hidden="false" customHeight="true" outlineLevel="0" collapsed="false">
      <c r="A37" s="159" t="s">
        <v>249</v>
      </c>
      <c r="B37" s="160"/>
      <c r="C37" s="160"/>
      <c r="D37" s="197" t="n">
        <f aca="false">SUM(D22:D36)</f>
        <v>62.998</v>
      </c>
      <c r="E37" s="197" t="n">
        <f aca="false">SUM(E22:E36)</f>
        <v>58.748</v>
      </c>
      <c r="F37" s="197" t="n">
        <f aca="false">SUM(F22:F36)</f>
        <v>58.748</v>
      </c>
      <c r="G37" s="197" t="n">
        <f aca="false">SUM(G22:G36)</f>
        <v>58.748</v>
      </c>
      <c r="H37" s="197" t="n">
        <f aca="false">SUM(H22:H36)</f>
        <v>58.748</v>
      </c>
      <c r="I37" s="198" t="n">
        <f aca="false">SUM(I22:I36)</f>
        <v>58.748</v>
      </c>
      <c r="J37" s="177"/>
      <c r="K37" s="119"/>
      <c r="L37" s="196"/>
      <c r="M37" s="119"/>
    </row>
    <row r="38" customFormat="false" ht="20.1" hidden="false" customHeight="true" outlineLevel="0" collapsed="false">
      <c r="A38" s="199" t="s">
        <v>250</v>
      </c>
      <c r="B38" s="200"/>
      <c r="C38" s="200"/>
      <c r="D38" s="201" t="n">
        <f aca="false">IF(D37-D19&lt;0,0,D37-D19)</f>
        <v>0</v>
      </c>
      <c r="E38" s="201" t="n">
        <f aca="false">IF(E37-E19&lt;0,0,E37-E19)</f>
        <v>0</v>
      </c>
      <c r="F38" s="201" t="n">
        <f aca="false">IF(F37-F19&lt;0,0,F37-F19)</f>
        <v>0</v>
      </c>
      <c r="G38" s="201" t="n">
        <f aca="false">IF(G37-G19&lt;0,0,G37-G19)</f>
        <v>4.498</v>
      </c>
      <c r="H38" s="201" t="n">
        <f aca="false">IF(H37-H19&lt;0,0,H37-H19)</f>
        <v>5.498</v>
      </c>
      <c r="I38" s="202" t="n">
        <f aca="false">IF(I37-I19&lt;0,0,I37-I19)</f>
        <v>3.498</v>
      </c>
      <c r="J38" s="177"/>
      <c r="K38" s="119"/>
      <c r="L38" s="196"/>
      <c r="M38" s="119"/>
    </row>
    <row r="39" customFormat="false" ht="20.1" hidden="false" customHeight="true" outlineLevel="0" collapsed="false">
      <c r="A39" s="203" t="s">
        <v>251</v>
      </c>
      <c r="B39" s="167"/>
      <c r="C39" s="167"/>
      <c r="D39" s="204" t="n">
        <f aca="false">IF(D19-D37&lt;0,0,D19-D37)</f>
        <v>0.00199999999999534</v>
      </c>
      <c r="E39" s="204" t="n">
        <f aca="false">IF(E19-E37&lt;0,0,E19-E37)</f>
        <v>4.502</v>
      </c>
      <c r="F39" s="204" t="n">
        <f aca="false">IF(F19-F37&lt;0,0,F19-F37)</f>
        <v>1.502</v>
      </c>
      <c r="G39" s="204" t="n">
        <f aca="false">IF(G19-G37&lt;0,0,G19-G37)</f>
        <v>0</v>
      </c>
      <c r="H39" s="204" t="n">
        <f aca="false">IF(H19-H37&lt;0,0,H19-H37)</f>
        <v>0</v>
      </c>
      <c r="I39" s="205" t="n">
        <f aca="false">IF(I19-I37&lt;0,0,I19-I37)</f>
        <v>0</v>
      </c>
      <c r="J39" s="177"/>
      <c r="K39" s="119"/>
      <c r="L39" s="119"/>
      <c r="M39" s="119"/>
    </row>
    <row r="40" customFormat="false" ht="20.1" hidden="false" customHeight="true" outlineLevel="0" collapsed="false">
      <c r="A40" s="206" t="s">
        <v>271</v>
      </c>
      <c r="B40" s="207"/>
      <c r="C40" s="207"/>
      <c r="D40" s="208" t="n">
        <f aca="false">NSG_Supplies!S7/1000</f>
        <v>18.848</v>
      </c>
      <c r="E40" s="208" t="n">
        <f aca="false">NSG_Supplies!S8/1000</f>
        <v>18.848</v>
      </c>
      <c r="F40" s="208" t="n">
        <f aca="false">NSG_Supplies!S9/1000</f>
        <v>18.848</v>
      </c>
      <c r="G40" s="208" t="n">
        <f aca="false">NSG_Supplies!S10/1000</f>
        <v>18.848</v>
      </c>
      <c r="H40" s="208" t="n">
        <f aca="false">NSG_Supplies!S11/1000</f>
        <v>18.848</v>
      </c>
      <c r="I40" s="209" t="n">
        <f aca="false">NSG_Supplies!S12/1000</f>
        <v>18.848</v>
      </c>
    </row>
    <row r="41" customFormat="false" ht="20.1" hidden="false" customHeight="true" outlineLevel="0" collapsed="false">
      <c r="B41" s="31"/>
      <c r="C41" s="31"/>
      <c r="D41" s="31"/>
      <c r="E41" s="31"/>
      <c r="F41" s="31"/>
      <c r="G41" s="210"/>
      <c r="H41" s="210"/>
      <c r="I41" s="210"/>
    </row>
    <row r="42" customFormat="false" ht="20.1" hidden="false" customHeight="true" outlineLevel="0" collapsed="false">
      <c r="A42" s="211" t="s">
        <v>272</v>
      </c>
      <c r="B42" s="212"/>
      <c r="C42" s="212"/>
      <c r="D42" s="213" t="n">
        <f aca="false">Weather_Input!D5</f>
        <v>12</v>
      </c>
      <c r="E42" s="213" t="n">
        <f aca="false">Weather_Input!D6</f>
        <v>10</v>
      </c>
      <c r="F42" s="213" t="n">
        <f aca="false">Weather_Input!D7</f>
        <v>12</v>
      </c>
      <c r="G42" s="214"/>
      <c r="H42" s="210"/>
      <c r="I42" s="210"/>
    </row>
    <row r="43" customFormat="false" ht="15.75" hidden="false" customHeight="false" outlineLevel="0" collapsed="false">
      <c r="D43" s="174" t="s">
        <v>3</v>
      </c>
    </row>
    <row r="44" customFormat="false" ht="15" hidden="false" customHeight="false" outlineLevel="0" collapsed="false">
      <c r="D44" s="174" t="s">
        <v>1</v>
      </c>
    </row>
    <row r="49" customFormat="false" ht="15" hidden="false" customHeight="false" outlineLevel="0" collapsed="false">
      <c r="D49" s="174" t="s">
        <v>1</v>
      </c>
    </row>
  </sheetData>
  <printOptions headings="false" gridLines="false" gridLinesSet="true" horizontalCentered="false" verticalCentered="false"/>
  <pageMargins left="1" right="0.25" top="0.25" bottom="0.25" header="0.511811023622047" footer="0.2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D72"/>
  <sheetViews>
    <sheetView showFormulas="false" showGridLines="true" showRowColHeaders="true" showZeros="true" rightToLeft="false" tabSelected="false" showOutlineSymbols="true" defaultGridColor="true" view="normal" topLeftCell="U13" colorId="64" zoomScale="75" zoomScaleNormal="75" zoomScalePageLayoutView="100" workbookViewId="0">
      <selection pane="topLeft" activeCell="AD24" activeCellId="0" sqref="AD24"/>
    </sheetView>
  </sheetViews>
  <sheetFormatPr defaultColWidth="8.8828125" defaultRowHeight="15" customHeight="true" zeroHeight="false" outlineLevelRow="0" outlineLevelCol="0"/>
  <cols>
    <col collapsed="false" customWidth="true" hidden="false" outlineLevel="0" max="1" min="1" style="0" width="22.77"/>
    <col collapsed="false" customWidth="true" hidden="false" outlineLevel="0" max="9" min="2" style="0" width="10.77"/>
    <col collapsed="false" customWidth="true" hidden="false" outlineLevel="0" max="16" min="16" style="0" width="23.77"/>
    <col collapsed="false" customWidth="true" hidden="false" outlineLevel="0" max="19" min="17" style="0" width="8.77"/>
    <col collapsed="false" customWidth="true" hidden="false" outlineLevel="0" max="20" min="20" style="0" width="22.77"/>
    <col collapsed="false" customWidth="true" hidden="false" outlineLevel="0" max="23" min="21" style="0" width="8.77"/>
    <col collapsed="false" customWidth="true" hidden="false" outlineLevel="0" max="24" min="24" style="0" width="19.77"/>
    <col collapsed="false" customWidth="true" hidden="false" outlineLevel="0" max="30" min="25" style="0" width="8.77"/>
  </cols>
  <sheetData>
    <row r="1" customFormat="false" ht="19.5" hidden="false" customHeight="false" outlineLevel="0" collapsed="false">
      <c r="A1" s="215" t="s">
        <v>1</v>
      </c>
      <c r="B1" s="216"/>
      <c r="C1" s="216"/>
      <c r="D1" s="216"/>
      <c r="E1" s="217" t="s">
        <v>273</v>
      </c>
      <c r="F1" s="218" t="n">
        <f aca="false">Weather_Input!A5</f>
        <v>37034</v>
      </c>
      <c r="G1" s="219" t="str">
        <f aca="false">CHOOSE(WEEKDAY(F1),"SUN","MON","TUE","WED","THU","FRI","SAT")</f>
        <v>WED</v>
      </c>
      <c r="H1" s="220" t="s">
        <v>274</v>
      </c>
      <c r="I1" s="221"/>
      <c r="P1" s="222" t="s">
        <v>1</v>
      </c>
      <c r="Q1" s="223" t="s">
        <v>1</v>
      </c>
      <c r="R1" s="224" t="s">
        <v>84</v>
      </c>
      <c r="S1" s="225"/>
      <c r="T1" s="226" t="s">
        <v>1</v>
      </c>
      <c r="U1" s="224" t="s">
        <v>275</v>
      </c>
      <c r="V1" s="227" t="s">
        <v>1</v>
      </c>
      <c r="W1" s="227"/>
      <c r="X1" s="228" t="s">
        <v>1</v>
      </c>
      <c r="Y1" s="216"/>
      <c r="Z1" s="216"/>
      <c r="AA1" s="217" t="s">
        <v>273</v>
      </c>
      <c r="AB1" s="229" t="n">
        <f aca="false">Weather_Input!A5</f>
        <v>37034</v>
      </c>
      <c r="AC1" s="230" t="str">
        <f aca="false">CHOOSE(WEEKDAY(AB1),"SUN","MON","TUE","WED","THU","FRI","SAT")</f>
        <v>WED</v>
      </c>
      <c r="AD1" s="221"/>
    </row>
    <row r="2" customFormat="false" ht="15.75" hidden="false" customHeight="false" outlineLevel="0" collapsed="false">
      <c r="A2" s="231" t="s">
        <v>1</v>
      </c>
      <c r="B2" s="232" t="s">
        <v>276</v>
      </c>
      <c r="C2" s="233" t="n">
        <v>48.5</v>
      </c>
      <c r="D2" s="234" t="s">
        <v>277</v>
      </c>
      <c r="E2" s="235"/>
      <c r="F2" s="236" t="s">
        <v>278</v>
      </c>
      <c r="G2" s="235" t="s">
        <v>1</v>
      </c>
      <c r="H2" s="236" t="s">
        <v>279</v>
      </c>
      <c r="I2" s="237"/>
      <c r="P2" s="238" t="s">
        <v>280</v>
      </c>
      <c r="Q2" s="239" t="n">
        <f aca="false">PGL_Supplies!X7/1000</f>
        <v>0</v>
      </c>
      <c r="R2" s="240"/>
      <c r="S2" s="241"/>
      <c r="T2" s="242" t="s">
        <v>281</v>
      </c>
      <c r="U2" s="243"/>
      <c r="V2" s="244" t="s">
        <v>1</v>
      </c>
      <c r="W2" s="245" t="s">
        <v>1</v>
      </c>
      <c r="X2" s="246" t="s">
        <v>282</v>
      </c>
      <c r="Y2" s="247" t="s">
        <v>283</v>
      </c>
      <c r="Z2" s="248" t="s">
        <v>284</v>
      </c>
      <c r="AA2" s="247" t="s">
        <v>17</v>
      </c>
      <c r="AB2" s="248" t="s">
        <v>284</v>
      </c>
      <c r="AC2" s="247" t="s">
        <v>17</v>
      </c>
      <c r="AD2" s="249" t="s">
        <v>284</v>
      </c>
    </row>
    <row r="3" customFormat="false" ht="15.75" hidden="false" customHeight="false" outlineLevel="0" collapsed="false">
      <c r="A3" s="250" t="s">
        <v>282</v>
      </c>
      <c r="B3" s="234" t="s">
        <v>283</v>
      </c>
      <c r="C3" s="246" t="s">
        <v>1</v>
      </c>
      <c r="D3" s="234" t="s">
        <v>17</v>
      </c>
      <c r="E3" s="246" t="s">
        <v>284</v>
      </c>
      <c r="F3" s="234" t="s">
        <v>17</v>
      </c>
      <c r="G3" s="246" t="s">
        <v>284</v>
      </c>
      <c r="H3" s="234" t="s">
        <v>17</v>
      </c>
      <c r="I3" s="237" t="s">
        <v>284</v>
      </c>
      <c r="P3" s="238" t="s">
        <v>285</v>
      </c>
      <c r="Q3" s="251" t="n">
        <f aca="false">PGL_Requirements!Y7/1000</f>
        <v>0</v>
      </c>
      <c r="R3" s="252" t="s">
        <v>1</v>
      </c>
      <c r="S3" s="253"/>
      <c r="T3" s="242" t="s">
        <v>286</v>
      </c>
      <c r="U3" s="239" t="n">
        <f aca="false">PGL_Supplies!I7/1000</f>
        <v>15</v>
      </c>
      <c r="V3" s="254" t="s">
        <v>1</v>
      </c>
      <c r="W3" s="245" t="s">
        <v>1</v>
      </c>
      <c r="X3" s="255" t="s">
        <v>1</v>
      </c>
      <c r="Y3" s="256" t="n">
        <f aca="false">Weather_Input!B5</f>
        <v>62</v>
      </c>
      <c r="Z3" s="257" t="n">
        <f aca="false">Weather_Input!C5</f>
        <v>44</v>
      </c>
      <c r="AA3" s="258" t="s">
        <v>1</v>
      </c>
      <c r="AB3" s="259" t="s">
        <v>1</v>
      </c>
      <c r="AC3" s="259"/>
      <c r="AD3" s="260"/>
    </row>
    <row r="4" customFormat="false" ht="16.5" hidden="false" customHeight="false" outlineLevel="0" collapsed="false">
      <c r="A4" s="231" t="s">
        <v>1</v>
      </c>
      <c r="B4" s="256" t="n">
        <f aca="false">Weather_Input!B5</f>
        <v>62</v>
      </c>
      <c r="C4" s="257" t="n">
        <f aca="false">Weather_Input!C5</f>
        <v>44</v>
      </c>
      <c r="D4" s="261"/>
      <c r="E4" s="261"/>
      <c r="F4" s="258" t="s">
        <v>1</v>
      </c>
      <c r="G4" s="259" t="s">
        <v>1</v>
      </c>
      <c r="H4" s="259"/>
      <c r="I4" s="260"/>
      <c r="P4" s="262" t="s">
        <v>287</v>
      </c>
      <c r="Q4" s="263" t="n">
        <v>0</v>
      </c>
      <c r="R4" s="40"/>
      <c r="S4" s="264"/>
      <c r="T4" s="265" t="s">
        <v>288</v>
      </c>
      <c r="U4" s="266" t="n">
        <v>0</v>
      </c>
      <c r="V4" s="267" t="s">
        <v>1</v>
      </c>
      <c r="W4" s="268"/>
      <c r="X4" s="269" t="s">
        <v>289</v>
      </c>
      <c r="Y4" s="270" t="s">
        <v>1</v>
      </c>
      <c r="Z4" s="271" t="n">
        <f aca="false">PGL_Deliveries!C5/1000</f>
        <v>317</v>
      </c>
      <c r="AA4" s="261"/>
      <c r="AB4" s="259"/>
      <c r="AC4" s="261"/>
      <c r="AD4" s="260"/>
    </row>
    <row r="5" customFormat="false" ht="16.5" hidden="false" customHeight="false" outlineLevel="0" collapsed="false">
      <c r="A5" s="231" t="s">
        <v>290</v>
      </c>
      <c r="B5" s="272"/>
      <c r="C5" s="273" t="n">
        <f aca="false">PGL_Requirements!H7/1000</f>
        <v>3.4</v>
      </c>
      <c r="D5" s="274"/>
      <c r="E5" s="275"/>
      <c r="F5" s="274"/>
      <c r="G5" s="235"/>
      <c r="H5" s="275"/>
      <c r="I5" s="276"/>
      <c r="P5" s="277" t="s">
        <v>291</v>
      </c>
      <c r="Q5" s="239" t="n">
        <f aca="false">PGL_Supplies!Y7/1000</f>
        <v>175.702</v>
      </c>
      <c r="R5" s="278" t="s">
        <v>1</v>
      </c>
      <c r="S5" s="279"/>
      <c r="T5" s="280" t="s">
        <v>292</v>
      </c>
      <c r="U5" s="281" t="n">
        <f aca="false">U3+U4</f>
        <v>15</v>
      </c>
      <c r="V5" s="282" t="s">
        <v>1</v>
      </c>
      <c r="W5" s="283" t="s">
        <v>1</v>
      </c>
      <c r="X5" s="40" t="s">
        <v>293</v>
      </c>
      <c r="Y5" s="284"/>
      <c r="Z5" s="285" t="n">
        <f aca="false">PGL_Requirements!X7/1000</f>
        <v>0</v>
      </c>
      <c r="AA5" s="284"/>
      <c r="AB5" s="286"/>
      <c r="AC5" s="40"/>
      <c r="AD5" s="287"/>
    </row>
    <row r="6" customFormat="false" ht="16.5" hidden="false" customHeight="false" outlineLevel="0" collapsed="false">
      <c r="A6" s="288" t="s">
        <v>289</v>
      </c>
      <c r="B6" s="270" t="s">
        <v>1</v>
      </c>
      <c r="C6" s="271" t="n">
        <f aca="false">PGL_Deliveries!C5/1000</f>
        <v>317</v>
      </c>
      <c r="D6" s="270" t="s">
        <v>1</v>
      </c>
      <c r="E6" s="259"/>
      <c r="F6" s="261"/>
      <c r="G6" s="259"/>
      <c r="H6" s="261"/>
      <c r="I6" s="260"/>
      <c r="P6" s="289" t="s">
        <v>294</v>
      </c>
      <c r="Q6" s="290" t="n">
        <f aca="false">+Q5-Q3+Q2-Q4</f>
        <v>175.702</v>
      </c>
      <c r="R6" s="291" t="s">
        <v>1</v>
      </c>
      <c r="S6" s="292"/>
      <c r="T6" s="293" t="s">
        <v>1</v>
      </c>
      <c r="U6" s="294" t="s">
        <v>42</v>
      </c>
      <c r="V6" s="295"/>
      <c r="W6" s="296"/>
      <c r="X6" s="297"/>
      <c r="Y6" s="294" t="s">
        <v>1</v>
      </c>
      <c r="Z6" s="294" t="s">
        <v>1</v>
      </c>
      <c r="AA6" s="297"/>
      <c r="AB6" s="297"/>
      <c r="AC6" s="297"/>
      <c r="AD6" s="298"/>
    </row>
    <row r="7" customFormat="false" ht="16.5" hidden="false" customHeight="false" outlineLevel="0" collapsed="false">
      <c r="A7" s="262" t="s">
        <v>293</v>
      </c>
      <c r="B7" s="284"/>
      <c r="C7" s="285" t="n">
        <f aca="false">PGL_Requirements!I7/1000</f>
        <v>0</v>
      </c>
      <c r="D7" s="40"/>
      <c r="E7" s="40"/>
      <c r="F7" s="284"/>
      <c r="G7" s="286"/>
      <c r="H7" s="40"/>
      <c r="I7" s="287"/>
      <c r="P7" s="299" t="s">
        <v>1</v>
      </c>
      <c r="Q7" s="300" t="s">
        <v>1</v>
      </c>
      <c r="R7" s="301" t="s">
        <v>85</v>
      </c>
      <c r="S7" s="302"/>
      <c r="T7" s="238" t="s">
        <v>295</v>
      </c>
      <c r="U7" s="239" t="n">
        <f aca="false">PGL_Supplies!Q7/1000</f>
        <v>0</v>
      </c>
      <c r="V7" s="303" t="s">
        <v>1</v>
      </c>
      <c r="W7" s="304"/>
      <c r="X7" s="305" t="s">
        <v>296</v>
      </c>
      <c r="Y7" s="306" t="s">
        <v>1</v>
      </c>
      <c r="Z7" s="307" t="n">
        <f aca="false">Q2</f>
        <v>0</v>
      </c>
      <c r="AA7" s="308"/>
      <c r="AB7" s="259"/>
      <c r="AC7" s="308"/>
      <c r="AD7" s="260" t="s">
        <v>1</v>
      </c>
    </row>
    <row r="8" customFormat="false" ht="16.5" hidden="false" customHeight="false" outlineLevel="0" collapsed="false">
      <c r="A8" s="309"/>
      <c r="B8" s="294" t="s">
        <v>1</v>
      </c>
      <c r="C8" s="294" t="s">
        <v>1</v>
      </c>
      <c r="D8" s="297"/>
      <c r="E8" s="297"/>
      <c r="F8" s="297"/>
      <c r="G8" s="297"/>
      <c r="H8" s="297"/>
      <c r="I8" s="298"/>
      <c r="P8" s="238" t="s">
        <v>297</v>
      </c>
      <c r="Q8" s="239" t="n">
        <f aca="false">PGL_Requirements!U7/1000</f>
        <v>40.2</v>
      </c>
      <c r="R8" s="310"/>
      <c r="S8" s="253"/>
      <c r="T8" s="238" t="s">
        <v>298</v>
      </c>
      <c r="U8" s="254" t="n">
        <f aca="false">PGL_Requirements!F7/1000</f>
        <v>0</v>
      </c>
      <c r="V8" s="303" t="s">
        <v>1</v>
      </c>
      <c r="W8" s="304"/>
      <c r="X8" s="40" t="s">
        <v>84</v>
      </c>
      <c r="Y8" s="311"/>
      <c r="Z8" s="312" t="n">
        <f aca="false">+Q5</f>
        <v>175.702</v>
      </c>
      <c r="AA8" s="311"/>
      <c r="AB8" s="313"/>
      <c r="AC8" s="314"/>
      <c r="AD8" s="315" t="s">
        <v>1</v>
      </c>
    </row>
    <row r="9" customFormat="false" ht="15" hidden="false" customHeight="false" outlineLevel="0" collapsed="false">
      <c r="A9" s="238" t="s">
        <v>299</v>
      </c>
      <c r="B9" s="306" t="s">
        <v>1</v>
      </c>
      <c r="C9" s="307" t="n">
        <f aca="false">B31</f>
        <v>0</v>
      </c>
      <c r="D9" s="308"/>
      <c r="E9" s="259"/>
      <c r="F9" s="308"/>
      <c r="G9" s="259"/>
      <c r="H9" s="308"/>
      <c r="I9" s="260" t="s">
        <v>1</v>
      </c>
      <c r="P9" s="238" t="s">
        <v>300</v>
      </c>
      <c r="Q9" s="239" t="n">
        <f aca="false">PGL_Supplies!R7/1000</f>
        <v>0</v>
      </c>
      <c r="R9" s="253"/>
      <c r="S9" s="253"/>
      <c r="T9" s="238" t="s">
        <v>301</v>
      </c>
      <c r="U9" s="239" t="n">
        <f aca="false">PGL_Supplies!G7/1000</f>
        <v>0.1</v>
      </c>
      <c r="V9" s="239"/>
      <c r="W9" s="304"/>
      <c r="X9" s="316" t="s">
        <v>302</v>
      </c>
      <c r="Y9" s="317" t="s">
        <v>1</v>
      </c>
      <c r="Z9" s="307" t="n">
        <f aca="false">Q13</f>
        <v>0</v>
      </c>
      <c r="AA9" s="261"/>
      <c r="AB9" s="307" t="s">
        <v>1</v>
      </c>
      <c r="AC9" s="261"/>
      <c r="AD9" s="315" t="s">
        <v>1</v>
      </c>
    </row>
    <row r="10" customFormat="false" ht="15.75" hidden="false" customHeight="false" outlineLevel="0" collapsed="false">
      <c r="A10" s="262" t="s">
        <v>84</v>
      </c>
      <c r="B10" s="311"/>
      <c r="C10" s="312" t="n">
        <f aca="false">+B34</f>
        <v>175.702</v>
      </c>
      <c r="D10" s="311"/>
      <c r="E10" s="314"/>
      <c r="F10" s="311"/>
      <c r="G10" s="313"/>
      <c r="H10" s="314"/>
      <c r="I10" s="315" t="s">
        <v>1</v>
      </c>
      <c r="P10" s="238" t="s">
        <v>303</v>
      </c>
      <c r="Q10" s="239" t="n">
        <f aca="false">PGL_Requirements!C7/1000</f>
        <v>0</v>
      </c>
      <c r="R10" s="311"/>
      <c r="S10" s="318"/>
      <c r="T10" s="238" t="s">
        <v>304</v>
      </c>
      <c r="U10" s="319" t="n">
        <f aca="false">PGL_Supplies!AD7/1000</f>
        <v>16.5</v>
      </c>
      <c r="V10" s="320"/>
      <c r="W10" s="321"/>
      <c r="X10" s="316" t="s">
        <v>74</v>
      </c>
      <c r="Y10" s="317" t="s">
        <v>1</v>
      </c>
      <c r="Z10" s="307" t="n">
        <f aca="false">Q21</f>
        <v>-149.61</v>
      </c>
      <c r="AA10" s="261"/>
      <c r="AB10" s="259" t="s">
        <v>1</v>
      </c>
      <c r="AC10" s="261"/>
      <c r="AD10" s="260"/>
    </row>
    <row r="11" customFormat="false" ht="16.5" hidden="false" customHeight="false" outlineLevel="0" collapsed="false">
      <c r="A11" s="322" t="s">
        <v>305</v>
      </c>
      <c r="B11" s="317" t="s">
        <v>1</v>
      </c>
      <c r="C11" s="307" t="n">
        <f aca="false">B41</f>
        <v>0</v>
      </c>
      <c r="D11" s="261"/>
      <c r="E11" s="307" t="s">
        <v>1</v>
      </c>
      <c r="F11" s="261"/>
      <c r="G11" s="307" t="s">
        <v>1</v>
      </c>
      <c r="H11" s="261"/>
      <c r="I11" s="315" t="s">
        <v>1</v>
      </c>
      <c r="P11" s="238" t="s">
        <v>306</v>
      </c>
      <c r="Q11" s="239" t="n">
        <f aca="false">PGL_Supplies!C7/1000</f>
        <v>0</v>
      </c>
      <c r="R11" s="311"/>
      <c r="S11" s="318"/>
      <c r="T11" s="323" t="s">
        <v>307</v>
      </c>
      <c r="U11" s="324" t="n">
        <f aca="false">+U10+U9-U8+U7</f>
        <v>16.6</v>
      </c>
      <c r="V11" s="281" t="s">
        <v>1</v>
      </c>
      <c r="W11" s="325"/>
      <c r="X11" s="316" t="s">
        <v>308</v>
      </c>
      <c r="Y11" s="317" t="s">
        <v>1</v>
      </c>
      <c r="Z11" s="307" t="n">
        <f aca="false">Q30</f>
        <v>0</v>
      </c>
      <c r="AA11" s="261"/>
      <c r="AB11" s="259" t="s">
        <v>1</v>
      </c>
      <c r="AC11" s="261"/>
      <c r="AD11" s="260"/>
    </row>
    <row r="12" customFormat="false" ht="16.5" hidden="false" customHeight="false" outlineLevel="0" collapsed="false">
      <c r="A12" s="322" t="s">
        <v>309</v>
      </c>
      <c r="B12" s="317" t="s">
        <v>1</v>
      </c>
      <c r="C12" s="307" t="n">
        <f aca="false">B55</f>
        <v>-149.61</v>
      </c>
      <c r="D12" s="261"/>
      <c r="E12" s="259"/>
      <c r="F12" s="261"/>
      <c r="G12" s="259" t="s">
        <v>1</v>
      </c>
      <c r="H12" s="261"/>
      <c r="I12" s="260"/>
      <c r="P12" s="326" t="s">
        <v>310</v>
      </c>
      <c r="Q12" s="239" t="n">
        <f aca="false">PGL_Supplies!Z7/1000</f>
        <v>40.2</v>
      </c>
      <c r="R12" s="40"/>
      <c r="S12" s="327"/>
      <c r="T12" s="328" t="s">
        <v>1</v>
      </c>
      <c r="U12" s="329" t="s">
        <v>311</v>
      </c>
      <c r="V12" s="330"/>
      <c r="W12" s="331"/>
      <c r="X12" s="316" t="s">
        <v>312</v>
      </c>
      <c r="Y12" s="332" t="s">
        <v>1</v>
      </c>
      <c r="Z12" s="307" t="n">
        <f aca="false">Q36</f>
        <v>224.179</v>
      </c>
      <c r="AA12" s="261"/>
      <c r="AB12" s="259" t="s">
        <v>1</v>
      </c>
      <c r="AC12" s="261"/>
      <c r="AD12" s="260"/>
    </row>
    <row r="13" customFormat="false" ht="16.5" hidden="false" customHeight="false" outlineLevel="0" collapsed="false">
      <c r="A13" s="322" t="s">
        <v>313</v>
      </c>
      <c r="B13" s="317" t="s">
        <v>1</v>
      </c>
      <c r="C13" s="307" t="n">
        <f aca="false">B47</f>
        <v>0</v>
      </c>
      <c r="D13" s="274"/>
      <c r="E13" s="259"/>
      <c r="F13" s="261"/>
      <c r="G13" s="259" t="s">
        <v>1</v>
      </c>
      <c r="H13" s="261"/>
      <c r="I13" s="260"/>
      <c r="P13" s="289" t="s">
        <v>294</v>
      </c>
      <c r="Q13" s="282" t="n">
        <f aca="false">Q12+Q11-Q10+Q9-Q8</f>
        <v>0</v>
      </c>
      <c r="R13" s="292"/>
      <c r="S13" s="292"/>
      <c r="T13" s="333" t="s">
        <v>314</v>
      </c>
      <c r="U13" s="243" t="s">
        <v>1</v>
      </c>
      <c r="V13" s="334" t="s">
        <v>1</v>
      </c>
      <c r="W13" s="335" t="s">
        <v>1</v>
      </c>
      <c r="X13" s="316" t="s">
        <v>315</v>
      </c>
      <c r="Y13" s="317" t="s">
        <v>1</v>
      </c>
      <c r="Z13" s="336" t="n">
        <f aca="false">U5</f>
        <v>15</v>
      </c>
      <c r="AA13" s="261"/>
      <c r="AB13" s="259" t="s">
        <v>1</v>
      </c>
      <c r="AC13" s="261"/>
      <c r="AD13" s="260"/>
    </row>
    <row r="14" customFormat="false" ht="16.5" hidden="false" customHeight="false" outlineLevel="0" collapsed="false">
      <c r="A14" s="322" t="s">
        <v>316</v>
      </c>
      <c r="B14" s="332" t="s">
        <v>1</v>
      </c>
      <c r="C14" s="307" t="n">
        <f aca="false">I65</f>
        <v>211.779</v>
      </c>
      <c r="D14" s="261"/>
      <c r="E14" s="259"/>
      <c r="F14" s="261"/>
      <c r="G14" s="259" t="s">
        <v>1</v>
      </c>
      <c r="H14" s="261"/>
      <c r="I14" s="260"/>
      <c r="P14" s="337" t="s">
        <v>1</v>
      </c>
      <c r="Q14" s="301" t="s">
        <v>1</v>
      </c>
      <c r="R14" s="301" t="s">
        <v>74</v>
      </c>
      <c r="S14" s="338"/>
      <c r="T14" s="339" t="s">
        <v>317</v>
      </c>
      <c r="U14" s="253"/>
      <c r="V14" s="340"/>
      <c r="W14" s="341"/>
      <c r="X14" s="316" t="s">
        <v>318</v>
      </c>
      <c r="Y14" s="317" t="s">
        <v>3</v>
      </c>
      <c r="Z14" s="307" t="n">
        <f aca="false">U11</f>
        <v>16.6</v>
      </c>
      <c r="AA14" s="261"/>
      <c r="AB14" s="259" t="s">
        <v>1</v>
      </c>
      <c r="AC14" s="261"/>
      <c r="AD14" s="260"/>
    </row>
    <row r="15" customFormat="false" ht="16.5" hidden="false" customHeight="false" outlineLevel="0" collapsed="false">
      <c r="A15" s="322" t="s">
        <v>315</v>
      </c>
      <c r="B15" s="317" t="s">
        <v>1</v>
      </c>
      <c r="C15" s="336" t="n">
        <f aca="false">PGL_Supplies!I7/1000</f>
        <v>15</v>
      </c>
      <c r="D15" s="261" t="s">
        <v>1</v>
      </c>
      <c r="E15" s="259"/>
      <c r="F15" s="261"/>
      <c r="G15" s="259" t="s">
        <v>1</v>
      </c>
      <c r="H15" s="261"/>
      <c r="I15" s="260"/>
      <c r="P15" s="238" t="s">
        <v>92</v>
      </c>
      <c r="Q15" s="239" t="n">
        <f aca="false">PGL_Requirements!P7/1000</f>
        <v>150</v>
      </c>
      <c r="R15" s="253"/>
      <c r="S15" s="342"/>
      <c r="T15" s="343" t="s">
        <v>319</v>
      </c>
      <c r="U15" s="344"/>
      <c r="V15" s="344"/>
      <c r="W15" s="345"/>
      <c r="X15" s="316" t="s">
        <v>320</v>
      </c>
      <c r="Y15" s="317" t="s">
        <v>3</v>
      </c>
      <c r="Z15" s="336" t="n">
        <f aca="false">PGL_Supplies!B7/1000</f>
        <v>0</v>
      </c>
      <c r="AA15" s="261"/>
      <c r="AB15" s="259" t="s">
        <v>1</v>
      </c>
      <c r="AC15" s="261"/>
      <c r="AD15" s="260"/>
    </row>
    <row r="16" customFormat="false" ht="16.5" hidden="false" customHeight="false" outlineLevel="0" collapsed="false">
      <c r="A16" s="322" t="s">
        <v>321</v>
      </c>
      <c r="B16" s="317" t="s">
        <v>3</v>
      </c>
      <c r="C16" s="307" t="n">
        <f aca="false">+B64</f>
        <v>16.6</v>
      </c>
      <c r="D16" s="261"/>
      <c r="E16" s="259"/>
      <c r="F16" s="261"/>
      <c r="G16" s="259" t="s">
        <v>1</v>
      </c>
      <c r="H16" s="261"/>
      <c r="I16" s="260"/>
      <c r="P16" s="238" t="s">
        <v>322</v>
      </c>
      <c r="Q16" s="239" t="n">
        <f aca="false">PGL_Supplies!M7/1000</f>
        <v>0</v>
      </c>
      <c r="R16" s="253"/>
      <c r="S16" s="342"/>
      <c r="T16" s="346" t="s">
        <v>1</v>
      </c>
      <c r="U16" s="297" t="s">
        <v>296</v>
      </c>
      <c r="V16" s="347"/>
      <c r="W16" s="348"/>
      <c r="X16" s="316" t="s">
        <v>323</v>
      </c>
      <c r="Y16" s="349" t="s">
        <v>1</v>
      </c>
      <c r="Z16" s="252" t="n">
        <f aca="false">-PGL_Requirements!G7/1000</f>
        <v>-0</v>
      </c>
      <c r="AA16" s="261"/>
      <c r="AB16" s="259"/>
      <c r="AC16" s="261"/>
      <c r="AD16" s="260"/>
    </row>
    <row r="17" customFormat="false" ht="15" hidden="false" customHeight="true" outlineLevel="0" collapsed="false">
      <c r="A17" s="322" t="s">
        <v>320</v>
      </c>
      <c r="B17" s="317" t="s">
        <v>3</v>
      </c>
      <c r="C17" s="336" t="n">
        <f aca="false">PGL_Supplies!B7/1000</f>
        <v>0</v>
      </c>
      <c r="D17" s="274"/>
      <c r="E17" s="259"/>
      <c r="F17" s="261"/>
      <c r="G17" s="259" t="s">
        <v>1</v>
      </c>
      <c r="H17" s="261"/>
      <c r="I17" s="260"/>
      <c r="P17" s="238" t="s">
        <v>324</v>
      </c>
      <c r="Q17" s="239" t="n">
        <f aca="false">SUM(PGL_Requirements!B7/1000)</f>
        <v>0</v>
      </c>
      <c r="R17" s="253"/>
      <c r="S17" s="304"/>
      <c r="T17" s="350" t="s">
        <v>325</v>
      </c>
      <c r="U17" s="351" t="n">
        <f aca="false">+PGL_Supplies!K7/1000</f>
        <v>0</v>
      </c>
      <c r="V17" s="352" t="s">
        <v>1</v>
      </c>
      <c r="W17" s="353" t="s">
        <v>1</v>
      </c>
      <c r="X17" s="0" t="s">
        <v>326</v>
      </c>
      <c r="Y17" s="311"/>
      <c r="Z17" s="354" t="n">
        <f aca="false">-U19</f>
        <v>-9</v>
      </c>
      <c r="AA17" s="311"/>
      <c r="AB17" s="355"/>
      <c r="AC17" s="311"/>
      <c r="AD17" s="356"/>
    </row>
    <row r="18" customFormat="false" ht="16.5" hidden="false" customHeight="false" outlineLevel="0" collapsed="false">
      <c r="A18" s="322" t="s">
        <v>323</v>
      </c>
      <c r="B18" s="357" t="s">
        <v>1</v>
      </c>
      <c r="C18" s="285" t="n">
        <f aca="false">PGL_Requirements!G7/1000</f>
        <v>0</v>
      </c>
      <c r="D18" s="234"/>
      <c r="E18" s="259"/>
      <c r="F18" s="261"/>
      <c r="G18" s="259"/>
      <c r="H18" s="261"/>
      <c r="I18" s="260"/>
      <c r="P18" s="238" t="s">
        <v>327</v>
      </c>
      <c r="Q18" s="239" t="n">
        <f aca="false">PGL_Supplies!H7/1000</f>
        <v>1</v>
      </c>
      <c r="R18" s="253"/>
      <c r="S18" s="304"/>
      <c r="T18" s="293" t="s">
        <v>1</v>
      </c>
      <c r="U18" s="297" t="s">
        <v>328</v>
      </c>
      <c r="V18" s="295"/>
      <c r="W18" s="296"/>
      <c r="X18" s="0" t="s">
        <v>220</v>
      </c>
      <c r="Y18" s="358"/>
      <c r="Z18" s="359" t="n">
        <f aca="false">-U24</f>
        <v>-3.4</v>
      </c>
      <c r="AA18" s="358"/>
      <c r="AB18" s="360"/>
      <c r="AC18" s="358"/>
      <c r="AD18" s="361"/>
    </row>
    <row r="19" customFormat="false" ht="16.5" hidden="false" customHeight="false" outlineLevel="0" collapsed="false">
      <c r="A19" s="362" t="s">
        <v>319</v>
      </c>
      <c r="B19" s="363" t="s">
        <v>1</v>
      </c>
      <c r="C19" s="364" t="n">
        <f aca="false">SUM(C9:C17)-C18</f>
        <v>269.471</v>
      </c>
      <c r="D19" s="365" t="s">
        <v>1</v>
      </c>
      <c r="E19" s="366" t="s">
        <v>1</v>
      </c>
      <c r="F19" s="365" t="s">
        <v>1</v>
      </c>
      <c r="G19" s="364" t="s">
        <v>1</v>
      </c>
      <c r="H19" s="365" t="s">
        <v>1</v>
      </c>
      <c r="I19" s="367"/>
      <c r="P19" s="368" t="s">
        <v>329</v>
      </c>
      <c r="Q19" s="239" t="n">
        <f aca="false">PGL_Requirements!R7/1000</f>
        <v>0.61</v>
      </c>
      <c r="R19" s="253"/>
      <c r="S19" s="304"/>
      <c r="T19" s="369" t="s">
        <v>330</v>
      </c>
      <c r="U19" s="370" t="n">
        <f aca="false">PGL_Requirements!K7/1000</f>
        <v>9</v>
      </c>
      <c r="V19" s="371"/>
      <c r="W19" s="372"/>
      <c r="X19" s="373" t="s">
        <v>319</v>
      </c>
      <c r="Y19" s="363" t="s">
        <v>1</v>
      </c>
      <c r="Z19" s="364" t="n">
        <f aca="false">SUM(Z7:Z18)</f>
        <v>269.471</v>
      </c>
      <c r="AA19" s="365" t="s">
        <v>1</v>
      </c>
      <c r="AB19" s="364" t="s">
        <v>1</v>
      </c>
      <c r="AC19" s="365" t="s">
        <v>1</v>
      </c>
      <c r="AD19" s="367"/>
    </row>
    <row r="20" customFormat="false" ht="16.5" hidden="false" customHeight="false" outlineLevel="0" collapsed="false">
      <c r="A20" s="328" t="s">
        <v>43</v>
      </c>
      <c r="B20" s="374" t="s">
        <v>1</v>
      </c>
      <c r="C20" s="375"/>
      <c r="D20" s="376"/>
      <c r="E20" s="377"/>
      <c r="F20" s="376"/>
      <c r="G20" s="376" t="s">
        <v>331</v>
      </c>
      <c r="H20" s="376"/>
      <c r="I20" s="298"/>
      <c r="P20" s="238" t="s">
        <v>332</v>
      </c>
      <c r="Q20" s="239" t="n">
        <f aca="false">PGL_Requirements!Q7/1000</f>
        <v>2.25</v>
      </c>
      <c r="R20" s="279"/>
      <c r="S20" s="321"/>
      <c r="T20" s="40"/>
      <c r="U20" s="40"/>
      <c r="V20" s="40"/>
      <c r="W20" s="378"/>
      <c r="X20" s="294" t="s">
        <v>43</v>
      </c>
      <c r="Y20" s="374" t="s">
        <v>1</v>
      </c>
      <c r="Z20" s="375"/>
      <c r="AA20" s="376"/>
      <c r="AB20" s="376" t="s">
        <v>333</v>
      </c>
      <c r="AC20" s="376"/>
      <c r="AD20" s="298"/>
    </row>
    <row r="21" customFormat="false" ht="16.5" hidden="false" customHeight="false" outlineLevel="0" collapsed="false">
      <c r="A21" s="322" t="s">
        <v>334</v>
      </c>
      <c r="B21" s="317" t="s">
        <v>1</v>
      </c>
      <c r="C21" s="379" t="n">
        <f aca="false">-PGL_Supplies!J7/1000</f>
        <v>-0</v>
      </c>
      <c r="D21" s="380"/>
      <c r="E21" s="259"/>
      <c r="F21" s="380"/>
      <c r="G21" s="259"/>
      <c r="H21" s="380"/>
      <c r="I21" s="237"/>
      <c r="P21" s="289" t="s">
        <v>292</v>
      </c>
      <c r="Q21" s="381" t="n">
        <f aca="false">-Q15+Q16+Q18-Q19-Q17+Q22+Q23</f>
        <v>-149.61</v>
      </c>
      <c r="R21" s="382"/>
      <c r="S21" s="325"/>
      <c r="T21" s="383" t="s">
        <v>335</v>
      </c>
      <c r="U21" s="263" t="n">
        <v>0</v>
      </c>
      <c r="V21" s="318"/>
      <c r="W21" s="384"/>
      <c r="X21" s="316" t="s">
        <v>334</v>
      </c>
      <c r="Y21" s="317" t="s">
        <v>1</v>
      </c>
      <c r="Z21" s="379" t="n">
        <f aca="false">-PGL_Supplies!J7/1000</f>
        <v>-0</v>
      </c>
      <c r="AA21" s="380"/>
      <c r="AB21" s="259"/>
      <c r="AC21" s="380"/>
      <c r="AD21" s="237"/>
    </row>
    <row r="22" customFormat="false" ht="15" hidden="false" customHeight="false" outlineLevel="0" collapsed="false">
      <c r="A22" s="322" t="s">
        <v>336</v>
      </c>
      <c r="B22" s="317" t="s">
        <v>1</v>
      </c>
      <c r="C22" s="307" t="n">
        <f aca="false">C6+C7-C19</f>
        <v>47.529</v>
      </c>
      <c r="D22" s="380"/>
      <c r="E22" s="259"/>
      <c r="F22" s="380"/>
      <c r="G22" s="307" t="s">
        <v>1</v>
      </c>
      <c r="H22" s="380"/>
      <c r="I22" s="276"/>
      <c r="P22" s="238" t="s">
        <v>337</v>
      </c>
      <c r="Q22" s="239" t="n">
        <v>0</v>
      </c>
      <c r="R22" s="385"/>
      <c r="S22" s="386"/>
      <c r="T22" s="383" t="s">
        <v>338</v>
      </c>
      <c r="U22" s="263" t="n">
        <v>0</v>
      </c>
      <c r="V22" s="318"/>
      <c r="W22" s="384"/>
      <c r="X22" s="316" t="s">
        <v>336</v>
      </c>
      <c r="Y22" s="317" t="s">
        <v>1</v>
      </c>
      <c r="Z22" s="307" t="n">
        <f aca="false">Z4+Z5-Z19</f>
        <v>47.529</v>
      </c>
      <c r="AA22" s="380"/>
      <c r="AB22" s="307" t="s">
        <v>1</v>
      </c>
      <c r="AC22" s="380"/>
      <c r="AD22" s="276"/>
    </row>
    <row r="23" customFormat="false" ht="18" hidden="false" customHeight="true" outlineLevel="0" collapsed="false">
      <c r="A23" s="387" t="s">
        <v>281</v>
      </c>
      <c r="B23" s="317" t="s">
        <v>1</v>
      </c>
      <c r="C23" s="307"/>
      <c r="D23" s="380"/>
      <c r="E23" s="259"/>
      <c r="F23" s="388" t="s">
        <v>1</v>
      </c>
      <c r="G23" s="389"/>
      <c r="H23" s="388" t="s">
        <v>1</v>
      </c>
      <c r="I23" s="237"/>
      <c r="P23" s="238" t="s">
        <v>339</v>
      </c>
      <c r="Q23" s="390" t="n">
        <v>0</v>
      </c>
      <c r="R23" s="391"/>
      <c r="S23" s="392"/>
      <c r="T23" s="393" t="s">
        <v>340</v>
      </c>
      <c r="U23" s="394" t="n">
        <v>0</v>
      </c>
      <c r="V23" s="344"/>
      <c r="W23" s="395"/>
      <c r="X23" s="396" t="s">
        <v>281</v>
      </c>
      <c r="Y23" s="317" t="s">
        <v>1</v>
      </c>
      <c r="Z23" s="307"/>
      <c r="AA23" s="388" t="s">
        <v>1</v>
      </c>
      <c r="AB23" s="389"/>
      <c r="AC23" s="388" t="s">
        <v>1</v>
      </c>
      <c r="AD23" s="237"/>
    </row>
    <row r="24" customFormat="false" ht="16.5" hidden="false" customHeight="false" outlineLevel="0" collapsed="false">
      <c r="A24" s="322" t="s">
        <v>341</v>
      </c>
      <c r="B24" s="397" t="s">
        <v>1</v>
      </c>
      <c r="C24" s="398" t="n">
        <f aca="false">SUM(B54+B56+B57)</f>
        <v>2.25</v>
      </c>
      <c r="D24" s="246"/>
      <c r="E24" s="399"/>
      <c r="F24" s="400"/>
      <c r="G24" s="399"/>
      <c r="H24" s="401" t="s">
        <v>1</v>
      </c>
      <c r="I24" s="402" t="s">
        <v>1</v>
      </c>
      <c r="K24" s="0" t="s">
        <v>1</v>
      </c>
      <c r="P24" s="403" t="s">
        <v>342</v>
      </c>
      <c r="Q24" s="404" t="n">
        <f aca="false">SUM(Q2)</f>
        <v>0</v>
      </c>
      <c r="R24" s="405"/>
      <c r="S24" s="406"/>
      <c r="T24" s="407" t="s">
        <v>343</v>
      </c>
      <c r="U24" s="370" t="n">
        <f aca="false">PGL_Requirements!H7/1000</f>
        <v>3.4</v>
      </c>
      <c r="V24" s="371"/>
      <c r="W24" s="408"/>
      <c r="X24" s="316" t="s">
        <v>341</v>
      </c>
      <c r="Y24" s="397" t="s">
        <v>1</v>
      </c>
      <c r="Z24" s="398" t="n">
        <f aca="false">SUM(Q20+Q22+Q23)</f>
        <v>2.25</v>
      </c>
      <c r="AA24" s="400"/>
      <c r="AB24" s="398" t="n">
        <f aca="false">SUM(R20+R22+R23)</f>
        <v>0</v>
      </c>
      <c r="AC24" s="401" t="s">
        <v>1</v>
      </c>
      <c r="AD24" s="409" t="n">
        <f aca="false">SUM(S20+S22+S23)</f>
        <v>0</v>
      </c>
    </row>
    <row r="25" customFormat="false" ht="17.25" hidden="false" customHeight="false" outlineLevel="0" collapsed="false">
      <c r="A25" s="410" t="s">
        <v>344</v>
      </c>
      <c r="B25" s="411" t="s">
        <v>1</v>
      </c>
      <c r="C25" s="412" t="n">
        <f aca="false">SUM(C22:C24)</f>
        <v>49.779</v>
      </c>
      <c r="D25" s="411" t="str">
        <f aca="false">B25</f>
        <v> </v>
      </c>
      <c r="E25" s="412" t="s">
        <v>1</v>
      </c>
      <c r="F25" s="411" t="s">
        <v>1</v>
      </c>
      <c r="G25" s="412" t="s">
        <v>1</v>
      </c>
      <c r="H25" s="413" t="s">
        <v>1</v>
      </c>
      <c r="I25" s="414" t="s">
        <v>1</v>
      </c>
      <c r="P25" s="337" t="s">
        <v>1</v>
      </c>
      <c r="Q25" s="415" t="s">
        <v>1</v>
      </c>
      <c r="R25" s="301" t="s">
        <v>86</v>
      </c>
      <c r="S25" s="296"/>
      <c r="T25" s="416" t="s">
        <v>345</v>
      </c>
      <c r="U25" s="417"/>
      <c r="V25" s="418"/>
      <c r="W25" s="419"/>
      <c r="X25" s="420" t="s">
        <v>344</v>
      </c>
      <c r="Y25" s="411" t="s">
        <v>1</v>
      </c>
      <c r="Z25" s="412" t="n">
        <f aca="false">SUM(Z22:Z24)</f>
        <v>49.779</v>
      </c>
      <c r="AA25" s="411" t="s">
        <v>1</v>
      </c>
      <c r="AB25" s="412" t="s">
        <v>1</v>
      </c>
      <c r="AC25" s="413" t="s">
        <v>1</v>
      </c>
      <c r="AD25" s="414" t="s">
        <v>1</v>
      </c>
    </row>
    <row r="26" customFormat="false" ht="16.5" hidden="false" customHeight="false" outlineLevel="0" collapsed="false">
      <c r="A26" s="238" t="s">
        <v>346</v>
      </c>
      <c r="B26" s="421"/>
      <c r="C26" s="379" t="n">
        <f aca="false">SUM(-PGL_Supplies!M7/1000)</f>
        <v>0</v>
      </c>
      <c r="D26" s="422" t="s">
        <v>1</v>
      </c>
      <c r="E26" s="423" t="s">
        <v>1</v>
      </c>
      <c r="F26" s="424"/>
      <c r="G26" s="425"/>
      <c r="H26" s="426"/>
      <c r="I26" s="427"/>
      <c r="P26" s="238" t="s">
        <v>347</v>
      </c>
      <c r="Q26" s="239" t="n">
        <f aca="false">PGL_Supplies!D7/1000</f>
        <v>0</v>
      </c>
      <c r="R26" s="428"/>
      <c r="S26" s="304"/>
      <c r="T26" s="40"/>
      <c r="U26" s="429"/>
      <c r="V26" s="40"/>
      <c r="W26" s="430"/>
      <c r="X26" s="305" t="s">
        <v>346</v>
      </c>
      <c r="Y26" s="421"/>
      <c r="Z26" s="379" t="n">
        <f aca="false">SUM(-PGL_Supplies!M7/1000)</f>
        <v>0</v>
      </c>
      <c r="AA26" s="424"/>
      <c r="AB26" s="425"/>
      <c r="AC26" s="426"/>
      <c r="AD26" s="427"/>
    </row>
    <row r="27" customFormat="false" ht="15.75" hidden="false" customHeight="true" outlineLevel="0" collapsed="false">
      <c r="A27" s="322" t="s">
        <v>348</v>
      </c>
      <c r="B27" s="431"/>
      <c r="C27" s="252" t="n">
        <f aca="false">PGL_Requirements!O7/1000</f>
        <v>0</v>
      </c>
      <c r="D27" s="432" t="s">
        <v>1</v>
      </c>
      <c r="E27" s="273" t="s">
        <v>1</v>
      </c>
      <c r="F27" s="349"/>
      <c r="G27" s="273" t="s">
        <v>1</v>
      </c>
      <c r="H27" s="426"/>
      <c r="I27" s="433" t="s">
        <v>1</v>
      </c>
      <c r="L27" s="40"/>
      <c r="P27" s="238" t="s">
        <v>349</v>
      </c>
      <c r="Q27" s="434" t="n">
        <f aca="false">PGL_Supplies!D7/1000</f>
        <v>0</v>
      </c>
      <c r="R27" s="435"/>
      <c r="S27" s="304"/>
      <c r="T27" s="369" t="s">
        <v>350</v>
      </c>
      <c r="U27" s="436"/>
      <c r="V27" s="371"/>
      <c r="W27" s="372"/>
      <c r="X27" s="316" t="s">
        <v>348</v>
      </c>
      <c r="Y27" s="431"/>
      <c r="Z27" s="252" t="n">
        <f aca="false">PGL_Requirements!O7/1000</f>
        <v>0</v>
      </c>
      <c r="AA27" s="349"/>
      <c r="AB27" s="273" t="s">
        <v>1</v>
      </c>
      <c r="AC27" s="426"/>
      <c r="AD27" s="433" t="s">
        <v>1</v>
      </c>
    </row>
    <row r="28" customFormat="false" ht="15" hidden="false" customHeight="false" outlineLevel="0" collapsed="false">
      <c r="A28" s="322" t="s">
        <v>351</v>
      </c>
      <c r="B28" s="437"/>
      <c r="C28" s="438" t="n">
        <f aca="false">-PGL_Supplies!L7/1000</f>
        <v>-12.21</v>
      </c>
      <c r="D28" s="439" t="s">
        <v>1</v>
      </c>
      <c r="E28" s="252" t="s">
        <v>1</v>
      </c>
      <c r="F28" s="349"/>
      <c r="G28" s="252" t="s">
        <v>1</v>
      </c>
      <c r="H28" s="426"/>
      <c r="I28" s="440" t="s">
        <v>1</v>
      </c>
      <c r="L28" s="305"/>
      <c r="P28" s="238" t="s">
        <v>164</v>
      </c>
      <c r="Q28" s="434" t="n">
        <f aca="false">PGL_Supplies!AA7/1000</f>
        <v>0</v>
      </c>
      <c r="R28" s="253"/>
      <c r="S28" s="304"/>
      <c r="T28" s="40"/>
      <c r="U28" s="429"/>
      <c r="V28" s="40"/>
      <c r="W28" s="430"/>
      <c r="X28" s="316" t="s">
        <v>351</v>
      </c>
      <c r="Y28" s="437"/>
      <c r="Z28" s="438" t="n">
        <f aca="false">-PGL_Supplies!L7/1000</f>
        <v>-12.21</v>
      </c>
      <c r="AA28" s="349"/>
      <c r="AB28" s="252" t="s">
        <v>1</v>
      </c>
      <c r="AC28" s="426"/>
      <c r="AD28" s="440" t="s">
        <v>1</v>
      </c>
    </row>
    <row r="29" customFormat="false" ht="15.75" hidden="false" customHeight="false" outlineLevel="0" collapsed="false">
      <c r="A29" s="238" t="s">
        <v>352</v>
      </c>
      <c r="B29" s="441"/>
      <c r="C29" s="252" t="n">
        <f aca="false">-PGL_Supplies!AC7/1000</f>
        <v>-37.567</v>
      </c>
      <c r="D29" s="439" t="s">
        <v>1</v>
      </c>
      <c r="E29" s="252" t="n">
        <f aca="false">-PGL_Supplies!AC7/1000</f>
        <v>-37.567</v>
      </c>
      <c r="F29" s="349"/>
      <c r="G29" s="252" t="n">
        <f aca="false">-PGL_Supplies!AC7/1000</f>
        <v>-37.567</v>
      </c>
      <c r="H29" s="426"/>
      <c r="I29" s="427" t="n">
        <f aca="false">-PGL_Supplies!AC7/1000</f>
        <v>-37.567</v>
      </c>
      <c r="L29" s="305"/>
      <c r="P29" s="238" t="s">
        <v>353</v>
      </c>
      <c r="Q29" s="239" t="n">
        <f aca="false">PGL_Supplies!S7/1000</f>
        <v>0</v>
      </c>
      <c r="R29" s="428"/>
      <c r="S29" s="304"/>
      <c r="T29" s="442" t="s">
        <v>354</v>
      </c>
      <c r="U29" s="394"/>
      <c r="V29" s="344"/>
      <c r="W29" s="345"/>
      <c r="X29" s="443" t="s">
        <v>352</v>
      </c>
      <c r="Y29" s="444"/>
      <c r="Z29" s="285" t="n">
        <f aca="false">-PGL_Supplies!AC7/1000</f>
        <v>-37.567</v>
      </c>
      <c r="AA29" s="445"/>
      <c r="AB29" s="285" t="n">
        <f aca="false">-PGL_Supplies!AC7/1000</f>
        <v>-37.567</v>
      </c>
      <c r="AC29" s="446"/>
      <c r="AD29" s="447" t="n">
        <f aca="false">-PGL_Supplies!AC7/1000</f>
        <v>-37.567</v>
      </c>
    </row>
    <row r="30" customFormat="false" ht="16.5" hidden="false" customHeight="false" outlineLevel="0" collapsed="false">
      <c r="A30" s="299" t="s">
        <v>1</v>
      </c>
      <c r="B30" s="448" t="s">
        <v>1</v>
      </c>
      <c r="C30" s="449" t="s">
        <v>84</v>
      </c>
      <c r="D30" s="450"/>
      <c r="E30" s="451"/>
      <c r="F30" s="452" t="s">
        <v>355</v>
      </c>
      <c r="G30" s="452"/>
      <c r="H30" s="452"/>
      <c r="I30" s="452"/>
      <c r="L30" s="310"/>
      <c r="P30" s="289" t="s">
        <v>294</v>
      </c>
      <c r="Q30" s="281" t="n">
        <f aca="false">-Q26+Q27-Q28+Q29</f>
        <v>0</v>
      </c>
      <c r="R30" s="453"/>
      <c r="S30" s="325"/>
      <c r="T30" s="454" t="s">
        <v>356</v>
      </c>
      <c r="U30" s="263"/>
      <c r="V30" s="318"/>
      <c r="W30" s="455"/>
      <c r="X30" s="452" t="s">
        <v>355</v>
      </c>
      <c r="Y30" s="452"/>
      <c r="Z30" s="452"/>
      <c r="AA30" s="452"/>
      <c r="AB30" s="452"/>
      <c r="AC30" s="452"/>
      <c r="AD30" s="452"/>
    </row>
    <row r="31" customFormat="false" ht="16.5" hidden="false" customHeight="false" outlineLevel="0" collapsed="false">
      <c r="A31" s="238" t="s">
        <v>357</v>
      </c>
      <c r="B31" s="239" t="n">
        <v>0</v>
      </c>
      <c r="C31" s="240"/>
      <c r="D31" s="241"/>
      <c r="E31" s="240"/>
      <c r="F31" s="238" t="s">
        <v>358</v>
      </c>
      <c r="G31" s="456"/>
      <c r="H31" s="385"/>
      <c r="I31" s="457"/>
      <c r="L31" s="305"/>
      <c r="P31" s="458" t="s">
        <v>359</v>
      </c>
      <c r="Q31" s="458"/>
      <c r="R31" s="458"/>
      <c r="S31" s="458"/>
      <c r="T31" s="360" t="s">
        <v>360</v>
      </c>
      <c r="U31" s="459"/>
      <c r="V31" s="327"/>
      <c r="W31" s="460"/>
      <c r="X31" s="305" t="s">
        <v>358</v>
      </c>
      <c r="Y31" s="243"/>
      <c r="Z31" s="461"/>
      <c r="AA31" s="462" t="s">
        <v>361</v>
      </c>
      <c r="AB31" s="40"/>
      <c r="AC31" s="418"/>
      <c r="AD31" s="463"/>
    </row>
    <row r="32" customFormat="false" ht="16.5" hidden="false" customHeight="false" outlineLevel="0" collapsed="false">
      <c r="A32" s="238" t="s">
        <v>285</v>
      </c>
      <c r="B32" s="464" t="n">
        <f aca="false">PGL_Requirements!J7/1000</f>
        <v>0</v>
      </c>
      <c r="C32" s="465" t="s">
        <v>1</v>
      </c>
      <c r="D32" s="253"/>
      <c r="E32" s="466"/>
      <c r="F32" s="238" t="s">
        <v>362</v>
      </c>
      <c r="G32" s="456"/>
      <c r="H32" s="467"/>
      <c r="I32" s="457"/>
      <c r="L32" s="310"/>
      <c r="P32" s="368" t="s">
        <v>363</v>
      </c>
      <c r="Q32" s="254" t="n">
        <f aca="false">PGL_Requirements!E7/1000</f>
        <v>0</v>
      </c>
      <c r="R32" s="468"/>
      <c r="S32" s="254" t="s">
        <v>1</v>
      </c>
      <c r="T32" s="407" t="s">
        <v>364</v>
      </c>
      <c r="U32" s="469"/>
      <c r="V32" s="470"/>
      <c r="W32" s="408"/>
      <c r="X32" s="471" t="s">
        <v>362</v>
      </c>
      <c r="Y32" s="279"/>
      <c r="Z32" s="304"/>
      <c r="AA32" s="472" t="s">
        <v>354</v>
      </c>
      <c r="AB32" s="313"/>
      <c r="AC32" s="318"/>
      <c r="AD32" s="264"/>
    </row>
    <row r="33" customFormat="false" ht="15.75" hidden="false" customHeight="false" outlineLevel="0" collapsed="false">
      <c r="A33" s="277" t="s">
        <v>291</v>
      </c>
      <c r="B33" s="239" t="n">
        <f aca="false">PGL_Supplies!Y7/1000</f>
        <v>175.702</v>
      </c>
      <c r="C33" s="278" t="s">
        <v>1</v>
      </c>
      <c r="D33" s="279"/>
      <c r="E33" s="473"/>
      <c r="F33" s="238" t="s">
        <v>365</v>
      </c>
      <c r="G33" s="456"/>
      <c r="H33" s="467"/>
      <c r="I33" s="457"/>
      <c r="L33" s="305"/>
      <c r="P33" s="368" t="s">
        <v>366</v>
      </c>
      <c r="Q33" s="434" t="n">
        <f aca="false">PGL_Supplies!E7/1000</f>
        <v>4.6</v>
      </c>
      <c r="R33" s="434" t="s">
        <v>1</v>
      </c>
      <c r="S33" s="474" t="s">
        <v>1</v>
      </c>
      <c r="T33" s="40"/>
      <c r="U33" s="40"/>
      <c r="V33" s="40"/>
      <c r="W33" s="430"/>
      <c r="X33" s="475" t="s">
        <v>365</v>
      </c>
      <c r="Y33" s="253"/>
      <c r="Z33" s="476"/>
      <c r="AA33" s="472" t="s">
        <v>367</v>
      </c>
      <c r="AB33" s="313"/>
      <c r="AC33" s="318"/>
      <c r="AD33" s="264"/>
    </row>
    <row r="34" customFormat="false" ht="16.5" hidden="false" customHeight="false" outlineLevel="0" collapsed="false">
      <c r="A34" s="289" t="s">
        <v>294</v>
      </c>
      <c r="B34" s="290" t="n">
        <f aca="false">+B33-B32-B31</f>
        <v>175.702</v>
      </c>
      <c r="C34" s="291" t="s">
        <v>1</v>
      </c>
      <c r="D34" s="292"/>
      <c r="E34" s="477"/>
      <c r="F34" s="238" t="s">
        <v>368</v>
      </c>
      <c r="G34" s="456"/>
      <c r="H34" s="467"/>
      <c r="I34" s="457"/>
      <c r="L34" s="305"/>
      <c r="P34" s="238" t="s">
        <v>164</v>
      </c>
      <c r="Q34" s="434" t="n">
        <f aca="false">PGL_Supplies!AB7/1000+NSG_Supplies!N7/1000</f>
        <v>212.579</v>
      </c>
      <c r="R34" s="434" t="s">
        <v>1</v>
      </c>
      <c r="S34" s="474" t="s">
        <v>1</v>
      </c>
      <c r="T34" s="40"/>
      <c r="U34" s="40"/>
      <c r="V34" s="40"/>
      <c r="W34" s="430"/>
      <c r="X34" s="475" t="s">
        <v>368</v>
      </c>
      <c r="Y34" s="253"/>
      <c r="Z34" s="304"/>
      <c r="AA34" s="478" t="s">
        <v>369</v>
      </c>
      <c r="AB34" s="313"/>
      <c r="AC34" s="318"/>
      <c r="AD34" s="264"/>
    </row>
    <row r="35" customFormat="false" ht="16.5" hidden="false" customHeight="false" outlineLevel="0" collapsed="false">
      <c r="A35" s="299" t="s">
        <v>1</v>
      </c>
      <c r="B35" s="300" t="s">
        <v>1</v>
      </c>
      <c r="C35" s="301" t="s">
        <v>85</v>
      </c>
      <c r="D35" s="302"/>
      <c r="E35" s="479"/>
      <c r="F35" s="238" t="s">
        <v>370</v>
      </c>
      <c r="G35" s="456"/>
      <c r="H35" s="467"/>
      <c r="I35" s="480" t="s">
        <v>371</v>
      </c>
      <c r="L35" s="305"/>
      <c r="P35" s="481" t="s">
        <v>372</v>
      </c>
      <c r="Q35" s="434" t="n">
        <f aca="false">PGL_Supplies!T7/1000</f>
        <v>7</v>
      </c>
      <c r="R35" s="434" t="s">
        <v>1</v>
      </c>
      <c r="S35" s="264"/>
      <c r="T35" s="40"/>
      <c r="U35" s="40"/>
      <c r="V35" s="40"/>
      <c r="W35" s="430"/>
      <c r="X35" s="475" t="s">
        <v>370</v>
      </c>
      <c r="Y35" s="253"/>
      <c r="Z35" s="304"/>
      <c r="AA35" s="478" t="s">
        <v>50</v>
      </c>
      <c r="AB35" s="313"/>
      <c r="AC35" s="318"/>
      <c r="AD35" s="264"/>
    </row>
    <row r="36" customFormat="false" ht="16.5" hidden="false" customHeight="false" outlineLevel="0" collapsed="false">
      <c r="A36" s="238" t="s">
        <v>297</v>
      </c>
      <c r="B36" s="239" t="n">
        <f aca="false">PGL_Requirements!U7/1000</f>
        <v>40.2</v>
      </c>
      <c r="C36" s="310"/>
      <c r="D36" s="253"/>
      <c r="E36" s="466"/>
      <c r="F36" s="368" t="s">
        <v>373</v>
      </c>
      <c r="G36" s="456"/>
      <c r="H36" s="467"/>
      <c r="I36" s="482"/>
      <c r="L36" s="305"/>
      <c r="P36" s="483" t="s">
        <v>374</v>
      </c>
      <c r="Q36" s="436" t="n">
        <f aca="false">-Q32+Q33+Q34+Q35</f>
        <v>224.179</v>
      </c>
      <c r="R36" s="371"/>
      <c r="S36" s="484" t="s">
        <v>1</v>
      </c>
      <c r="T36" s="40"/>
      <c r="U36" s="40"/>
      <c r="V36" s="40"/>
      <c r="W36" s="430"/>
      <c r="X36" s="485" t="s">
        <v>373</v>
      </c>
      <c r="Y36" s="253"/>
      <c r="Z36" s="304"/>
      <c r="AA36" s="486" t="s">
        <v>375</v>
      </c>
      <c r="AB36" s="313"/>
      <c r="AC36" s="318"/>
      <c r="AD36" s="264"/>
    </row>
    <row r="37" customFormat="false" ht="15.75" hidden="false" customHeight="false" outlineLevel="0" collapsed="false">
      <c r="A37" s="238" t="s">
        <v>300</v>
      </c>
      <c r="B37" s="239" t="n">
        <f aca="false">PGL_Supplies!R7/1000</f>
        <v>0</v>
      </c>
      <c r="C37" s="253"/>
      <c r="D37" s="253"/>
      <c r="E37" s="466"/>
      <c r="F37" s="238" t="s">
        <v>376</v>
      </c>
      <c r="G37" s="456"/>
      <c r="H37" s="467"/>
      <c r="I37" s="457"/>
      <c r="L37" s="305"/>
      <c r="P37" s="487" t="s">
        <v>377</v>
      </c>
      <c r="Q37" s="334"/>
      <c r="R37" s="334"/>
      <c r="S37" s="488" t="s">
        <v>1</v>
      </c>
      <c r="T37" s="40"/>
      <c r="U37" s="40"/>
      <c r="V37" s="40"/>
      <c r="W37" s="40"/>
      <c r="X37" s="489" t="s">
        <v>376</v>
      </c>
      <c r="Y37" s="253"/>
      <c r="Z37" s="304"/>
      <c r="AA37" s="310" t="s">
        <v>378</v>
      </c>
      <c r="AB37" s="40"/>
      <c r="AC37" s="490"/>
      <c r="AD37" s="491"/>
    </row>
    <row r="38" customFormat="false" ht="16.5" hidden="false" customHeight="false" outlineLevel="0" collapsed="false">
      <c r="A38" s="238" t="s">
        <v>303</v>
      </c>
      <c r="B38" s="239" t="n">
        <f aca="false">PGL_Requirements!C7/1000</f>
        <v>0</v>
      </c>
      <c r="C38" s="311"/>
      <c r="D38" s="318"/>
      <c r="E38" s="264"/>
      <c r="F38" s="238" t="s">
        <v>379</v>
      </c>
      <c r="G38" s="456"/>
      <c r="H38" s="467"/>
      <c r="I38" s="457"/>
      <c r="L38" s="305"/>
      <c r="P38" s="492" t="s">
        <v>380</v>
      </c>
      <c r="Q38" s="340"/>
      <c r="R38" s="493" t="s">
        <v>1</v>
      </c>
      <c r="S38" s="494" t="s">
        <v>1</v>
      </c>
      <c r="T38" s="40"/>
      <c r="U38" s="40"/>
      <c r="V38" s="40"/>
      <c r="W38" s="40"/>
      <c r="X38" s="495" t="s">
        <v>379</v>
      </c>
      <c r="Y38" s="496"/>
      <c r="Z38" s="497"/>
      <c r="AA38" s="407" t="s">
        <v>381</v>
      </c>
      <c r="AB38" s="470"/>
      <c r="AC38" s="470"/>
      <c r="AD38" s="498"/>
    </row>
    <row r="39" customFormat="false" ht="15" hidden="false" customHeight="false" outlineLevel="0" collapsed="false">
      <c r="A39" s="238" t="s">
        <v>306</v>
      </c>
      <c r="B39" s="239" t="n">
        <f aca="false">PGL_Supplies!C7/1000</f>
        <v>0</v>
      </c>
      <c r="C39" s="311"/>
      <c r="D39" s="318"/>
      <c r="E39" s="356"/>
      <c r="F39" s="499" t="s">
        <v>382</v>
      </c>
      <c r="G39" s="40"/>
      <c r="H39" s="342"/>
      <c r="I39" s="457"/>
      <c r="L39" s="305"/>
      <c r="P39" s="500" t="s">
        <v>383</v>
      </c>
      <c r="Q39" s="318"/>
      <c r="R39" s="311"/>
      <c r="S39" s="501" t="s">
        <v>1</v>
      </c>
      <c r="T39" s="40" t="s">
        <v>384</v>
      </c>
      <c r="U39" s="40"/>
      <c r="V39" s="40"/>
      <c r="W39" s="40"/>
      <c r="X39" s="305" t="s">
        <v>1</v>
      </c>
      <c r="Y39" s="502"/>
      <c r="Z39" s="502"/>
      <c r="AA39" s="503"/>
      <c r="AB39" s="40"/>
      <c r="AC39" s="40"/>
      <c r="AD39" s="287"/>
    </row>
    <row r="40" customFormat="false" ht="16.5" hidden="false" customHeight="false" outlineLevel="0" collapsed="false">
      <c r="A40" s="326" t="s">
        <v>310</v>
      </c>
      <c r="B40" s="239" t="n">
        <f aca="false">PGL_Supplies!Z7/1000</f>
        <v>40.2</v>
      </c>
      <c r="C40" s="40"/>
      <c r="D40" s="327"/>
      <c r="E40" s="40"/>
      <c r="F40" s="504" t="s">
        <v>354</v>
      </c>
      <c r="G40" s="456"/>
      <c r="H40" s="502"/>
      <c r="I40" s="457"/>
      <c r="L40" s="310"/>
      <c r="P40" s="505" t="s">
        <v>385</v>
      </c>
      <c r="Q40" s="506"/>
      <c r="R40" s="506"/>
      <c r="S40" s="507" t="s">
        <v>1</v>
      </c>
      <c r="T40" s="508"/>
      <c r="U40" s="508"/>
      <c r="V40" s="508"/>
      <c r="W40" s="508"/>
      <c r="X40" s="508"/>
      <c r="Y40" s="509" t="s">
        <v>386</v>
      </c>
      <c r="Z40" s="510"/>
      <c r="AA40" s="511" t="s">
        <v>387</v>
      </c>
      <c r="AB40" s="508"/>
      <c r="AC40" s="508" t="s">
        <v>388</v>
      </c>
      <c r="AD40" s="512"/>
    </row>
    <row r="41" customFormat="false" ht="17.25" hidden="false" customHeight="false" outlineLevel="0" collapsed="false">
      <c r="A41" s="289" t="s">
        <v>294</v>
      </c>
      <c r="B41" s="282" t="n">
        <f aca="false">B40+B37-B36-B38+B39</f>
        <v>0</v>
      </c>
      <c r="C41" s="292"/>
      <c r="D41" s="292"/>
      <c r="E41" s="477"/>
      <c r="F41" s="238" t="s">
        <v>367</v>
      </c>
      <c r="G41" s="456"/>
      <c r="H41" s="428"/>
      <c r="I41" s="457"/>
      <c r="L41" s="310"/>
      <c r="P41" s="513"/>
      <c r="Q41" s="513"/>
      <c r="R41" s="513"/>
      <c r="S41" s="513"/>
      <c r="T41" s="513"/>
      <c r="U41" s="513"/>
      <c r="V41" s="513"/>
      <c r="W41" s="513"/>
      <c r="X41" s="513"/>
      <c r="Y41" s="514"/>
      <c r="Z41" s="514"/>
      <c r="AA41" s="515"/>
      <c r="AB41" s="513"/>
      <c r="AC41" s="513"/>
      <c r="AD41" s="513"/>
    </row>
    <row r="42" customFormat="false" ht="16.5" hidden="false" customHeight="false" outlineLevel="0" collapsed="false">
      <c r="A42" s="337" t="s">
        <v>1</v>
      </c>
      <c r="B42" s="415" t="s">
        <v>1</v>
      </c>
      <c r="C42" s="301" t="s">
        <v>86</v>
      </c>
      <c r="D42" s="338"/>
      <c r="E42" s="516" t="s">
        <v>1</v>
      </c>
      <c r="F42" s="238" t="s">
        <v>369</v>
      </c>
      <c r="G42" s="456"/>
      <c r="H42" s="467"/>
      <c r="I42" s="457"/>
      <c r="P42" s="517"/>
      <c r="Q42" s="40"/>
      <c r="R42" s="40"/>
      <c r="S42" s="518"/>
      <c r="X42" s="40"/>
      <c r="Y42" s="519"/>
      <c r="Z42" s="310"/>
      <c r="AA42" s="503"/>
    </row>
    <row r="43" customFormat="false" ht="15" hidden="false" customHeight="false" outlineLevel="0" collapsed="false">
      <c r="A43" s="238" t="s">
        <v>389</v>
      </c>
      <c r="B43" s="239" t="n">
        <f aca="false">NSG_Supplies!O7/1000+PGL_Supplies!AA7/1000</f>
        <v>0</v>
      </c>
      <c r="C43" s="428"/>
      <c r="D43" s="253"/>
      <c r="E43" s="520"/>
      <c r="F43" s="238" t="s">
        <v>50</v>
      </c>
      <c r="G43" s="456"/>
      <c r="H43" s="428"/>
      <c r="I43" s="457"/>
      <c r="X43" s="40"/>
      <c r="Y43" s="519"/>
      <c r="Z43" s="310"/>
      <c r="AA43" s="503"/>
    </row>
    <row r="44" customFormat="false" ht="15" hidden="false" customHeight="false" outlineLevel="0" collapsed="false">
      <c r="A44" s="521" t="s">
        <v>390</v>
      </c>
      <c r="B44" s="239" t="n">
        <v>0</v>
      </c>
      <c r="C44" s="310"/>
      <c r="D44" s="253"/>
      <c r="E44" s="520"/>
      <c r="F44" s="368" t="s">
        <v>375</v>
      </c>
      <c r="G44" s="522"/>
      <c r="H44" s="523"/>
      <c r="I44" s="457"/>
      <c r="X44" s="40"/>
      <c r="Y44" s="240"/>
      <c r="Z44" s="240"/>
      <c r="AA44" s="503"/>
    </row>
    <row r="45" customFormat="false" ht="15.75" hidden="false" customHeight="false" outlineLevel="0" collapsed="false">
      <c r="A45" s="238" t="s">
        <v>347</v>
      </c>
      <c r="B45" s="524" t="n">
        <f aca="false">PGL_Requirements!D7/1000</f>
        <v>0</v>
      </c>
      <c r="C45" s="428"/>
      <c r="D45" s="253"/>
      <c r="E45" s="520"/>
      <c r="F45" s="368" t="s">
        <v>378</v>
      </c>
      <c r="G45" s="522"/>
      <c r="H45" s="391"/>
      <c r="I45" s="457"/>
    </row>
    <row r="46" customFormat="false" ht="16.5" hidden="false" customHeight="false" outlineLevel="0" collapsed="false">
      <c r="A46" s="238" t="s">
        <v>391</v>
      </c>
      <c r="B46" s="239" t="n">
        <f aca="false">PGL_Supplies!D7/1000</f>
        <v>0</v>
      </c>
      <c r="C46" s="428"/>
      <c r="D46" s="253"/>
      <c r="E46" s="520"/>
      <c r="F46" s="407" t="s">
        <v>381</v>
      </c>
      <c r="G46" s="525"/>
      <c r="H46" s="526"/>
      <c r="I46" s="457"/>
    </row>
    <row r="47" customFormat="false" ht="16.5" hidden="false" customHeight="false" outlineLevel="0" collapsed="false">
      <c r="A47" s="289" t="s">
        <v>294</v>
      </c>
      <c r="B47" s="281" t="n">
        <f aca="false">B43+B44-B45+B46</f>
        <v>0</v>
      </c>
      <c r="C47" s="453"/>
      <c r="D47" s="292"/>
      <c r="E47" s="527"/>
      <c r="F47" s="528" t="s">
        <v>1</v>
      </c>
      <c r="G47" s="529" t="s">
        <v>392</v>
      </c>
      <c r="H47" s="530" t="s">
        <v>1</v>
      </c>
      <c r="I47" s="530"/>
    </row>
    <row r="48" customFormat="false" ht="16.5" hidden="false" customHeight="false" outlineLevel="0" collapsed="false">
      <c r="A48" s="337" t="s">
        <v>1</v>
      </c>
      <c r="B48" s="301" t="s">
        <v>1</v>
      </c>
      <c r="C48" s="301" t="s">
        <v>74</v>
      </c>
      <c r="D48" s="338"/>
      <c r="E48" s="338"/>
      <c r="F48" s="242" t="s">
        <v>281</v>
      </c>
      <c r="G48" s="531"/>
      <c r="H48" s="244" t="s">
        <v>1</v>
      </c>
      <c r="I48" s="532" t="s">
        <v>1</v>
      </c>
    </row>
    <row r="49" customFormat="false" ht="15" hidden="false" customHeight="false" outlineLevel="0" collapsed="false">
      <c r="A49" s="238" t="s">
        <v>92</v>
      </c>
      <c r="B49" s="239" t="n">
        <f aca="false">PGL_Requirements!P7/1000</f>
        <v>150</v>
      </c>
      <c r="C49" s="253"/>
      <c r="D49" s="253"/>
      <c r="E49" s="253"/>
      <c r="F49" s="339" t="s">
        <v>286</v>
      </c>
      <c r="G49" s="253"/>
      <c r="H49" s="434" t="n">
        <f aca="false">PGL_Supplies!I7/1000</f>
        <v>15</v>
      </c>
      <c r="I49" s="532" t="s">
        <v>1</v>
      </c>
    </row>
    <row r="50" customFormat="false" ht="15.75" hidden="false" customHeight="false" outlineLevel="0" collapsed="false">
      <c r="A50" s="238" t="s">
        <v>322</v>
      </c>
      <c r="B50" s="239" t="n">
        <f aca="false">PGL_Supplies!M7/1000</f>
        <v>0</v>
      </c>
      <c r="C50" s="253"/>
      <c r="D50" s="253"/>
      <c r="E50" s="253"/>
      <c r="F50" s="265" t="s">
        <v>288</v>
      </c>
      <c r="G50" s="533"/>
      <c r="H50" s="267" t="n">
        <v>0</v>
      </c>
      <c r="I50" s="534"/>
    </row>
    <row r="51" customFormat="false" ht="15.75" hidden="false" customHeight="false" outlineLevel="0" collapsed="false">
      <c r="A51" s="238" t="s">
        <v>324</v>
      </c>
      <c r="B51" s="239" t="n">
        <f aca="false">SUM(PGL_Requirements!B7/1000)</f>
        <v>0</v>
      </c>
      <c r="C51" s="253"/>
      <c r="D51" s="253"/>
      <c r="E51" s="253"/>
      <c r="F51" s="535" t="s">
        <v>292</v>
      </c>
      <c r="G51" s="292"/>
      <c r="H51" s="282" t="n">
        <f aca="false">H49+H50</f>
        <v>15</v>
      </c>
      <c r="I51" s="536" t="s">
        <v>1</v>
      </c>
    </row>
    <row r="52" customFormat="false" ht="16.5" hidden="false" customHeight="false" outlineLevel="0" collapsed="false">
      <c r="A52" s="238" t="s">
        <v>327</v>
      </c>
      <c r="B52" s="239" t="n">
        <f aca="false">PGL_Supplies!H7/1000</f>
        <v>1</v>
      </c>
      <c r="C52" s="253"/>
      <c r="D52" s="253"/>
      <c r="E52" s="253"/>
      <c r="F52" s="458" t="s">
        <v>296</v>
      </c>
      <c r="G52" s="458"/>
      <c r="H52" s="458"/>
      <c r="I52" s="458"/>
    </row>
    <row r="53" customFormat="false" ht="15" hidden="false" customHeight="false" outlineLevel="0" collapsed="false">
      <c r="A53" s="368" t="s">
        <v>329</v>
      </c>
      <c r="B53" s="239" t="n">
        <f aca="false">PGL_Requirements!R7/1000</f>
        <v>0.61</v>
      </c>
      <c r="C53" s="253"/>
      <c r="D53" s="253"/>
      <c r="E53" s="253"/>
      <c r="F53" s="350" t="s">
        <v>325</v>
      </c>
      <c r="G53" s="537"/>
      <c r="H53" s="538" t="n">
        <f aca="false">+PGL_Supplies!K7/1000</f>
        <v>0</v>
      </c>
    </row>
    <row r="54" customFormat="false" ht="16.5" hidden="false" customHeight="false" outlineLevel="0" collapsed="false">
      <c r="A54" s="238" t="s">
        <v>332</v>
      </c>
      <c r="B54" s="239" t="n">
        <f aca="false">PGL_Requirements!Q7/1000</f>
        <v>2.25</v>
      </c>
      <c r="C54" s="279"/>
      <c r="D54" s="279"/>
      <c r="E54" s="279"/>
      <c r="F54" s="458" t="s">
        <v>359</v>
      </c>
      <c r="G54" s="458"/>
      <c r="H54" s="458"/>
      <c r="I54" s="458"/>
    </row>
    <row r="55" customFormat="false" ht="16.5" hidden="false" customHeight="false" outlineLevel="0" collapsed="false">
      <c r="A55" s="289" t="s">
        <v>292</v>
      </c>
      <c r="B55" s="539" t="n">
        <f aca="false">-B49+B50+B52-B53-B51+B56+B57</f>
        <v>-149.61</v>
      </c>
      <c r="C55" s="382"/>
      <c r="D55" s="382"/>
      <c r="E55" s="477"/>
      <c r="F55" s="504" t="s">
        <v>363</v>
      </c>
      <c r="G55" s="540"/>
      <c r="H55" s="468"/>
      <c r="I55" s="541" t="n">
        <f aca="false">PGL_Requirements!E7/1000</f>
        <v>0</v>
      </c>
    </row>
    <row r="56" customFormat="false" ht="15" hidden="false" customHeight="false" outlineLevel="0" collapsed="false">
      <c r="A56" s="238" t="s">
        <v>337</v>
      </c>
      <c r="B56" s="239" t="n">
        <v>0</v>
      </c>
      <c r="C56" s="385"/>
      <c r="D56" s="385"/>
      <c r="E56" s="542"/>
      <c r="F56" s="368" t="s">
        <v>366</v>
      </c>
      <c r="G56" s="456"/>
      <c r="H56" s="434" t="n">
        <f aca="false">PGL_Supplies!E7/1000</f>
        <v>4.6</v>
      </c>
      <c r="I56" s="474" t="s">
        <v>1</v>
      </c>
    </row>
    <row r="57" customFormat="false" ht="15" hidden="false" customHeight="false" outlineLevel="0" collapsed="false">
      <c r="A57" s="238" t="s">
        <v>339</v>
      </c>
      <c r="B57" s="543" t="n">
        <v>0</v>
      </c>
      <c r="C57" s="468"/>
      <c r="D57" s="468"/>
      <c r="E57" s="544"/>
      <c r="F57" s="238" t="s">
        <v>164</v>
      </c>
      <c r="G57" s="545"/>
      <c r="H57" s="434" t="n">
        <f aca="false">PGL_Supplies!AB7/1000+NSG_Supplies!N7/1000</f>
        <v>212.579</v>
      </c>
      <c r="I57" s="474" t="s">
        <v>1</v>
      </c>
    </row>
    <row r="58" customFormat="false" ht="15.75" hidden="false" customHeight="false" outlineLevel="0" collapsed="false">
      <c r="A58" s="238" t="s">
        <v>342</v>
      </c>
      <c r="B58" s="404" t="n">
        <f aca="false">SUM(B31)</f>
        <v>0</v>
      </c>
      <c r="C58" s="310"/>
      <c r="D58" s="546"/>
      <c r="E58" s="547"/>
      <c r="F58" s="40" t="s">
        <v>372</v>
      </c>
      <c r="G58" s="40"/>
      <c r="H58" s="434" t="n">
        <f aca="false">PGL_Supplies!T7/1000</f>
        <v>7</v>
      </c>
      <c r="I58" s="264"/>
    </row>
    <row r="59" customFormat="false" ht="16.5" hidden="false" customHeight="false" outlineLevel="0" collapsed="false">
      <c r="A59" s="293" t="s">
        <v>1</v>
      </c>
      <c r="B59" s="548"/>
      <c r="C59" s="294" t="s">
        <v>42</v>
      </c>
      <c r="D59" s="295"/>
      <c r="E59" s="549"/>
      <c r="F59" s="40" t="s">
        <v>393</v>
      </c>
      <c r="G59" s="40"/>
      <c r="H59" s="344"/>
      <c r="I59" s="550" t="n">
        <f aca="false">PGL_Requirements!H7/1000</f>
        <v>3.4</v>
      </c>
    </row>
    <row r="60" customFormat="false" ht="16.5" hidden="false" customHeight="false" outlineLevel="0" collapsed="false">
      <c r="A60" s="238" t="s">
        <v>295</v>
      </c>
      <c r="B60" s="239" t="n">
        <f aca="false">PGL_Supplies!Q7/1000</f>
        <v>0</v>
      </c>
      <c r="C60" s="303" t="s">
        <v>1</v>
      </c>
      <c r="D60" s="253"/>
      <c r="E60" s="551"/>
      <c r="F60" s="407" t="s">
        <v>374</v>
      </c>
      <c r="G60" s="470"/>
      <c r="H60" s="470"/>
      <c r="I60" s="484" t="n">
        <f aca="false">H56+H57+H58-I55</f>
        <v>224.179</v>
      </c>
    </row>
    <row r="61" customFormat="false" ht="15" hidden="false" customHeight="false" outlineLevel="0" collapsed="false">
      <c r="A61" s="238" t="s">
        <v>298</v>
      </c>
      <c r="B61" s="254" t="n">
        <f aca="false">PGL_Requirements!F7/1000</f>
        <v>0</v>
      </c>
      <c r="C61" s="303" t="s">
        <v>1</v>
      </c>
      <c r="D61" s="253"/>
      <c r="E61" s="551"/>
      <c r="F61" s="552" t="s">
        <v>394</v>
      </c>
      <c r="G61" s="553"/>
      <c r="H61" s="334"/>
      <c r="I61" s="488" t="n">
        <v>0</v>
      </c>
    </row>
    <row r="62" customFormat="false" ht="15" hidden="false" customHeight="false" outlineLevel="0" collapsed="false">
      <c r="A62" s="238" t="s">
        <v>301</v>
      </c>
      <c r="B62" s="239" t="n">
        <f aca="false">PGL_Supplies!G7/1000</f>
        <v>0.1</v>
      </c>
      <c r="C62" s="239"/>
      <c r="D62" s="253"/>
      <c r="E62" s="467"/>
      <c r="F62" s="554" t="s">
        <v>395</v>
      </c>
      <c r="G62" s="310"/>
      <c r="H62" s="493" t="s">
        <v>1</v>
      </c>
      <c r="I62" s="494" t="n">
        <f aca="false">I60-I61-I63</f>
        <v>220.779</v>
      </c>
    </row>
    <row r="63" customFormat="false" ht="15.75" hidden="false" customHeight="false" outlineLevel="0" collapsed="false">
      <c r="A63" s="238" t="s">
        <v>164</v>
      </c>
      <c r="B63" s="319" t="n">
        <f aca="false">PGL_Supplies!AD7/1000</f>
        <v>16.5</v>
      </c>
      <c r="C63" s="320"/>
      <c r="D63" s="279"/>
      <c r="E63" s="555"/>
      <c r="F63" s="556" t="s">
        <v>396</v>
      </c>
      <c r="G63" s="355"/>
      <c r="H63" s="311"/>
      <c r="I63" s="501" t="n">
        <f aca="false">I64</f>
        <v>3.4</v>
      </c>
    </row>
    <row r="64" customFormat="false" ht="16.5" hidden="false" customHeight="false" outlineLevel="0" collapsed="false">
      <c r="A64" s="323" t="s">
        <v>307</v>
      </c>
      <c r="B64" s="324" t="n">
        <f aca="false">+B63+B62-B61+B60</f>
        <v>16.6</v>
      </c>
      <c r="C64" s="281" t="s">
        <v>1</v>
      </c>
      <c r="D64" s="292"/>
      <c r="E64" s="477"/>
      <c r="F64" s="557" t="s">
        <v>397</v>
      </c>
      <c r="G64" s="314"/>
      <c r="H64" s="318"/>
      <c r="I64" s="501" t="n">
        <f aca="false">(PGL_Requirements!H7)/1000</f>
        <v>3.4</v>
      </c>
    </row>
    <row r="65" customFormat="false" ht="15.75" hidden="false" customHeight="false" outlineLevel="0" collapsed="false">
      <c r="A65" s="350" t="s">
        <v>398</v>
      </c>
      <c r="B65" s="558"/>
      <c r="C65" s="559" t="s">
        <v>1</v>
      </c>
      <c r="D65" s="559" t="s">
        <v>1</v>
      </c>
      <c r="E65" s="560" t="s">
        <v>1</v>
      </c>
      <c r="F65" s="561" t="s">
        <v>385</v>
      </c>
      <c r="H65" s="318"/>
      <c r="I65" s="562" t="n">
        <f aca="false">+I61+I62+I63-I64-I66</f>
        <v>211.779</v>
      </c>
      <c r="P65" s="350"/>
      <c r="Q65" s="558"/>
      <c r="R65" s="559"/>
      <c r="S65" s="559"/>
    </row>
    <row r="66" customFormat="false" ht="15.75" hidden="false" customHeight="false" outlineLevel="0" collapsed="false">
      <c r="A66" s="368" t="s">
        <v>399</v>
      </c>
      <c r="B66" s="563"/>
      <c r="C66" s="564" t="s">
        <v>1</v>
      </c>
      <c r="D66" s="564" t="s">
        <v>1</v>
      </c>
      <c r="E66" s="565" t="s">
        <v>1</v>
      </c>
      <c r="F66" s="566" t="s">
        <v>400</v>
      </c>
      <c r="G66" s="313"/>
      <c r="H66" s="567"/>
      <c r="I66" s="501" t="n">
        <f aca="false">PGL_Requirements!K7/1000</f>
        <v>9</v>
      </c>
      <c r="P66" s="368"/>
      <c r="Q66" s="563"/>
      <c r="R66" s="564"/>
      <c r="S66" s="564"/>
    </row>
    <row r="67" customFormat="false" ht="16.5" hidden="false" customHeight="false" outlineLevel="0" collapsed="false">
      <c r="A67" s="568" t="s">
        <v>401</v>
      </c>
      <c r="B67" s="569"/>
      <c r="C67" s="570" t="s">
        <v>1</v>
      </c>
      <c r="D67" s="570" t="s">
        <v>1</v>
      </c>
      <c r="E67" s="571" t="s">
        <v>1</v>
      </c>
      <c r="F67" s="458" t="s">
        <v>311</v>
      </c>
      <c r="G67" s="458"/>
      <c r="H67" s="458"/>
      <c r="I67" s="458"/>
      <c r="P67" s="568"/>
      <c r="Q67" s="569"/>
      <c r="R67" s="570"/>
      <c r="S67" s="570"/>
    </row>
    <row r="68" customFormat="false" ht="16.5" hidden="false" customHeight="false" outlineLevel="0" collapsed="false">
      <c r="A68" s="572" t="s">
        <v>402</v>
      </c>
      <c r="B68" s="573" t="s">
        <v>1</v>
      </c>
      <c r="C68" s="574" t="s">
        <v>1</v>
      </c>
      <c r="D68" s="574" t="s">
        <v>1</v>
      </c>
      <c r="E68" s="575" t="s">
        <v>1</v>
      </c>
      <c r="F68" s="333" t="s">
        <v>314</v>
      </c>
      <c r="G68" s="531" t="s">
        <v>1</v>
      </c>
      <c r="H68" s="576" t="s">
        <v>1</v>
      </c>
      <c r="I68" s="577" t="s">
        <v>1</v>
      </c>
      <c r="P68" s="572"/>
      <c r="Q68" s="573"/>
      <c r="R68" s="574"/>
      <c r="S68" s="574"/>
    </row>
    <row r="69" customFormat="false" ht="16.5" hidden="false" customHeight="false" outlineLevel="0" collapsed="false">
      <c r="A69" s="578" t="s">
        <v>403</v>
      </c>
      <c r="B69" s="371"/>
      <c r="C69" s="40"/>
      <c r="D69" s="371"/>
      <c r="E69" s="40"/>
      <c r="F69" s="339" t="s">
        <v>317</v>
      </c>
      <c r="G69" s="253"/>
      <c r="H69" s="468"/>
      <c r="I69" s="579"/>
      <c r="P69" s="578"/>
      <c r="Q69" s="371"/>
      <c r="R69" s="40"/>
      <c r="S69" s="371"/>
    </row>
    <row r="70" customFormat="false" ht="16.5" hidden="false" customHeight="false" outlineLevel="0" collapsed="false">
      <c r="A70" s="289" t="s">
        <v>404</v>
      </c>
      <c r="B70" s="580" t="s">
        <v>1</v>
      </c>
      <c r="C70" s="581" t="s">
        <v>1</v>
      </c>
      <c r="D70" s="581" t="s">
        <v>1</v>
      </c>
      <c r="E70" s="582" t="s">
        <v>1</v>
      </c>
      <c r="F70" s="583"/>
      <c r="I70" s="584"/>
      <c r="P70" s="289"/>
      <c r="Q70" s="580"/>
      <c r="R70" s="581"/>
      <c r="S70" s="581"/>
      <c r="T70" s="583"/>
      <c r="W70" s="584"/>
    </row>
    <row r="71" customFormat="false" ht="16.5" hidden="false" customHeight="false" outlineLevel="0" collapsed="false">
      <c r="A71" s="585" t="s">
        <v>405</v>
      </c>
      <c r="B71" s="586" t="s">
        <v>1</v>
      </c>
      <c r="C71" s="587" t="s">
        <v>1</v>
      </c>
      <c r="D71" s="587" t="s">
        <v>1</v>
      </c>
      <c r="E71" s="588" t="s">
        <v>1</v>
      </c>
      <c r="F71" s="589" t="s">
        <v>406</v>
      </c>
      <c r="G71" s="508"/>
      <c r="H71" s="509" t="s">
        <v>407</v>
      </c>
      <c r="I71" s="590" t="s">
        <v>1</v>
      </c>
      <c r="P71" s="585"/>
      <c r="Q71" s="586"/>
      <c r="R71" s="587"/>
      <c r="S71" s="587"/>
      <c r="T71" s="589" t="s">
        <v>406</v>
      </c>
      <c r="U71" s="508"/>
      <c r="V71" s="509" t="s">
        <v>407</v>
      </c>
      <c r="W71" s="590" t="s">
        <v>1</v>
      </c>
    </row>
    <row r="72" customFormat="false" ht="15.75" hidden="false" customHeight="false" outlineLevel="0" collapsed="false"/>
  </sheetData>
  <mergeCells count="8">
    <mergeCell ref="V1:W1"/>
    <mergeCell ref="F30:I30"/>
    <mergeCell ref="X30:AD30"/>
    <mergeCell ref="P31:S31"/>
    <mergeCell ref="H47:I47"/>
    <mergeCell ref="F52:I52"/>
    <mergeCell ref="F54:I54"/>
    <mergeCell ref="F67:I67"/>
  </mergeCells>
  <printOptions headings="false" gridLines="false" gridLinesSet="true" horizontalCentered="true" verticalCentered="false"/>
  <pageMargins left="0.747916666666667" right="0" top="0.5" bottom="0.25" header="0.511811023622047" footer="0.25"/>
  <pageSetup paperSize="5" scale="8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&amp;R&amp;10Printed: &amp;D &amp;T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55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23.55"/>
    <col collapsed="false" customWidth="true" hidden="false" outlineLevel="0" max="6" min="2" style="0" width="10.77"/>
    <col collapsed="false" customWidth="true" hidden="false" outlineLevel="0" max="7" min="7" style="0" width="10.88"/>
    <col collapsed="false" customWidth="true" hidden="false" outlineLevel="0" max="9" min="8" style="0" width="10.77"/>
  </cols>
  <sheetData>
    <row r="1" customFormat="false" ht="21" hidden="false" customHeight="false" outlineLevel="0" collapsed="false">
      <c r="A1" s="591" t="s">
        <v>1</v>
      </c>
      <c r="B1" s="592"/>
      <c r="C1" s="592" t="s">
        <v>1</v>
      </c>
      <c r="D1" s="593"/>
      <c r="E1" s="219" t="s">
        <v>273</v>
      </c>
      <c r="F1" s="219" t="str">
        <f aca="false">CHOOSE(WEEKDAY(G1),"SUN","MON","TUE","WED","THU","FRI","SAT")</f>
        <v>WED</v>
      </c>
      <c r="G1" s="594" t="n">
        <f aca="false">Weather_Input!A5</f>
        <v>37034</v>
      </c>
      <c r="H1" s="217" t="s">
        <v>274</v>
      </c>
      <c r="I1" s="221"/>
    </row>
    <row r="2" customFormat="false" ht="20.25" hidden="false" customHeight="false" outlineLevel="0" collapsed="false">
      <c r="A2" s="595" t="s">
        <v>1</v>
      </c>
      <c r="B2" s="596" t="s">
        <v>408</v>
      </c>
      <c r="C2" s="597" t="n">
        <v>48.5</v>
      </c>
      <c r="D2" s="38" t="s">
        <v>277</v>
      </c>
      <c r="E2" s="598"/>
      <c r="F2" s="38" t="s">
        <v>278</v>
      </c>
      <c r="G2" s="598"/>
      <c r="H2" s="599" t="s">
        <v>409</v>
      </c>
      <c r="I2" s="600"/>
    </row>
    <row r="3" customFormat="false" ht="20.25" hidden="false" customHeight="false" outlineLevel="0" collapsed="false">
      <c r="A3" s="601" t="s">
        <v>410</v>
      </c>
      <c r="B3" s="602" t="s">
        <v>17</v>
      </c>
      <c r="C3" s="603"/>
      <c r="D3" s="604" t="s">
        <v>17</v>
      </c>
      <c r="E3" s="603" t="s">
        <v>18</v>
      </c>
      <c r="F3" s="604" t="s">
        <v>17</v>
      </c>
      <c r="G3" s="604" t="s">
        <v>18</v>
      </c>
      <c r="H3" s="602" t="s">
        <v>17</v>
      </c>
      <c r="I3" s="605" t="s">
        <v>18</v>
      </c>
    </row>
    <row r="4" customFormat="false" ht="21" hidden="false" customHeight="false" outlineLevel="0" collapsed="false">
      <c r="A4" s="606"/>
      <c r="B4" s="607" t="n">
        <f aca="false">Weather_Input!B5</f>
        <v>62</v>
      </c>
      <c r="C4" s="608" t="n">
        <f aca="false">Weather_Input!C5</f>
        <v>44</v>
      </c>
      <c r="D4" s="609"/>
      <c r="E4" s="610"/>
      <c r="F4" s="609"/>
      <c r="G4" s="610"/>
      <c r="H4" s="611"/>
      <c r="I4" s="612"/>
    </row>
    <row r="5" customFormat="false" ht="24" hidden="false" customHeight="false" outlineLevel="0" collapsed="false">
      <c r="A5" s="613" t="s">
        <v>219</v>
      </c>
      <c r="B5" s="614"/>
      <c r="C5" s="615" t="n">
        <f aca="false">NSG_Deliveries!C5/1000</f>
        <v>63</v>
      </c>
      <c r="D5" s="614"/>
      <c r="E5" s="616"/>
      <c r="F5" s="614"/>
      <c r="G5" s="616" t="s">
        <v>1</v>
      </c>
      <c r="H5" s="614"/>
      <c r="I5" s="617"/>
    </row>
    <row r="6" customFormat="false" ht="12" hidden="false" customHeight="true" outlineLevel="0" collapsed="false">
      <c r="A6" s="618" t="s">
        <v>1</v>
      </c>
      <c r="B6" s="619"/>
      <c r="C6" s="620"/>
      <c r="D6" s="621"/>
      <c r="E6" s="620"/>
      <c r="F6" s="621"/>
      <c r="G6" s="621"/>
      <c r="H6" s="619"/>
      <c r="I6" s="622"/>
    </row>
    <row r="7" customFormat="false" ht="24" hidden="false" customHeight="false" outlineLevel="0" collapsed="false">
      <c r="A7" s="623" t="s">
        <v>128</v>
      </c>
      <c r="B7" s="614"/>
      <c r="C7" s="624" t="n">
        <f aca="false">C5-C9-C11-C12</f>
        <v>41.5</v>
      </c>
      <c r="D7" s="625"/>
      <c r="E7" s="616"/>
      <c r="F7" s="625"/>
      <c r="G7" s="625" t="s">
        <v>1</v>
      </c>
      <c r="H7" s="614"/>
      <c r="I7" s="617"/>
    </row>
    <row r="8" customFormat="false" ht="12" hidden="false" customHeight="true" outlineLevel="0" collapsed="false">
      <c r="A8" s="618"/>
      <c r="B8" s="626"/>
      <c r="C8" s="620"/>
      <c r="D8" s="621"/>
      <c r="E8" s="620"/>
      <c r="F8" s="621"/>
      <c r="G8" s="621"/>
      <c r="H8" s="619"/>
      <c r="I8" s="622"/>
    </row>
    <row r="9" customFormat="false" ht="21" hidden="false" customHeight="true" outlineLevel="0" collapsed="false">
      <c r="A9" s="627" t="s">
        <v>411</v>
      </c>
      <c r="B9" s="628"/>
      <c r="C9" s="629" t="n">
        <f aca="false">B46</f>
        <v>21.5</v>
      </c>
      <c r="D9" s="630"/>
      <c r="E9" s="631"/>
      <c r="F9" s="630"/>
      <c r="G9" s="630"/>
      <c r="H9" s="628"/>
      <c r="I9" s="632"/>
    </row>
    <row r="10" customFormat="false" ht="12" hidden="false" customHeight="true" outlineLevel="0" collapsed="false">
      <c r="A10" s="633"/>
      <c r="B10" s="626"/>
      <c r="C10" s="620"/>
      <c r="D10" s="634"/>
      <c r="E10" s="635"/>
      <c r="F10" s="634"/>
      <c r="G10" s="634"/>
      <c r="H10" s="626"/>
      <c r="I10" s="636"/>
    </row>
    <row r="11" customFormat="false" ht="23.25" hidden="false" customHeight="false" outlineLevel="0" collapsed="false">
      <c r="A11" s="637" t="s">
        <v>412</v>
      </c>
      <c r="B11" s="638"/>
      <c r="C11" s="639" t="n">
        <f aca="false">B38</f>
        <v>0</v>
      </c>
      <c r="D11" s="630"/>
      <c r="E11" s="631"/>
      <c r="F11" s="630"/>
      <c r="G11" s="630" t="s">
        <v>1</v>
      </c>
      <c r="H11" s="628"/>
      <c r="I11" s="632"/>
    </row>
    <row r="12" customFormat="false" ht="23.25" hidden="false" customHeight="false" outlineLevel="0" collapsed="false">
      <c r="A12" s="640" t="s">
        <v>413</v>
      </c>
      <c r="B12" s="641"/>
      <c r="C12" s="642" t="n">
        <v>0</v>
      </c>
      <c r="D12" s="643"/>
      <c r="E12" s="644"/>
      <c r="F12" s="643"/>
      <c r="G12" s="643"/>
      <c r="H12" s="641"/>
      <c r="I12" s="645"/>
    </row>
    <row r="13" customFormat="false" ht="21" hidden="false" customHeight="false" outlineLevel="0" collapsed="false">
      <c r="A13" s="646" t="s">
        <v>149</v>
      </c>
      <c r="B13" s="647"/>
      <c r="C13" s="648"/>
      <c r="D13" s="643"/>
      <c r="E13" s="644"/>
      <c r="F13" s="643"/>
      <c r="G13" s="643"/>
      <c r="H13" s="641"/>
      <c r="I13" s="645"/>
    </row>
    <row r="14" customFormat="false" ht="21" hidden="false" customHeight="false" outlineLevel="0" collapsed="false">
      <c r="A14" s="646" t="s">
        <v>171</v>
      </c>
      <c r="B14" s="649"/>
      <c r="C14" s="650"/>
      <c r="D14" s="649"/>
      <c r="E14" s="650"/>
      <c r="F14" s="649"/>
      <c r="G14" s="649"/>
      <c r="H14" s="651"/>
      <c r="I14" s="652"/>
    </row>
    <row r="15" customFormat="false" ht="24" hidden="false" customHeight="false" outlineLevel="0" collapsed="false">
      <c r="A15" s="653" t="s">
        <v>414</v>
      </c>
      <c r="B15" s="654"/>
      <c r="C15" s="624" t="n">
        <v>0</v>
      </c>
      <c r="D15" s="655"/>
      <c r="E15" s="656"/>
      <c r="F15" s="655"/>
      <c r="G15" s="655" t="s">
        <v>1</v>
      </c>
      <c r="H15" s="654"/>
      <c r="I15" s="657"/>
    </row>
    <row r="16" customFormat="false" ht="21" hidden="false" customHeight="false" outlineLevel="0" collapsed="false">
      <c r="A16" s="658" t="s">
        <v>1</v>
      </c>
      <c r="B16" s="619"/>
      <c r="C16" s="620"/>
      <c r="D16" s="621"/>
      <c r="E16" s="620"/>
      <c r="F16" s="621"/>
      <c r="G16" s="621"/>
      <c r="H16" s="619"/>
      <c r="I16" s="622"/>
    </row>
    <row r="17" customFormat="false" ht="24" hidden="false" customHeight="false" outlineLevel="0" collapsed="false">
      <c r="A17" s="659" t="s">
        <v>415</v>
      </c>
      <c r="B17" s="660"/>
      <c r="C17" s="661" t="s">
        <v>1</v>
      </c>
      <c r="D17" s="662"/>
      <c r="E17" s="663"/>
      <c r="F17" s="662"/>
      <c r="G17" s="662"/>
      <c r="H17" s="660"/>
      <c r="I17" s="664"/>
    </row>
    <row r="18" customFormat="false" ht="21" hidden="false" customHeight="false" outlineLevel="0" collapsed="false">
      <c r="A18" s="665" t="s">
        <v>416</v>
      </c>
      <c r="B18" s="619"/>
      <c r="C18" s="620" t="s">
        <v>1</v>
      </c>
      <c r="D18" s="621"/>
      <c r="E18" s="620"/>
      <c r="F18" s="621"/>
      <c r="G18" s="376" t="s">
        <v>331</v>
      </c>
      <c r="H18" s="619"/>
      <c r="I18" s="666"/>
    </row>
    <row r="19" customFormat="false" ht="24" hidden="false" customHeight="false" outlineLevel="0" collapsed="false">
      <c r="A19" s="667" t="s">
        <v>344</v>
      </c>
      <c r="B19" s="668"/>
      <c r="C19" s="669" t="n">
        <f aca="false">C7+C12</f>
        <v>41.5</v>
      </c>
      <c r="D19" s="670"/>
      <c r="E19" s="671"/>
      <c r="F19" s="670"/>
      <c r="G19" s="670" t="s">
        <v>1</v>
      </c>
      <c r="H19" s="668"/>
      <c r="I19" s="672"/>
    </row>
    <row r="20" customFormat="false" ht="20.25" hidden="false" customHeight="false" outlineLevel="0" collapsed="false">
      <c r="A20" s="673" t="s">
        <v>417</v>
      </c>
      <c r="B20" s="674"/>
      <c r="C20" s="675" t="n">
        <f aca="false">NSG_Requirements!C7/1000</f>
        <v>0</v>
      </c>
      <c r="D20" s="676"/>
      <c r="E20" s="675" t="n">
        <f aca="false">NSG_Requirements!C7/1000</f>
        <v>0</v>
      </c>
      <c r="F20" s="676"/>
      <c r="G20" s="675" t="n">
        <f aca="false">NSG_Requirements!C7/1000</f>
        <v>0</v>
      </c>
      <c r="H20" s="674"/>
      <c r="I20" s="677" t="n">
        <f aca="false">NSG_Requirements!C7/1000</f>
        <v>0</v>
      </c>
    </row>
    <row r="21" customFormat="false" ht="20.25" hidden="false" customHeight="false" outlineLevel="0" collapsed="false">
      <c r="A21" s="678" t="s">
        <v>418</v>
      </c>
      <c r="B21" s="679"/>
      <c r="C21" s="675" t="n">
        <f aca="false">NSG_Requirements!R7/1000</f>
        <v>0</v>
      </c>
      <c r="D21" s="680"/>
      <c r="E21" s="675" t="n">
        <f aca="false">NSG_Requirements!R7/1000</f>
        <v>0</v>
      </c>
      <c r="F21" s="680"/>
      <c r="G21" s="675" t="n">
        <f aca="false">NSG_Requirements!R7/1000</f>
        <v>0</v>
      </c>
      <c r="H21" s="679"/>
      <c r="I21" s="681" t="n">
        <f aca="false">NSG_Requirements!R7/1000</f>
        <v>0</v>
      </c>
    </row>
    <row r="22" customFormat="false" ht="20.25" hidden="false" customHeight="false" outlineLevel="0" collapsed="false">
      <c r="A22" s="678" t="s">
        <v>419</v>
      </c>
      <c r="B22" s="682"/>
      <c r="C22" s="675" t="n">
        <f aca="false">NSG_Supplies!K7/1000</f>
        <v>0</v>
      </c>
      <c r="D22" s="683"/>
      <c r="E22" s="675" t="n">
        <f aca="false">NSG_Supplies!K7/1000</f>
        <v>0</v>
      </c>
      <c r="F22" s="683"/>
      <c r="G22" s="675" t="n">
        <f aca="false">NSG_Supplies!K7/1000</f>
        <v>0</v>
      </c>
      <c r="H22" s="682"/>
      <c r="I22" s="684" t="n">
        <f aca="false">NSG_Supplies!K7/1000</f>
        <v>0</v>
      </c>
    </row>
    <row r="23" customFormat="false" ht="20.25" hidden="false" customHeight="false" outlineLevel="0" collapsed="false">
      <c r="A23" s="673" t="s">
        <v>420</v>
      </c>
      <c r="B23" s="682"/>
      <c r="C23" s="685" t="n">
        <f aca="false">-(PGL_Requirements!$Y$7+PGL_Requirements!$Z$7+PGL_Requirements!$AA$7+PGL_Requirements!$AB$7)/1000+(NSG_Requirements!$Y$7+NSG_Requirements!$Z$7+NSG_Requirements!$AA$7)/1000</f>
        <v>0</v>
      </c>
      <c r="D23" s="686"/>
      <c r="E23" s="685" t="n">
        <f aca="false">-(PGL_Requirements!$Y$7+PGL_Requirements!$Z$7+PGL_Requirements!$AA$7+PGL_Requirements!$AB$7)/1000+(NSG_Requirements!$Y$7+NSG_Requirements!$Z$7+NSG_Requirements!$AA$7)/1000</f>
        <v>0</v>
      </c>
      <c r="F23" s="686"/>
      <c r="G23" s="685" t="n">
        <f aca="false">-(PGL_Requirements!$Y$7+PGL_Requirements!$Z$7+PGL_Requirements!$AA$7+PGL_Requirements!$AB$7)/1000+(NSG_Requirements!$Y$7+NSG_Requirements!$Z$7+NSG_Requirements!$AA$7)/1000</f>
        <v>0</v>
      </c>
      <c r="H23" s="679"/>
      <c r="I23" s="687" t="n">
        <f aca="false">-(PGL_Requirements!$Y$7+PGL_Requirements!$Z$7+PGL_Requirements!$AA$7+PGL_Requirements!$AB$7)/1000+(NSG_Requirements!$Y$7+NSG_Requirements!$Z$7+NSG_Requirements!$AA$7)/1000</f>
        <v>0</v>
      </c>
    </row>
    <row r="24" customFormat="false" ht="20.25" hidden="false" customHeight="false" outlineLevel="0" collapsed="false">
      <c r="A24" s="673" t="s">
        <v>348</v>
      </c>
      <c r="B24" s="682"/>
      <c r="C24" s="675" t="n">
        <f aca="false">NSG_Requirements!H7/1000</f>
        <v>0</v>
      </c>
      <c r="D24" s="683"/>
      <c r="E24" s="675" t="s">
        <v>1</v>
      </c>
      <c r="F24" s="683"/>
      <c r="G24" s="675" t="s">
        <v>1</v>
      </c>
      <c r="H24" s="682"/>
      <c r="I24" s="675" t="s">
        <v>1</v>
      </c>
    </row>
    <row r="25" customFormat="false" ht="20.25" hidden="false" customHeight="false" outlineLevel="0" collapsed="false">
      <c r="A25" s="673" t="s">
        <v>351</v>
      </c>
      <c r="B25" s="679"/>
      <c r="C25" s="675" t="n">
        <f aca="false">-NSG_Supplies!F7/1000</f>
        <v>-2.7</v>
      </c>
      <c r="D25" s="680"/>
      <c r="E25" s="675" t="s">
        <v>1</v>
      </c>
      <c r="F25" s="680"/>
      <c r="G25" s="675" t="s">
        <v>1</v>
      </c>
      <c r="H25" s="679"/>
      <c r="I25" s="675" t="s">
        <v>1</v>
      </c>
    </row>
    <row r="26" customFormat="false" ht="20.25" hidden="false" customHeight="false" outlineLevel="0" collapsed="false">
      <c r="A26" s="673" t="s">
        <v>352</v>
      </c>
      <c r="B26" s="682"/>
      <c r="C26" s="675" t="n">
        <f aca="false">-NSG_Supplies!R7/1000</f>
        <v>-38.798</v>
      </c>
      <c r="D26" s="683"/>
      <c r="E26" s="675" t="n">
        <f aca="false">-NSG_Supplies!R7/1000</f>
        <v>-38.798</v>
      </c>
      <c r="F26" s="683"/>
      <c r="G26" s="675" t="n">
        <f aca="false">-NSG_Supplies!R7/1000</f>
        <v>-38.798</v>
      </c>
      <c r="H26" s="682"/>
      <c r="I26" s="684" t="n">
        <f aca="false">-NSG_Supplies!R7/1000</f>
        <v>-38.798</v>
      </c>
    </row>
    <row r="27" customFormat="false" ht="20.25" hidden="false" customHeight="false" outlineLevel="0" collapsed="false">
      <c r="A27" s="673" t="s">
        <v>421</v>
      </c>
      <c r="B27" s="682"/>
      <c r="C27" s="675" t="n">
        <v>0</v>
      </c>
      <c r="D27" s="683"/>
      <c r="E27" s="675" t="n">
        <v>0</v>
      </c>
      <c r="F27" s="683"/>
      <c r="G27" s="675" t="n">
        <v>0</v>
      </c>
      <c r="H27" s="682"/>
      <c r="I27" s="684" t="n">
        <v>0</v>
      </c>
    </row>
    <row r="28" customFormat="false" ht="21" hidden="false" customHeight="false" outlineLevel="0" collapsed="false">
      <c r="A28" s="688" t="s">
        <v>422</v>
      </c>
      <c r="B28" s="689"/>
      <c r="C28" s="675" t="n">
        <f aca="false">-NSG_Supplies!H7/1000+NSG_Requirements!L7/1000</f>
        <v>0</v>
      </c>
      <c r="D28" s="680"/>
      <c r="E28" s="675" t="n">
        <f aca="false">-NSG_Supplies!H7/1000+NSG_Requirements!L7/1000</f>
        <v>0</v>
      </c>
      <c r="F28" s="680"/>
      <c r="G28" s="675" t="n">
        <f aca="false">-NSG_Supplies!H7/1000+NSG_Requirements!L7/1000</f>
        <v>0</v>
      </c>
      <c r="H28" s="689"/>
      <c r="I28" s="690" t="n">
        <f aca="false">-NSG_Supplies!H7/1000+NSG_Requirements!L7/1000</f>
        <v>0</v>
      </c>
    </row>
    <row r="29" customFormat="false" ht="24" hidden="false" customHeight="false" outlineLevel="0" collapsed="false">
      <c r="A29" s="691"/>
      <c r="B29" s="692"/>
      <c r="C29" s="693" t="s">
        <v>412</v>
      </c>
      <c r="D29" s="692"/>
      <c r="E29" s="694"/>
      <c r="F29" s="692"/>
      <c r="G29" s="695" t="s">
        <v>1</v>
      </c>
      <c r="H29" s="692"/>
      <c r="I29" s="696"/>
    </row>
    <row r="30" customFormat="false" ht="20.25" hidden="false" customHeight="false" outlineLevel="0" collapsed="false">
      <c r="A30" s="697" t="s">
        <v>423</v>
      </c>
      <c r="B30" s="698" t="n">
        <f aca="false">NSG_Requirements!O7/1000</f>
        <v>0</v>
      </c>
      <c r="C30" s="699" t="s">
        <v>1</v>
      </c>
      <c r="D30" s="700"/>
      <c r="E30" s="701"/>
      <c r="F30" s="702" t="s">
        <v>424</v>
      </c>
      <c r="G30" s="703"/>
      <c r="H30" s="703"/>
      <c r="I30" s="704"/>
    </row>
    <row r="31" customFormat="false" ht="20.25" hidden="false" customHeight="false" outlineLevel="0" collapsed="false">
      <c r="A31" s="705" t="s">
        <v>425</v>
      </c>
      <c r="B31" s="706" t="n">
        <f aca="false">NSG_Supplies!L7/1000+PGL_Requirements!V7/1000</f>
        <v>0</v>
      </c>
      <c r="C31" s="683"/>
      <c r="D31" s="707"/>
      <c r="E31" s="708"/>
      <c r="F31" s="686"/>
      <c r="G31" s="680"/>
      <c r="H31" s="680"/>
      <c r="I31" s="704"/>
    </row>
    <row r="32" customFormat="false" ht="20.25" hidden="false" customHeight="false" outlineLevel="0" collapsed="false">
      <c r="A32" s="705" t="s">
        <v>426</v>
      </c>
      <c r="B32" s="706" t="n">
        <f aca="false">NSG_Supplies!M7/1000</f>
        <v>0</v>
      </c>
      <c r="C32" s="680"/>
      <c r="D32" s="709"/>
      <c r="E32" s="710"/>
      <c r="F32" s="686"/>
      <c r="G32" s="680"/>
      <c r="H32" s="680"/>
      <c r="I32" s="704"/>
    </row>
    <row r="33" customFormat="false" ht="20.25" hidden="false" customHeight="false" outlineLevel="0" collapsed="false">
      <c r="A33" s="697" t="s">
        <v>427</v>
      </c>
      <c r="B33" s="711" t="n">
        <f aca="false">(NSG_Requirements!S7+NSG_Requirements!T7+NSG_Requirements!U7)/1000</f>
        <v>0</v>
      </c>
      <c r="C33" s="683"/>
      <c r="D33" s="707"/>
      <c r="E33" s="708"/>
      <c r="F33" s="686"/>
      <c r="G33" s="680"/>
      <c r="H33" s="680"/>
      <c r="I33" s="704"/>
    </row>
    <row r="34" customFormat="false" ht="20.25" hidden="false" customHeight="false" outlineLevel="0" collapsed="false">
      <c r="A34" s="697" t="s">
        <v>428</v>
      </c>
      <c r="B34" s="706" t="n">
        <f aca="false">NSG_Requirements!D7/1000</f>
        <v>0</v>
      </c>
      <c r="C34" s="683"/>
      <c r="D34" s="707"/>
      <c r="E34" s="708"/>
      <c r="F34" s="686"/>
      <c r="G34" s="680"/>
      <c r="H34" s="680"/>
      <c r="I34" s="704"/>
    </row>
    <row r="35" customFormat="false" ht="20.25" hidden="false" customHeight="false" outlineLevel="0" collapsed="false">
      <c r="A35" s="705" t="s">
        <v>429</v>
      </c>
      <c r="B35" s="711" t="n">
        <f aca="false">NSG_Requirements!B7/1000</f>
        <v>0</v>
      </c>
      <c r="C35" s="683"/>
      <c r="D35" s="707"/>
      <c r="E35" s="708"/>
      <c r="F35" s="686"/>
      <c r="G35" s="680"/>
      <c r="H35" s="680"/>
      <c r="I35" s="704"/>
    </row>
    <row r="36" customFormat="false" ht="20.25" hidden="false" customHeight="false" outlineLevel="0" collapsed="false">
      <c r="A36" s="705" t="s">
        <v>430</v>
      </c>
      <c r="B36" s="711" t="n">
        <f aca="false">NSG_Supplies!B7/1000</f>
        <v>0</v>
      </c>
      <c r="C36" s="683"/>
      <c r="D36" s="707"/>
      <c r="E36" s="708"/>
      <c r="F36" s="686"/>
      <c r="G36" s="680"/>
      <c r="H36" s="680"/>
      <c r="I36" s="704"/>
    </row>
    <row r="37" customFormat="false" ht="21" hidden="false" customHeight="false" outlineLevel="0" collapsed="false">
      <c r="A37" s="697" t="s">
        <v>164</v>
      </c>
      <c r="B37" s="706" t="n">
        <f aca="false">NSG_Supplies!P7/1000</f>
        <v>0</v>
      </c>
      <c r="C37" s="712"/>
      <c r="D37" s="713"/>
      <c r="E37" s="714"/>
      <c r="F37" s="686"/>
      <c r="G37" s="680"/>
      <c r="H37" s="680"/>
      <c r="I37" s="704"/>
    </row>
    <row r="38" customFormat="false" ht="21" hidden="false" customHeight="false" outlineLevel="0" collapsed="false">
      <c r="A38" s="715" t="s">
        <v>431</v>
      </c>
      <c r="B38" s="716" t="n">
        <f aca="false">-B30+B31+B32-B33-B34-B35+B36+B37</f>
        <v>0</v>
      </c>
      <c r="C38" s="686"/>
      <c r="D38" s="717"/>
      <c r="E38" s="718"/>
      <c r="F38" s="686"/>
      <c r="G38" s="680"/>
      <c r="H38" s="680"/>
      <c r="I38" s="704"/>
    </row>
    <row r="39" customFormat="false" ht="24" hidden="false" customHeight="false" outlineLevel="0" collapsed="false">
      <c r="A39" s="691"/>
      <c r="B39" s="692"/>
      <c r="C39" s="693" t="s">
        <v>432</v>
      </c>
      <c r="D39" s="692"/>
      <c r="E39" s="694"/>
      <c r="F39" s="686"/>
      <c r="G39" s="680"/>
      <c r="H39" s="680"/>
      <c r="I39" s="704"/>
    </row>
    <row r="40" customFormat="false" ht="20.25" hidden="false" customHeight="false" outlineLevel="0" collapsed="false">
      <c r="A40" s="673" t="s">
        <v>433</v>
      </c>
      <c r="B40" s="719" t="n">
        <v>0</v>
      </c>
      <c r="C40" s="686"/>
      <c r="D40" s="720"/>
      <c r="E40" s="721"/>
      <c r="F40" s="686"/>
      <c r="G40" s="680"/>
      <c r="H40" s="680"/>
      <c r="I40" s="704"/>
    </row>
    <row r="41" customFormat="false" ht="20.25" hidden="false" customHeight="false" outlineLevel="0" collapsed="false">
      <c r="A41" s="673" t="s">
        <v>434</v>
      </c>
      <c r="B41" s="722" t="n">
        <f aca="false">NSG_Requirements!J7/1000</f>
        <v>0</v>
      </c>
      <c r="C41" s="683"/>
      <c r="D41" s="707"/>
      <c r="E41" s="708"/>
      <c r="F41" s="686"/>
      <c r="G41" s="680"/>
      <c r="H41" s="680"/>
      <c r="I41" s="704"/>
    </row>
    <row r="42" customFormat="false" ht="20.25" hidden="false" customHeight="false" outlineLevel="0" collapsed="false">
      <c r="A42" s="673" t="s">
        <v>435</v>
      </c>
      <c r="B42" s="723" t="n">
        <f aca="false">NSG_Supplies!E7/1000</f>
        <v>1.5</v>
      </c>
      <c r="C42" s="686"/>
      <c r="D42" s="724"/>
      <c r="E42" s="725"/>
      <c r="F42" s="686"/>
      <c r="G42" s="680"/>
      <c r="H42" s="680"/>
      <c r="I42" s="704"/>
    </row>
    <row r="43" customFormat="false" ht="20.25" hidden="false" customHeight="false" outlineLevel="0" collapsed="false">
      <c r="A43" s="673" t="s">
        <v>436</v>
      </c>
      <c r="B43" s="722" t="n">
        <v>0</v>
      </c>
      <c r="C43" s="683"/>
      <c r="D43" s="707"/>
      <c r="E43" s="708"/>
      <c r="F43" s="686"/>
      <c r="G43" s="680"/>
      <c r="H43" s="680"/>
      <c r="I43" s="704"/>
    </row>
    <row r="44" customFormat="false" ht="20.25" hidden="false" customHeight="false" outlineLevel="0" collapsed="false">
      <c r="A44" s="673" t="s">
        <v>437</v>
      </c>
      <c r="B44" s="722" t="n">
        <v>0</v>
      </c>
      <c r="C44" s="683"/>
      <c r="D44" s="707"/>
      <c r="E44" s="708"/>
      <c r="F44" s="686"/>
      <c r="G44" s="680"/>
      <c r="H44" s="680"/>
      <c r="I44" s="704"/>
    </row>
    <row r="45" customFormat="false" ht="21" hidden="false" customHeight="false" outlineLevel="0" collapsed="false">
      <c r="A45" s="326" t="s">
        <v>438</v>
      </c>
      <c r="B45" s="723" t="n">
        <f aca="false">NSG_Supplies!Q7/1000</f>
        <v>20</v>
      </c>
      <c r="C45" s="686"/>
      <c r="D45" s="724"/>
      <c r="E45" s="725"/>
      <c r="F45" s="686"/>
      <c r="G45" s="680"/>
      <c r="H45" s="680"/>
      <c r="I45" s="704"/>
    </row>
    <row r="46" customFormat="false" ht="21" hidden="false" customHeight="false" outlineLevel="0" collapsed="false">
      <c r="A46" s="715" t="s">
        <v>431</v>
      </c>
      <c r="B46" s="726" t="n">
        <f aca="false">B45+B42-B41</f>
        <v>21.5</v>
      </c>
      <c r="C46" s="727"/>
      <c r="D46" s="728"/>
      <c r="E46" s="729"/>
      <c r="F46" s="686"/>
      <c r="G46" s="680"/>
      <c r="H46" s="680"/>
      <c r="I46" s="704"/>
    </row>
    <row r="47" customFormat="false" ht="24" hidden="false" customHeight="false" outlineLevel="0" collapsed="false">
      <c r="A47" s="691"/>
      <c r="B47" s="692"/>
      <c r="C47" s="693" t="s">
        <v>86</v>
      </c>
      <c r="D47" s="692"/>
      <c r="E47" s="694"/>
      <c r="F47" s="686"/>
      <c r="G47" s="680"/>
      <c r="H47" s="680"/>
      <c r="I47" s="704"/>
    </row>
    <row r="48" customFormat="false" ht="20.25" hidden="false" customHeight="false" outlineLevel="0" collapsed="false">
      <c r="A48" s="673" t="s">
        <v>439</v>
      </c>
      <c r="B48" s="730" t="n">
        <f aca="false">(NSG_Requirements!V7+NSG_Requirements!W7+NSG_Requirements!X7)/1000</f>
        <v>0</v>
      </c>
      <c r="C48" s="731"/>
      <c r="D48" s="707"/>
      <c r="E48" s="708"/>
      <c r="F48" s="686"/>
      <c r="G48" s="680"/>
      <c r="H48" s="680"/>
      <c r="I48" s="704"/>
    </row>
    <row r="49" customFormat="false" ht="20.25" hidden="false" customHeight="false" outlineLevel="0" collapsed="false">
      <c r="A49" s="673" t="s">
        <v>440</v>
      </c>
      <c r="B49" s="732" t="n">
        <f aca="false">NSG_Requirements!M7/1000</f>
        <v>0</v>
      </c>
      <c r="C49" s="733"/>
      <c r="D49" s="733"/>
      <c r="E49" s="734"/>
      <c r="F49" s="686"/>
      <c r="G49" s="680"/>
      <c r="H49" s="680"/>
      <c r="I49" s="704"/>
    </row>
    <row r="50" customFormat="false" ht="20.25" hidden="false" customHeight="false" outlineLevel="0" collapsed="false">
      <c r="A50" s="673" t="s">
        <v>428</v>
      </c>
      <c r="B50" s="732" t="n">
        <f aca="false">NSG_Requirements!E7/1000</f>
        <v>0</v>
      </c>
      <c r="C50" s="735"/>
      <c r="D50" s="724"/>
      <c r="E50" s="725"/>
      <c r="F50" s="686"/>
      <c r="G50" s="680"/>
      <c r="H50" s="680"/>
      <c r="I50" s="704"/>
    </row>
    <row r="51" customFormat="false" ht="21" hidden="false" customHeight="false" outlineLevel="0" collapsed="false">
      <c r="A51" s="673" t="s">
        <v>164</v>
      </c>
      <c r="B51" s="736" t="n">
        <f aca="false">NSG_Supplies!O7/1000</f>
        <v>0</v>
      </c>
      <c r="C51" s="731"/>
      <c r="D51" s="707"/>
      <c r="E51" s="708"/>
      <c r="F51" s="686"/>
      <c r="G51" s="680"/>
      <c r="H51" s="680"/>
      <c r="I51" s="704"/>
    </row>
    <row r="52" customFormat="false" ht="24" hidden="false" customHeight="false" outlineLevel="0" collapsed="false">
      <c r="A52" s="691"/>
      <c r="B52" s="692"/>
      <c r="C52" s="693" t="s">
        <v>441</v>
      </c>
      <c r="D52" s="692"/>
      <c r="E52" s="694"/>
      <c r="F52" s="686"/>
      <c r="G52" s="680"/>
      <c r="H52" s="680"/>
      <c r="I52" s="704"/>
    </row>
    <row r="53" customFormat="false" ht="20.25" hidden="false" customHeight="false" outlineLevel="0" collapsed="false">
      <c r="A53" s="737" t="s">
        <v>442</v>
      </c>
      <c r="B53" s="738"/>
      <c r="C53" s="686"/>
      <c r="D53" s="720"/>
      <c r="E53" s="721"/>
      <c r="F53" s="686"/>
      <c r="G53" s="680"/>
      <c r="H53" s="680"/>
      <c r="I53" s="704"/>
    </row>
    <row r="54" customFormat="false" ht="21" hidden="false" customHeight="false" outlineLevel="0" collapsed="false">
      <c r="A54" s="739" t="s">
        <v>443</v>
      </c>
      <c r="B54" s="740"/>
      <c r="C54" s="741"/>
      <c r="D54" s="742"/>
      <c r="E54" s="743"/>
      <c r="F54" s="744"/>
      <c r="G54" s="745"/>
      <c r="H54" s="746"/>
      <c r="I54" s="747"/>
    </row>
    <row r="55" customFormat="false" ht="15.75" hidden="false" customHeight="false" outlineLevel="0" collapsed="false"/>
  </sheetData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&amp;R&amp;10Printed: &amp;D &amp;T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J48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28125" defaultRowHeight="12" customHeight="true" zeroHeight="false" outlineLevelRow="0" outlineLevelCol="0"/>
  <cols>
    <col collapsed="false" customWidth="true" hidden="false" outlineLevel="0" max="1" min="1" style="748" width="24.77"/>
    <col collapsed="false" customWidth="true" hidden="false" outlineLevel="0" max="8" min="2" style="748" width="12.77"/>
    <col collapsed="false" customWidth="true" hidden="false" outlineLevel="0" max="9" min="9" style="748" width="14.11"/>
    <col collapsed="false" customWidth="false" hidden="false" outlineLevel="0" max="11" min="10" style="748" width="8.88"/>
    <col collapsed="false" customWidth="true" hidden="false" outlineLevel="0" max="12" min="12" style="748" width="24.77"/>
    <col collapsed="false" customWidth="true" hidden="false" outlineLevel="0" max="20" min="13" style="748" width="12.77"/>
    <col collapsed="false" customWidth="false" hidden="false" outlineLevel="0" max="257" min="21" style="748" width="8.88"/>
  </cols>
  <sheetData>
    <row r="1" customFormat="false" ht="17.1" hidden="false" customHeight="true" outlineLevel="0" collapsed="false">
      <c r="A1" s="749" t="s">
        <v>1</v>
      </c>
      <c r="B1" s="750"/>
      <c r="C1" s="750"/>
      <c r="D1" s="750"/>
      <c r="E1" s="751" t="s">
        <v>273</v>
      </c>
      <c r="F1" s="752" t="n">
        <f aca="false">Weather_Input!A5</f>
        <v>37034</v>
      </c>
      <c r="G1" s="753" t="s">
        <v>1</v>
      </c>
      <c r="H1" s="750"/>
      <c r="I1" s="754"/>
    </row>
    <row r="2" customFormat="false" ht="17.1" hidden="false" customHeight="true" outlineLevel="0" collapsed="false">
      <c r="A2" s="231" t="s">
        <v>1</v>
      </c>
      <c r="B2" s="246"/>
      <c r="C2" s="246"/>
      <c r="D2" s="246" t="s">
        <v>1</v>
      </c>
      <c r="E2" s="246"/>
      <c r="F2" s="246"/>
      <c r="G2" s="246"/>
      <c r="H2" s="246" t="s">
        <v>1</v>
      </c>
      <c r="I2" s="237"/>
    </row>
    <row r="3" customFormat="false" ht="17.1" hidden="false" customHeight="true" outlineLevel="0" collapsed="false">
      <c r="A3" s="231"/>
      <c r="B3" s="755" t="s">
        <v>444</v>
      </c>
      <c r="C3" s="756" t="n">
        <v>44</v>
      </c>
      <c r="D3" s="246"/>
      <c r="E3" s="246"/>
      <c r="F3" s="756" t="s">
        <v>445</v>
      </c>
      <c r="G3" s="756"/>
      <c r="H3" s="246" t="s">
        <v>279</v>
      </c>
      <c r="I3" s="237"/>
    </row>
    <row r="4" customFormat="false" ht="17.1" hidden="false" customHeight="true" outlineLevel="0" collapsed="false">
      <c r="A4" s="288" t="s">
        <v>446</v>
      </c>
      <c r="B4" s="288" t="s">
        <v>446</v>
      </c>
      <c r="C4" s="380" t="s">
        <v>284</v>
      </c>
      <c r="D4" s="380" t="s">
        <v>17</v>
      </c>
      <c r="E4" s="380" t="s">
        <v>284</v>
      </c>
      <c r="F4" s="380" t="s">
        <v>17</v>
      </c>
      <c r="G4" s="380" t="s">
        <v>284</v>
      </c>
      <c r="H4" s="380" t="s">
        <v>17</v>
      </c>
      <c r="I4" s="260" t="s">
        <v>284</v>
      </c>
    </row>
    <row r="5" customFormat="false" ht="17.1" hidden="false" customHeight="true" outlineLevel="0" collapsed="false">
      <c r="A5" s="288" t="s">
        <v>447</v>
      </c>
      <c r="B5" s="380" t="n">
        <f aca="false">Weather_Input!B5</f>
        <v>62</v>
      </c>
      <c r="C5" s="380" t="n">
        <f aca="false">Weather_Input!C5</f>
        <v>44</v>
      </c>
      <c r="D5" s="380"/>
      <c r="E5" s="380"/>
      <c r="F5" s="380"/>
      <c r="G5" s="380"/>
      <c r="H5" s="380"/>
      <c r="I5" s="260"/>
    </row>
    <row r="6" customFormat="false" ht="17.1" hidden="false" customHeight="true" outlineLevel="0" collapsed="false">
      <c r="A6" s="288" t="s">
        <v>448</v>
      </c>
      <c r="B6" s="258"/>
      <c r="C6" s="259"/>
      <c r="D6" s="259"/>
      <c r="E6" s="259"/>
      <c r="F6" s="259"/>
      <c r="G6" s="259"/>
      <c r="H6" s="259"/>
      <c r="I6" s="260"/>
    </row>
    <row r="7" customFormat="false" ht="17.1" hidden="false" customHeight="true" outlineLevel="0" collapsed="false">
      <c r="A7" s="231" t="s">
        <v>449</v>
      </c>
      <c r="B7" s="757"/>
      <c r="C7" s="399"/>
      <c r="D7" s="246"/>
      <c r="E7" s="757"/>
      <c r="F7" s="399"/>
      <c r="G7" s="399"/>
      <c r="H7" s="399"/>
      <c r="I7" s="237"/>
    </row>
    <row r="8" customFormat="false" ht="17.1" hidden="false" customHeight="true" outlineLevel="0" collapsed="false">
      <c r="A8" s="758" t="s">
        <v>450</v>
      </c>
      <c r="B8" s="759" t="n">
        <f aca="false">PGL_Deliveries!C5/1000</f>
        <v>317</v>
      </c>
      <c r="C8" s="760" t="n">
        <f aca="false">NSG_Deliveries!C5/1000</f>
        <v>63</v>
      </c>
      <c r="D8" s="759" t="s">
        <v>1</v>
      </c>
      <c r="E8" s="761"/>
      <c r="F8" s="762"/>
      <c r="G8" s="762"/>
      <c r="H8" s="762"/>
      <c r="I8" s="754"/>
    </row>
    <row r="9" customFormat="false" ht="17.1" hidden="false" customHeight="true" outlineLevel="0" collapsed="false">
      <c r="A9" s="763"/>
      <c r="B9" s="764" t="s">
        <v>63</v>
      </c>
      <c r="C9" s="764" t="s">
        <v>124</v>
      </c>
      <c r="D9" s="765"/>
      <c r="E9" s="765"/>
      <c r="F9" s="765"/>
      <c r="G9" s="765"/>
      <c r="H9" s="765"/>
      <c r="I9" s="766"/>
    </row>
    <row r="10" customFormat="false" ht="17.1" hidden="false" customHeight="true" outlineLevel="0" collapsed="false">
      <c r="A10" s="767" t="s">
        <v>85</v>
      </c>
      <c r="B10" s="317" t="n">
        <f aca="false">B62</f>
        <v>0</v>
      </c>
      <c r="C10" s="258"/>
      <c r="D10" s="380"/>
      <c r="E10" s="258"/>
      <c r="F10" s="258"/>
      <c r="G10" s="258"/>
      <c r="H10" s="258"/>
      <c r="I10" s="260" t="s">
        <v>1</v>
      </c>
    </row>
    <row r="11" customFormat="false" ht="17.1" hidden="false" customHeight="true" outlineLevel="0" collapsed="false">
      <c r="A11" s="231" t="s">
        <v>451</v>
      </c>
      <c r="B11" s="317" t="n">
        <f aca="false">+B54</f>
        <v>177.36</v>
      </c>
      <c r="C11" s="768" t="s">
        <v>1</v>
      </c>
      <c r="D11" s="380"/>
      <c r="E11" s="768" t="str">
        <f aca="false">+C11</f>
        <v> </v>
      </c>
      <c r="F11" s="258"/>
      <c r="G11" s="768" t="str">
        <f aca="false">+C11</f>
        <v> </v>
      </c>
      <c r="H11" s="258"/>
      <c r="I11" s="315" t="str">
        <f aca="false">+C11</f>
        <v> </v>
      </c>
    </row>
    <row r="12" customFormat="false" ht="17.1" hidden="false" customHeight="true" outlineLevel="0" collapsed="false">
      <c r="A12" s="231" t="s">
        <v>452</v>
      </c>
      <c r="B12" s="317" t="n">
        <f aca="false">PGL_Supplies!K7/1000</f>
        <v>0</v>
      </c>
      <c r="C12" s="768"/>
      <c r="D12" s="380"/>
      <c r="E12" s="258"/>
      <c r="F12" s="258"/>
      <c r="G12" s="258"/>
      <c r="H12" s="258"/>
      <c r="I12" s="260"/>
    </row>
    <row r="13" customFormat="false" ht="17.1" hidden="false" customHeight="true" outlineLevel="0" collapsed="false">
      <c r="A13" s="231" t="s">
        <v>94</v>
      </c>
      <c r="B13" s="317" t="n">
        <f aca="false">PGL_Supplies!I7/1000</f>
        <v>15</v>
      </c>
      <c r="C13" s="258"/>
      <c r="D13" s="769"/>
      <c r="E13" s="258"/>
      <c r="F13" s="258"/>
      <c r="G13" s="258"/>
      <c r="H13" s="258"/>
      <c r="I13" s="260"/>
    </row>
    <row r="14" customFormat="false" ht="17.1" hidden="false" customHeight="true" outlineLevel="0" collapsed="false">
      <c r="A14" s="231" t="s">
        <v>453</v>
      </c>
      <c r="B14" s="332" t="n">
        <f aca="false">+B72</f>
        <v>42.302</v>
      </c>
      <c r="C14" s="258"/>
      <c r="D14" s="380"/>
      <c r="E14" s="258"/>
      <c r="F14" s="258"/>
      <c r="G14" s="258"/>
      <c r="H14" s="258"/>
      <c r="I14" s="260"/>
    </row>
    <row r="15" customFormat="false" ht="17.1" hidden="false" customHeight="true" outlineLevel="0" collapsed="false">
      <c r="A15" s="231" t="s">
        <v>67</v>
      </c>
      <c r="B15" s="317" t="n">
        <f aca="false">+B46</f>
        <v>1</v>
      </c>
      <c r="C15" s="258" t="s">
        <v>1</v>
      </c>
      <c r="D15" s="380" t="s">
        <v>1</v>
      </c>
      <c r="E15" s="258"/>
      <c r="F15" s="769"/>
      <c r="G15" s="258"/>
      <c r="H15" s="258"/>
      <c r="I15" s="260"/>
    </row>
    <row r="16" customFormat="false" ht="17.1" hidden="false" customHeight="true" outlineLevel="0" collapsed="false">
      <c r="A16" s="231" t="s">
        <v>454</v>
      </c>
      <c r="B16" s="317" t="n">
        <f aca="false">PGL_Requirements!G7/1000</f>
        <v>0</v>
      </c>
      <c r="C16" s="258"/>
      <c r="D16" s="380"/>
      <c r="E16" s="258"/>
      <c r="F16" s="770" t="s">
        <v>1</v>
      </c>
      <c r="G16" s="258"/>
      <c r="H16" s="258"/>
      <c r="I16" s="260"/>
    </row>
    <row r="17" customFormat="false" ht="17.1" hidden="false" customHeight="true" outlineLevel="0" collapsed="false">
      <c r="A17" s="231" t="s">
        <v>455</v>
      </c>
      <c r="B17" s="317" t="n">
        <f aca="false">PGL_Supplies!B7/1000</f>
        <v>0</v>
      </c>
      <c r="C17" s="258"/>
      <c r="D17" s="246"/>
      <c r="E17" s="258"/>
      <c r="F17" s="258"/>
      <c r="G17" s="258"/>
      <c r="H17" s="258"/>
      <c r="I17" s="771"/>
    </row>
    <row r="18" customFormat="false" ht="17.1" hidden="false" customHeight="true" outlineLevel="0" collapsed="false">
      <c r="A18" s="772" t="s">
        <v>456</v>
      </c>
      <c r="B18" s="773" t="n">
        <f aca="false">-B10-B11-B12-B13-B14-B15+B16-B17</f>
        <v>-235.662</v>
      </c>
      <c r="C18" s="774" t="n">
        <f aca="false">-I63</f>
        <v>-0</v>
      </c>
      <c r="D18" s="775" t="s">
        <v>1</v>
      </c>
      <c r="E18" s="774" t="n">
        <f aca="false">-I63</f>
        <v>-0</v>
      </c>
      <c r="F18" s="775" t="s">
        <v>1</v>
      </c>
      <c r="G18" s="774" t="n">
        <f aca="false">-I63</f>
        <v>-0</v>
      </c>
      <c r="H18" s="775" t="s">
        <v>1</v>
      </c>
      <c r="I18" s="776"/>
    </row>
    <row r="19" customFormat="false" ht="17.1" hidden="false" customHeight="true" outlineLevel="0" collapsed="false">
      <c r="A19" s="322" t="s">
        <v>75</v>
      </c>
      <c r="B19" s="306" t="n">
        <f aca="false">-PGL_Supplies!J7/1000</f>
        <v>-0</v>
      </c>
      <c r="C19" s="777" t="n">
        <f aca="false">-NSG_Supplies!U7/1000</f>
        <v>-0</v>
      </c>
      <c r="D19" s="750"/>
      <c r="E19" s="761"/>
      <c r="F19" s="750"/>
      <c r="G19" s="761"/>
      <c r="H19" s="762"/>
      <c r="I19" s="260"/>
    </row>
    <row r="20" customFormat="false" ht="17.1" hidden="false" customHeight="true" outlineLevel="0" collapsed="false">
      <c r="A20" s="322" t="s">
        <v>457</v>
      </c>
      <c r="B20" s="317" t="n">
        <f aca="false">B8+B18+B19</f>
        <v>81.338</v>
      </c>
      <c r="C20" s="778" t="n">
        <f aca="false">C8+C18+C19</f>
        <v>63</v>
      </c>
      <c r="D20" s="380"/>
      <c r="E20" s="258"/>
      <c r="F20" s="380"/>
      <c r="G20" s="258"/>
      <c r="H20" s="259"/>
      <c r="I20" s="237"/>
    </row>
    <row r="21" customFormat="false" ht="17.1" hidden="false" customHeight="true" outlineLevel="0" collapsed="false">
      <c r="A21" s="322" t="s">
        <v>458</v>
      </c>
      <c r="B21" s="317" t="n">
        <v>0</v>
      </c>
      <c r="C21" s="258"/>
      <c r="D21" s="380"/>
      <c r="E21" s="258"/>
      <c r="F21" s="380"/>
      <c r="G21" s="258"/>
      <c r="H21" s="259"/>
      <c r="I21" s="276"/>
    </row>
    <row r="22" customFormat="false" ht="17.1" hidden="false" customHeight="true" outlineLevel="0" collapsed="false">
      <c r="A22" s="322" t="s">
        <v>459</v>
      </c>
      <c r="B22" s="317" t="n">
        <f aca="false">+B44</f>
        <v>2.25</v>
      </c>
      <c r="C22" s="258"/>
      <c r="D22" s="380"/>
      <c r="E22" s="258"/>
      <c r="F22" s="388" t="s">
        <v>1</v>
      </c>
      <c r="G22" s="770"/>
      <c r="H22" s="779" t="s">
        <v>1</v>
      </c>
      <c r="I22" s="237"/>
    </row>
    <row r="23" customFormat="false" ht="17.1" hidden="false" customHeight="true" outlineLevel="0" collapsed="false">
      <c r="A23" s="780" t="s">
        <v>460</v>
      </c>
      <c r="B23" s="781" t="n">
        <f aca="false">B20+B21+B22</f>
        <v>83.588</v>
      </c>
      <c r="C23" s="782" t="n">
        <f aca="false">C20</f>
        <v>63</v>
      </c>
      <c r="D23" s="380"/>
      <c r="E23" s="258"/>
      <c r="F23" s="275"/>
      <c r="G23" s="258"/>
      <c r="H23" s="783" t="s">
        <v>1</v>
      </c>
      <c r="I23" s="784" t="s">
        <v>1</v>
      </c>
    </row>
    <row r="24" customFormat="false" ht="17.1" hidden="false" customHeight="true" outlineLevel="0" collapsed="false">
      <c r="A24" s="785" t="s">
        <v>461</v>
      </c>
      <c r="B24" s="770" t="n">
        <f aca="false">-NSG_Requirements!$L$7/1000</f>
        <v>-0</v>
      </c>
      <c r="C24" s="770" t="n">
        <f aca="false">NSG_Requirements!$L$7/1000</f>
        <v>0</v>
      </c>
      <c r="D24" s="349" t="n">
        <f aca="false">B24</f>
        <v>-0</v>
      </c>
      <c r="E24" s="770" t="n">
        <f aca="false">C24</f>
        <v>0</v>
      </c>
      <c r="F24" s="349" t="n">
        <f aca="false">B24</f>
        <v>-0</v>
      </c>
      <c r="G24" s="770" t="n">
        <f aca="false">C24</f>
        <v>0</v>
      </c>
      <c r="H24" s="786" t="n">
        <f aca="false">B24</f>
        <v>-0</v>
      </c>
      <c r="I24" s="787" t="n">
        <f aca="false">C24</f>
        <v>0</v>
      </c>
    </row>
    <row r="25" customFormat="false" ht="17.1" hidden="false" customHeight="true" outlineLevel="0" collapsed="false">
      <c r="A25" s="763"/>
      <c r="B25" s="765"/>
      <c r="C25" s="765" t="s">
        <v>1</v>
      </c>
      <c r="D25" s="765"/>
      <c r="E25" s="765"/>
      <c r="F25" s="765"/>
      <c r="G25" s="765"/>
      <c r="H25" s="765"/>
      <c r="I25" s="766"/>
    </row>
    <row r="26" customFormat="false" ht="17.25" hidden="false" customHeight="true" outlineLevel="0" collapsed="false">
      <c r="A26" s="788" t="s">
        <v>462</v>
      </c>
      <c r="B26" s="789" t="n">
        <f aca="false">PGL_Requirements!L7/1000</f>
        <v>0</v>
      </c>
      <c r="C26" s="789" t="n">
        <f aca="false">NSG_Requirements!C7/1000</f>
        <v>0</v>
      </c>
      <c r="D26" s="789" t="n">
        <f aca="false">B26</f>
        <v>0</v>
      </c>
      <c r="E26" s="789" t="n">
        <f aca="false">+C26</f>
        <v>0</v>
      </c>
      <c r="F26" s="789" t="n">
        <f aca="false">B26</f>
        <v>0</v>
      </c>
      <c r="G26" s="789" t="n">
        <f aca="false">+C26</f>
        <v>0</v>
      </c>
      <c r="H26" s="790" t="n">
        <f aca="false">B26</f>
        <v>0</v>
      </c>
      <c r="I26" s="791" t="n">
        <f aca="false">+C26</f>
        <v>0</v>
      </c>
    </row>
    <row r="27" customFormat="false" ht="17.25" hidden="false" customHeight="true" outlineLevel="0" collapsed="false">
      <c r="A27" s="788" t="s">
        <v>463</v>
      </c>
      <c r="B27" s="789" t="n">
        <f aca="false">PGL_Requirements!R7/1000</f>
        <v>0.61</v>
      </c>
      <c r="C27" s="789" t="n">
        <f aca="false">NSG_Requirements!P7/1000</f>
        <v>0</v>
      </c>
      <c r="D27" s="789" t="n">
        <f aca="false">PGL_Requirements!R7/1000</f>
        <v>0.61</v>
      </c>
      <c r="E27" s="789" t="n">
        <f aca="false">NSG_Requirements!P7/1000</f>
        <v>0</v>
      </c>
      <c r="F27" s="789" t="n">
        <f aca="false">PGL_Requirements!R7/1000</f>
        <v>0.61</v>
      </c>
      <c r="G27" s="789" t="n">
        <f aca="false">NSG_Requirements!P7/1000</f>
        <v>0</v>
      </c>
      <c r="H27" s="790" t="n">
        <f aca="false">+B27</f>
        <v>0.61</v>
      </c>
      <c r="I27" s="791" t="n">
        <f aca="false">+C27</f>
        <v>0</v>
      </c>
    </row>
    <row r="28" customFormat="false" ht="17.1" hidden="false" customHeight="true" outlineLevel="0" collapsed="false">
      <c r="A28" s="792" t="s">
        <v>464</v>
      </c>
      <c r="B28" s="465" t="n">
        <v>0</v>
      </c>
      <c r="C28" s="465" t="n">
        <v>0</v>
      </c>
      <c r="D28" s="465" t="n">
        <v>0</v>
      </c>
      <c r="E28" s="465" t="n">
        <v>0</v>
      </c>
      <c r="F28" s="465" t="n">
        <v>0</v>
      </c>
      <c r="G28" s="465" t="n">
        <f aca="false">C28</f>
        <v>0</v>
      </c>
      <c r="H28" s="793" t="n">
        <f aca="false">B28</f>
        <v>0</v>
      </c>
      <c r="I28" s="794" t="n">
        <f aca="false">C28</f>
        <v>0</v>
      </c>
    </row>
    <row r="29" customFormat="false" ht="17.1" hidden="false" customHeight="true" outlineLevel="0" collapsed="false">
      <c r="A29" s="792" t="s">
        <v>465</v>
      </c>
      <c r="B29" s="795" t="n">
        <f aca="false">-PGL_Supplies!N7/1000</f>
        <v>-0</v>
      </c>
      <c r="C29" s="795" t="n">
        <f aca="false">-NSG_Supplies!I7/1000</f>
        <v>-0</v>
      </c>
      <c r="D29" s="465" t="n">
        <f aca="false">-PGL_Supplies!N7/1000</f>
        <v>-0</v>
      </c>
      <c r="E29" s="465" t="n">
        <f aca="false">-NSG_Supplies!I7/1000</f>
        <v>-0</v>
      </c>
      <c r="F29" s="465" t="n">
        <f aca="false">-PGL_Supplies!N7/1000</f>
        <v>-0</v>
      </c>
      <c r="G29" s="465" t="n">
        <f aca="false">-NSG_Supplies!I7/1000</f>
        <v>-0</v>
      </c>
      <c r="H29" s="793" t="n">
        <f aca="false">-PGL_Supplies!N7/1000</f>
        <v>-0</v>
      </c>
      <c r="I29" s="794" t="n">
        <f aca="false">-NSG_Supplies!I7/1000</f>
        <v>-0</v>
      </c>
    </row>
    <row r="30" customFormat="false" ht="17.1" hidden="false" customHeight="true" outlineLevel="0" collapsed="false">
      <c r="A30" s="792" t="s">
        <v>466</v>
      </c>
      <c r="B30" s="465" t="n">
        <f aca="false">-PGL_Supplies!O7/1000</f>
        <v>-0</v>
      </c>
      <c r="C30" s="465" t="n">
        <f aca="false">-NSG_Supplies!J7/1000</f>
        <v>-0</v>
      </c>
      <c r="D30" s="465" t="n">
        <f aca="false">-PGL_Supplies!O7/1000</f>
        <v>-0</v>
      </c>
      <c r="E30" s="465" t="n">
        <f aca="false">-NSG_Supplies!J7/1000</f>
        <v>-0</v>
      </c>
      <c r="F30" s="465" t="n">
        <f aca="false">-PGL_Supplies!O7/1000</f>
        <v>-0</v>
      </c>
      <c r="G30" s="465" t="n">
        <f aca="false">-NSG_Supplies!J7/1000</f>
        <v>-0</v>
      </c>
      <c r="H30" s="793" t="n">
        <f aca="false">-PGL_Supplies!O7/1000</f>
        <v>-0</v>
      </c>
      <c r="I30" s="794" t="n">
        <f aca="false">-NSG_Supplies!J7/1000</f>
        <v>-0</v>
      </c>
    </row>
    <row r="31" customFormat="false" ht="17.1" hidden="false" customHeight="true" outlineLevel="0" collapsed="false">
      <c r="A31" s="796" t="s">
        <v>467</v>
      </c>
      <c r="B31" s="797" t="n">
        <f aca="false">(PGL_Requirements!$Y$7+PGL_Requirements!$Z$7+PGL_Requirements!$AA$7)/1000+(NSG_Requirements!$Y$7+NSG_Requirements!$Z$7+NSG_Requirements!$AA$7)/1000</f>
        <v>0</v>
      </c>
      <c r="C31" s="797" t="n">
        <f aca="false">-(PGL_Requirements!$Y$7+PGL_Requirements!$Z$7+PGL_Requirements!$AA$7)/1000+(NSG_Requirements!$Y$7+NSG_Requirements!$Z$7+NSG_Requirements!$AA$7)/1000</f>
        <v>0</v>
      </c>
      <c r="D31" s="789" t="n">
        <f aca="false">+B31</f>
        <v>0</v>
      </c>
      <c r="E31" s="465" t="n">
        <f aca="false">+C31</f>
        <v>0</v>
      </c>
      <c r="F31" s="789" t="n">
        <f aca="false">+B31</f>
        <v>0</v>
      </c>
      <c r="G31" s="465" t="n">
        <f aca="false">+E31</f>
        <v>0</v>
      </c>
      <c r="H31" s="790" t="n">
        <f aca="false">+B31</f>
        <v>0</v>
      </c>
      <c r="I31" s="791" t="n">
        <f aca="false">+C31</f>
        <v>0</v>
      </c>
    </row>
    <row r="32" customFormat="false" ht="17.1" hidden="false" customHeight="true" outlineLevel="0" collapsed="false">
      <c r="A32" s="792" t="s">
        <v>352</v>
      </c>
      <c r="B32" s="465" t="n">
        <f aca="false">-PGL_Supplies!AC7/1000</f>
        <v>-37.567</v>
      </c>
      <c r="C32" s="465" t="n">
        <f aca="false">-NSG_Supplies!R7/1000</f>
        <v>-38.798</v>
      </c>
      <c r="D32" s="465" t="n">
        <f aca="false">B32</f>
        <v>-37.567</v>
      </c>
      <c r="E32" s="465" t="n">
        <f aca="false">C32</f>
        <v>-38.798</v>
      </c>
      <c r="F32" s="465" t="n">
        <f aca="false">B32</f>
        <v>-37.567</v>
      </c>
      <c r="G32" s="465" t="n">
        <f aca="false">C32</f>
        <v>-38.798</v>
      </c>
      <c r="H32" s="793" t="n">
        <f aca="false">B32</f>
        <v>-37.567</v>
      </c>
      <c r="I32" s="794" t="n">
        <f aca="false">C32</f>
        <v>-38.798</v>
      </c>
    </row>
    <row r="33" customFormat="false" ht="17.1" hidden="false" customHeight="true" outlineLevel="0" collapsed="false">
      <c r="A33" s="792" t="s">
        <v>468</v>
      </c>
      <c r="B33" s="465" t="n">
        <f aca="false">-PGL_Supplies!X7/1000</f>
        <v>-0</v>
      </c>
      <c r="C33" s="465" t="n">
        <f aca="false">-NSG_Supplies!S7/1000</f>
        <v>-18.848</v>
      </c>
      <c r="D33" s="465" t="n">
        <f aca="false">B33</f>
        <v>-0</v>
      </c>
      <c r="E33" s="465" t="n">
        <f aca="false">C33</f>
        <v>-18.848</v>
      </c>
      <c r="F33" s="465" t="n">
        <f aca="false">B33</f>
        <v>-0</v>
      </c>
      <c r="G33" s="465" t="n">
        <f aca="false">C33</f>
        <v>-18.848</v>
      </c>
      <c r="H33" s="793" t="n">
        <f aca="false">B33</f>
        <v>-0</v>
      </c>
      <c r="I33" s="794" t="n">
        <f aca="false">C33</f>
        <v>-18.848</v>
      </c>
    </row>
    <row r="34" customFormat="false" ht="17.1" hidden="false" customHeight="true" outlineLevel="0" collapsed="false">
      <c r="A34" s="788" t="s">
        <v>469</v>
      </c>
      <c r="B34" s="789" t="n">
        <f aca="false">PGL_Requirements!S7/1000</f>
        <v>0</v>
      </c>
      <c r="C34" s="789" t="s">
        <v>1</v>
      </c>
      <c r="D34" s="789" t="n">
        <f aca="false">+B34</f>
        <v>0</v>
      </c>
      <c r="E34" s="253"/>
      <c r="F34" s="789" t="n">
        <f aca="false">+D34</f>
        <v>0</v>
      </c>
      <c r="G34" s="253"/>
      <c r="H34" s="790" t="n">
        <f aca="false">+B34</f>
        <v>0</v>
      </c>
      <c r="I34" s="791" t="str">
        <f aca="false">+C34</f>
        <v> </v>
      </c>
    </row>
    <row r="35" customFormat="false" ht="17.1" hidden="false" customHeight="true" outlineLevel="0" collapsed="false">
      <c r="A35" s="798" t="s">
        <v>470</v>
      </c>
      <c r="B35" s="789" t="n">
        <f aca="false">PGL_Requirements!O7/1000</f>
        <v>0</v>
      </c>
      <c r="C35" s="789" t="n">
        <f aca="false">NSG_Requirements!H7/1000</f>
        <v>0</v>
      </c>
      <c r="D35" s="253"/>
      <c r="E35" s="253"/>
      <c r="F35" s="253"/>
      <c r="G35" s="253"/>
      <c r="H35" s="467"/>
      <c r="I35" s="799"/>
    </row>
    <row r="36" customFormat="false" ht="17.1" hidden="false" customHeight="true" outlineLevel="0" collapsed="false">
      <c r="A36" s="798" t="s">
        <v>471</v>
      </c>
      <c r="B36" s="465" t="n">
        <f aca="false">-PGL_Supplies!L7/1000</f>
        <v>-12.21</v>
      </c>
      <c r="C36" s="465" t="n">
        <f aca="false">-NSG_Supplies!F7/1000</f>
        <v>-2.7</v>
      </c>
      <c r="D36" s="253"/>
      <c r="E36" s="253"/>
      <c r="F36" s="253"/>
      <c r="G36" s="253"/>
      <c r="H36" s="467"/>
      <c r="I36" s="799"/>
    </row>
    <row r="37" customFormat="false" ht="17.1" hidden="false" customHeight="true" outlineLevel="0" collapsed="false">
      <c r="A37" s="792" t="s">
        <v>472</v>
      </c>
      <c r="B37" s="789" t="n">
        <f aca="false">PGL_Requirements!M7/1000</f>
        <v>0</v>
      </c>
      <c r="C37" s="800" t="s">
        <v>1</v>
      </c>
      <c r="D37" s="789" t="n">
        <f aca="false">PGL_Requirements!M7/1000</f>
        <v>0</v>
      </c>
      <c r="E37" s="253"/>
      <c r="F37" s="789" t="n">
        <f aca="false">PGL_Requirements!M7/1000</f>
        <v>0</v>
      </c>
      <c r="G37" s="789" t="s">
        <v>1</v>
      </c>
      <c r="H37" s="467"/>
      <c r="I37" s="466"/>
    </row>
    <row r="38" customFormat="false" ht="17.1" hidden="false" customHeight="true" outlineLevel="0" collapsed="false">
      <c r="A38" s="801" t="s">
        <v>473</v>
      </c>
      <c r="B38" s="789" t="e">
        <f aca="false">#REF!/1000</f>
        <v>#REF!</v>
      </c>
      <c r="C38" s="465" t="n">
        <f aca="false">NSG_Supplies!K7/1000</f>
        <v>0</v>
      </c>
      <c r="D38" s="253"/>
      <c r="E38" s="253"/>
      <c r="F38" s="253"/>
      <c r="G38" s="253"/>
      <c r="H38" s="239" t="e">
        <f aca="false">B38</f>
        <v>#REF!</v>
      </c>
      <c r="I38" s="466"/>
    </row>
    <row r="39" customFormat="false" ht="17.1" hidden="false" customHeight="true" outlineLevel="0" collapsed="false">
      <c r="A39" s="299" t="s">
        <v>1</v>
      </c>
      <c r="B39" s="448" t="s">
        <v>474</v>
      </c>
      <c r="C39" s="802"/>
      <c r="D39" s="450"/>
      <c r="E39" s="451"/>
      <c r="F39" s="452" t="s">
        <v>355</v>
      </c>
      <c r="G39" s="452"/>
      <c r="H39" s="452"/>
      <c r="I39" s="452"/>
    </row>
    <row r="40" customFormat="false" ht="17.1" hidden="false" customHeight="true" outlineLevel="0" collapsed="false">
      <c r="A40" s="238" t="s">
        <v>99</v>
      </c>
      <c r="B40" s="465" t="n">
        <f aca="false">PGL_Requirements!P7/1000</f>
        <v>150</v>
      </c>
      <c r="C40" s="465" t="s">
        <v>1</v>
      </c>
      <c r="D40" s="803"/>
      <c r="E40" s="466"/>
      <c r="F40" s="804" t="s">
        <v>475</v>
      </c>
      <c r="G40" s="253"/>
      <c r="H40" s="805"/>
      <c r="I40" s="457"/>
    </row>
    <row r="41" customFormat="false" ht="17.1" hidden="false" customHeight="true" outlineLevel="0" collapsed="false">
      <c r="A41" s="238" t="s">
        <v>476</v>
      </c>
      <c r="B41" s="239" t="n">
        <f aca="false">PGL_Supplies!M7/1000</f>
        <v>0</v>
      </c>
      <c r="C41" s="465" t="s">
        <v>1</v>
      </c>
      <c r="D41" s="253"/>
      <c r="E41" s="466"/>
      <c r="F41" s="806" t="s">
        <v>477</v>
      </c>
      <c r="G41" s="253"/>
      <c r="H41" s="467"/>
      <c r="I41" s="457"/>
    </row>
    <row r="42" customFormat="false" ht="17.1" hidden="false" customHeight="true" outlineLevel="0" collapsed="false">
      <c r="A42" s="238" t="s">
        <v>478</v>
      </c>
      <c r="B42" s="465" t="n">
        <f aca="false">PGL_Requirements!B7/1000</f>
        <v>0</v>
      </c>
      <c r="C42" s="465" t="s">
        <v>1</v>
      </c>
      <c r="D42" s="253"/>
      <c r="E42" s="466"/>
      <c r="F42" s="806" t="s">
        <v>479</v>
      </c>
      <c r="G42" s="253"/>
      <c r="H42" s="467"/>
      <c r="I42" s="457"/>
    </row>
    <row r="43" customFormat="false" ht="17.1" hidden="false" customHeight="true" outlineLevel="0" collapsed="false">
      <c r="A43" s="238" t="s">
        <v>480</v>
      </c>
      <c r="B43" s="465" t="n">
        <f aca="false">PGL_Supplies!H7/1000</f>
        <v>1</v>
      </c>
      <c r="C43" s="253"/>
      <c r="D43" s="253"/>
      <c r="E43" s="466"/>
      <c r="F43" s="806" t="s">
        <v>481</v>
      </c>
      <c r="G43" s="253"/>
      <c r="H43" s="467"/>
      <c r="I43" s="457"/>
    </row>
    <row r="44" customFormat="false" ht="17.1" hidden="false" customHeight="true" outlineLevel="0" collapsed="false">
      <c r="A44" s="238" t="s">
        <v>459</v>
      </c>
      <c r="B44" s="807" t="n">
        <f aca="false">+B48+B47+B45</f>
        <v>2.25</v>
      </c>
      <c r="C44" s="808"/>
      <c r="D44" s="253"/>
      <c r="E44" s="466"/>
      <c r="F44" s="806" t="s">
        <v>482</v>
      </c>
      <c r="G44" s="253"/>
      <c r="H44" s="467"/>
      <c r="I44" s="457"/>
    </row>
    <row r="45" customFormat="false" ht="17.1" hidden="false" customHeight="true" outlineLevel="0" collapsed="false">
      <c r="A45" s="238" t="s">
        <v>101</v>
      </c>
      <c r="B45" s="465" t="n">
        <f aca="false">PGL_Requirements!Q7/1000</f>
        <v>2.25</v>
      </c>
      <c r="C45" s="253"/>
      <c r="D45" s="253"/>
      <c r="E45" s="466"/>
      <c r="F45" s="809" t="s">
        <v>483</v>
      </c>
      <c r="G45" s="253"/>
      <c r="H45" s="467"/>
      <c r="I45" s="457"/>
    </row>
    <row r="46" customFormat="false" ht="17.1" hidden="false" customHeight="true" outlineLevel="0" collapsed="false">
      <c r="A46" s="792" t="s">
        <v>484</v>
      </c>
      <c r="B46" s="465" t="n">
        <f aca="false">+B47+B43+B41</f>
        <v>1</v>
      </c>
      <c r="C46" s="253"/>
      <c r="D46" s="253"/>
      <c r="E46" s="466"/>
      <c r="F46" s="806" t="s">
        <v>485</v>
      </c>
      <c r="G46" s="253"/>
      <c r="H46" s="467"/>
      <c r="I46" s="457"/>
    </row>
    <row r="47" customFormat="false" ht="17.1" hidden="false" customHeight="true" outlineLevel="0" collapsed="false">
      <c r="A47" s="238" t="s">
        <v>339</v>
      </c>
      <c r="B47" s="810" t="n">
        <v>0</v>
      </c>
      <c r="C47" s="253"/>
      <c r="D47" s="253"/>
      <c r="E47" s="466"/>
      <c r="F47" s="806" t="s">
        <v>486</v>
      </c>
      <c r="G47" s="253"/>
      <c r="H47" s="467"/>
      <c r="I47" s="457"/>
    </row>
    <row r="48" customFormat="false" ht="17.1" hidden="false" customHeight="true" outlineLevel="0" collapsed="false">
      <c r="A48" s="238" t="s">
        <v>337</v>
      </c>
      <c r="B48" s="811" t="n">
        <v>0</v>
      </c>
      <c r="C48" s="812"/>
      <c r="D48" s="812"/>
      <c r="E48" s="813"/>
      <c r="F48" s="806" t="s">
        <v>487</v>
      </c>
      <c r="G48" s="253"/>
      <c r="H48" s="467"/>
      <c r="I48" s="457"/>
    </row>
    <row r="49" customFormat="false" ht="17.1" hidden="false" customHeight="true" outlineLevel="0" collapsed="false">
      <c r="A49" s="814" t="s">
        <v>1</v>
      </c>
      <c r="B49" s="815" t="s">
        <v>488</v>
      </c>
      <c r="C49" s="815"/>
      <c r="D49" s="815"/>
      <c r="E49" s="816" t="s">
        <v>1</v>
      </c>
      <c r="F49" s="817" t="s">
        <v>489</v>
      </c>
      <c r="G49" s="279"/>
      <c r="H49" s="502"/>
      <c r="I49" s="457"/>
    </row>
    <row r="50" customFormat="false" ht="17.1" hidden="false" customHeight="true" outlineLevel="0" collapsed="false">
      <c r="A50" s="238" t="s">
        <v>490</v>
      </c>
      <c r="B50" s="239" t="n">
        <f aca="false">PGL_Supplies!V7/1000+PGL_Supplies!D7/1000</f>
        <v>177.36</v>
      </c>
      <c r="C50" s="253"/>
      <c r="D50" s="253"/>
      <c r="E50" s="253"/>
      <c r="F50" s="792" t="s">
        <v>491</v>
      </c>
      <c r="G50" s="520"/>
      <c r="H50" s="428"/>
      <c r="I50" s="457"/>
    </row>
    <row r="51" customFormat="false" ht="17.1" hidden="false" customHeight="true" outlineLevel="0" collapsed="false">
      <c r="A51" s="238" t="s">
        <v>492</v>
      </c>
      <c r="B51" s="239" t="n">
        <f aca="false">PGL_Supplies!AA7/1000</f>
        <v>0</v>
      </c>
      <c r="C51" s="808"/>
      <c r="D51" s="253"/>
      <c r="E51" s="253"/>
      <c r="F51" s="818" t="s">
        <v>493</v>
      </c>
      <c r="G51" s="520"/>
      <c r="H51" s="467"/>
      <c r="I51" s="457"/>
    </row>
    <row r="52" customFormat="false" ht="17.1" hidden="false" customHeight="true" outlineLevel="0" collapsed="false">
      <c r="A52" s="238" t="s">
        <v>494</v>
      </c>
      <c r="B52" s="239" t="n">
        <f aca="false">NSG_Supplies!O7/1000+PGL_Supplies!Q7/1000</f>
        <v>0</v>
      </c>
      <c r="C52" s="253"/>
      <c r="D52" s="253"/>
      <c r="E52" s="253"/>
      <c r="F52" s="819" t="s">
        <v>495</v>
      </c>
      <c r="G52" s="533"/>
      <c r="H52" s="820"/>
      <c r="I52" s="457"/>
    </row>
    <row r="53" customFormat="false" ht="17.1" hidden="false" customHeight="true" outlineLevel="0" collapsed="false">
      <c r="A53" s="368" t="s">
        <v>496</v>
      </c>
      <c r="B53" s="239" t="n">
        <f aca="false">PGL_Requirements!J7/1000+NSG_Requirements!E7/1000</f>
        <v>0</v>
      </c>
      <c r="C53" s="253"/>
      <c r="D53" s="253"/>
      <c r="E53" s="253"/>
      <c r="F53" s="817" t="s">
        <v>381</v>
      </c>
      <c r="G53" s="821"/>
      <c r="H53" s="808"/>
      <c r="I53" s="457"/>
    </row>
    <row r="54" customFormat="false" ht="17.1" hidden="false" customHeight="true" outlineLevel="0" collapsed="false">
      <c r="A54" s="792" t="s">
        <v>497</v>
      </c>
      <c r="B54" s="822" t="n">
        <f aca="false">SUM(B50+B51+B52-B53)</f>
        <v>177.36</v>
      </c>
      <c r="C54" s="239"/>
      <c r="D54" s="253"/>
      <c r="E54" s="253"/>
      <c r="F54" s="458" t="s">
        <v>498</v>
      </c>
      <c r="G54" s="458"/>
      <c r="H54" s="458"/>
      <c r="I54" s="458"/>
    </row>
    <row r="55" customFormat="false" ht="17.1" hidden="false" customHeight="true" outlineLevel="0" collapsed="false">
      <c r="A55" s="814" t="s">
        <v>1</v>
      </c>
      <c r="B55" s="449" t="s">
        <v>85</v>
      </c>
      <c r="C55" s="449"/>
      <c r="D55" s="449"/>
      <c r="E55" s="449"/>
      <c r="F55" s="339" t="s">
        <v>499</v>
      </c>
      <c r="G55" s="253"/>
      <c r="H55" s="823"/>
      <c r="I55" s="794" t="n">
        <f aca="false">NSG_Supplies!P7/1000</f>
        <v>0</v>
      </c>
    </row>
    <row r="56" customFormat="false" ht="17.1" hidden="false" customHeight="true" outlineLevel="0" collapsed="false">
      <c r="A56" s="238" t="s">
        <v>468</v>
      </c>
      <c r="B56" s="239" t="n">
        <f aca="false">PGL_Supplies!U7/1000</f>
        <v>0</v>
      </c>
      <c r="C56" s="253"/>
      <c r="D56" s="253"/>
      <c r="E56" s="253"/>
      <c r="F56" s="339" t="s">
        <v>500</v>
      </c>
      <c r="G56" s="253"/>
      <c r="H56" s="824" t="n">
        <f aca="false">NSG_Requirements!B7/1000</f>
        <v>0</v>
      </c>
      <c r="I56" s="794" t="n">
        <f aca="false">NSG_Supplies!B7/1000</f>
        <v>0</v>
      </c>
    </row>
    <row r="57" customFormat="false" ht="17.1" hidden="false" customHeight="true" outlineLevel="0" collapsed="false">
      <c r="A57" s="238" t="s">
        <v>501</v>
      </c>
      <c r="B57" s="239" t="n">
        <f aca="false">PGL_Supplies!Z7/1000+PGL_Supplies!C7/1000-PGL_Requirements!C7/1000</f>
        <v>40.2</v>
      </c>
      <c r="C57" s="253"/>
      <c r="D57" s="253"/>
      <c r="E57" s="253"/>
      <c r="F57" s="339" t="s">
        <v>502</v>
      </c>
      <c r="G57" s="253"/>
      <c r="H57" s="824" t="n">
        <f aca="false">NSG_Requirements!S7/1000</f>
        <v>0</v>
      </c>
      <c r="I57" s="825"/>
    </row>
    <row r="58" customFormat="false" ht="17.1" hidden="false" customHeight="true" outlineLevel="0" collapsed="false">
      <c r="A58" s="238" t="s">
        <v>503</v>
      </c>
      <c r="B58" s="239" t="n">
        <f aca="false">PGL_Requirements!U7/1000</f>
        <v>40.2</v>
      </c>
      <c r="C58" s="253"/>
      <c r="D58" s="253"/>
      <c r="E58" s="253"/>
      <c r="F58" s="339" t="s">
        <v>504</v>
      </c>
      <c r="G58" s="253"/>
      <c r="H58" s="826"/>
      <c r="I58" s="532" t="n">
        <f aca="false">PGL_Requirements!V7/1000</f>
        <v>0</v>
      </c>
    </row>
    <row r="59" customFormat="false" ht="17.1" hidden="false" customHeight="true" outlineLevel="0" collapsed="false">
      <c r="A59" s="238" t="s">
        <v>505</v>
      </c>
      <c r="B59" s="239" t="n">
        <f aca="false">PGL_Supplies!R7/1000</f>
        <v>0</v>
      </c>
      <c r="C59" s="253"/>
      <c r="D59" s="253"/>
      <c r="E59" s="253"/>
      <c r="F59" s="827" t="s">
        <v>496</v>
      </c>
      <c r="G59" s="253"/>
      <c r="H59" s="828" t="n">
        <f aca="false">NSG_Requirements!D7/1000</f>
        <v>0</v>
      </c>
      <c r="I59" s="829"/>
    </row>
    <row r="60" customFormat="false" ht="17.1" hidden="false" customHeight="true" outlineLevel="0" collapsed="false">
      <c r="A60" s="368" t="s">
        <v>496</v>
      </c>
      <c r="B60" s="239" t="n">
        <f aca="false">PGL_Requirements!I7/1000</f>
        <v>0</v>
      </c>
      <c r="C60" s="253"/>
      <c r="D60" s="253"/>
      <c r="E60" s="253"/>
      <c r="F60" s="830" t="s">
        <v>506</v>
      </c>
      <c r="G60" s="520"/>
      <c r="H60" s="828" t="n">
        <f aca="false">NSG_Requirements!O7/1000</f>
        <v>0</v>
      </c>
      <c r="I60" s="794" t="n">
        <f aca="false">+NSG_Supplies!L7/1000</f>
        <v>0</v>
      </c>
    </row>
    <row r="61" customFormat="false" ht="17.1" hidden="false" customHeight="true" outlineLevel="0" collapsed="false">
      <c r="A61" s="238" t="s">
        <v>507</v>
      </c>
      <c r="B61" s="831" t="n">
        <f aca="false">(NSG_Requirements!$S$7+NSG_Requirements!$T$7+NSG_Requirements!$U$7+NSG_Requirements!$N$7)/1000</f>
        <v>0</v>
      </c>
      <c r="C61" s="253"/>
      <c r="D61" s="253"/>
      <c r="E61" s="253"/>
      <c r="F61" s="832" t="s">
        <v>508</v>
      </c>
      <c r="G61" s="812"/>
      <c r="H61" s="833"/>
      <c r="I61" s="834" t="n">
        <f aca="false">NSG_Supplies!M7/1000</f>
        <v>0</v>
      </c>
    </row>
    <row r="62" customFormat="false" ht="17.1" hidden="false" customHeight="true" outlineLevel="0" collapsed="false">
      <c r="A62" s="792" t="s">
        <v>497</v>
      </c>
      <c r="B62" s="822" t="n">
        <f aca="false">B56+B57-B58+B59-B60+B61</f>
        <v>0</v>
      </c>
      <c r="C62" s="835"/>
      <c r="D62" s="835"/>
      <c r="E62" s="835"/>
      <c r="F62" s="836" t="s">
        <v>509</v>
      </c>
      <c r="G62" s="253"/>
      <c r="H62" s="826"/>
      <c r="I62" s="837" t="n">
        <v>0</v>
      </c>
    </row>
    <row r="63" customFormat="false" ht="17.1" hidden="false" customHeight="true" outlineLevel="0" collapsed="false">
      <c r="A63" s="814" t="s">
        <v>1</v>
      </c>
      <c r="B63" s="815"/>
      <c r="C63" s="815" t="s">
        <v>510</v>
      </c>
      <c r="D63" s="815"/>
      <c r="E63" s="838" t="s">
        <v>1</v>
      </c>
      <c r="F63" s="817" t="s">
        <v>511</v>
      </c>
      <c r="G63" s="253"/>
      <c r="H63" s="826"/>
      <c r="I63" s="791" t="n">
        <f aca="false">I58+I60+I56-H56</f>
        <v>0</v>
      </c>
    </row>
    <row r="64" customFormat="false" ht="17.1" hidden="false" customHeight="true" outlineLevel="0" collapsed="false">
      <c r="A64" s="238" t="s">
        <v>468</v>
      </c>
      <c r="B64" s="239" t="n">
        <f aca="false">PGL_Supplies!Y7/1000</f>
        <v>175.702</v>
      </c>
      <c r="C64" s="253"/>
      <c r="D64" s="253"/>
      <c r="E64" s="839"/>
      <c r="F64" s="458" t="s">
        <v>512</v>
      </c>
      <c r="G64" s="458"/>
      <c r="H64" s="458"/>
      <c r="I64" s="458"/>
    </row>
    <row r="65" customFormat="false" ht="17.1" hidden="false" customHeight="true" outlineLevel="0" collapsed="false">
      <c r="A65" s="238" t="s">
        <v>513</v>
      </c>
      <c r="B65" s="239" t="n">
        <f aca="false">PGL_Supplies!AD7/1000+PGL_Supplies!G7/1000-PGL_Requirements!F7/1000</f>
        <v>16.6</v>
      </c>
      <c r="C65" s="303" t="s">
        <v>1</v>
      </c>
      <c r="D65" s="253"/>
      <c r="E65" s="551"/>
      <c r="F65" s="840" t="s">
        <v>514</v>
      </c>
      <c r="G65" s="841"/>
      <c r="H65" s="842"/>
      <c r="I65" s="843" t="n">
        <f aca="false">NSG_Supplies!O7/1000</f>
        <v>0</v>
      </c>
    </row>
    <row r="66" customFormat="false" ht="17.1" hidden="false" customHeight="true" outlineLevel="0" collapsed="false">
      <c r="A66" s="238" t="s">
        <v>515</v>
      </c>
      <c r="B66" s="239" t="n">
        <f aca="false">PGL_Supplies!AE7/1000</f>
        <v>0</v>
      </c>
      <c r="C66" s="303" t="s">
        <v>1</v>
      </c>
      <c r="D66" s="253"/>
      <c r="E66" s="551"/>
      <c r="F66" s="841" t="s">
        <v>516</v>
      </c>
      <c r="G66" s="841"/>
      <c r="H66" s="844" t="n">
        <f aca="false">NSG_Requirements!M7/1000</f>
        <v>0</v>
      </c>
      <c r="I66" s="825"/>
    </row>
    <row r="67" customFormat="false" ht="17.1" hidden="false" customHeight="true" outlineLevel="0" collapsed="false">
      <c r="A67" s="238" t="s">
        <v>517</v>
      </c>
      <c r="B67" s="254" t="n">
        <f aca="false">PGL_Requirements!T7/1000</f>
        <v>0</v>
      </c>
      <c r="C67" s="845" t="s">
        <v>1</v>
      </c>
      <c r="D67" s="253"/>
      <c r="E67" s="551"/>
      <c r="F67" s="841" t="s">
        <v>518</v>
      </c>
      <c r="G67" s="841"/>
      <c r="H67" s="831" t="n">
        <f aca="false">(NSG_Requirements!$Y$7+NSG_Requirements!$Z$7+NSG_Requirements!$AA$7)/1000</f>
        <v>0</v>
      </c>
      <c r="I67" s="846" t="n">
        <f aca="false">(PGL_Requirements!$AC$7+PGL_Requirements!$AD$7+PGL_Requirements!$AE$7)/1000</f>
        <v>0</v>
      </c>
    </row>
    <row r="68" customFormat="false" ht="17.1" hidden="false" customHeight="true" outlineLevel="0" collapsed="false">
      <c r="A68" s="238" t="s">
        <v>519</v>
      </c>
      <c r="B68" s="239" t="n">
        <f aca="false">PGL_Supplies!P7/1000</f>
        <v>0</v>
      </c>
      <c r="C68" s="303" t="s">
        <v>1</v>
      </c>
      <c r="D68" s="253"/>
      <c r="E68" s="551"/>
      <c r="F68" s="847"/>
      <c r="G68" s="847"/>
      <c r="H68" s="848"/>
      <c r="I68" s="547"/>
    </row>
    <row r="69" customFormat="false" ht="17.1" hidden="false" customHeight="true" outlineLevel="0" collapsed="false">
      <c r="A69" s="368" t="s">
        <v>496</v>
      </c>
      <c r="B69" s="254" t="n">
        <f aca="false">PGL_Requirements!N7/1000</f>
        <v>0</v>
      </c>
      <c r="C69" s="845" t="s">
        <v>1</v>
      </c>
      <c r="D69" s="253"/>
      <c r="E69" s="849"/>
      <c r="F69" s="850" t="s">
        <v>520</v>
      </c>
      <c r="G69" s="842" t="s">
        <v>1</v>
      </c>
      <c r="H69" s="803" t="s">
        <v>521</v>
      </c>
      <c r="I69" s="551"/>
    </row>
    <row r="70" customFormat="false" ht="17.1" hidden="false" customHeight="true" outlineLevel="0" collapsed="false">
      <c r="A70" s="238" t="s">
        <v>522</v>
      </c>
      <c r="B70" s="254" t="n">
        <f aca="false">PGL_Requirements!P7/1000</f>
        <v>150</v>
      </c>
      <c r="C70" s="845" t="s">
        <v>1</v>
      </c>
      <c r="D70" s="253"/>
      <c r="E70" s="551"/>
      <c r="F70" s="850" t="s">
        <v>523</v>
      </c>
      <c r="G70" s="842" t="s">
        <v>1</v>
      </c>
      <c r="H70" s="851" t="s">
        <v>524</v>
      </c>
      <c r="I70" s="852"/>
    </row>
    <row r="71" customFormat="false" ht="17.1" hidden="false" customHeight="true" outlineLevel="0" collapsed="false">
      <c r="A71" s="238" t="s">
        <v>525</v>
      </c>
      <c r="B71" s="254" t="n">
        <f aca="false">PGL_Requirements!F7/1000</f>
        <v>0</v>
      </c>
      <c r="C71" s="303" t="s">
        <v>1</v>
      </c>
      <c r="D71" s="253"/>
      <c r="E71" s="551"/>
      <c r="F71" s="841" t="s">
        <v>526</v>
      </c>
      <c r="G71" s="842" t="s">
        <v>1</v>
      </c>
      <c r="H71" s="853"/>
      <c r="I71" s="551" t="s">
        <v>1</v>
      </c>
    </row>
    <row r="72" customFormat="false" ht="17.1" hidden="false" customHeight="true" outlineLevel="0" collapsed="false">
      <c r="A72" s="854" t="s">
        <v>497</v>
      </c>
      <c r="B72" s="855" t="n">
        <f aca="false">+B65+B64+B66+B68-B67-B69-B70</f>
        <v>42.302</v>
      </c>
      <c r="C72" s="855" t="s">
        <v>1</v>
      </c>
      <c r="D72" s="496"/>
      <c r="E72" s="856"/>
      <c r="F72" s="857"/>
      <c r="G72" s="858"/>
      <c r="H72" s="859"/>
      <c r="I72" s="590"/>
    </row>
    <row r="73" customFormat="false" ht="17.1" hidden="false" customHeight="true" outlineLevel="0" collapsed="false">
      <c r="A73" s="458" t="s">
        <v>527</v>
      </c>
      <c r="B73" s="458"/>
      <c r="C73" s="458"/>
      <c r="D73" s="808"/>
      <c r="E73" s="808"/>
      <c r="F73" s="860" t="s">
        <v>528</v>
      </c>
      <c r="G73" s="861" t="str">
        <f aca="false">CHOOSE(WEEKDAY(H73),"SUN","MON","TUE","WED","THU","FRI","SAT")</f>
        <v>WED</v>
      </c>
      <c r="H73" s="862" t="n">
        <f aca="false">Weather_Input!A5</f>
        <v>37034</v>
      </c>
      <c r="I73" s="534"/>
    </row>
    <row r="74" customFormat="false" ht="17.1" hidden="false" customHeight="true" outlineLevel="0" collapsed="false">
      <c r="A74" s="840" t="s">
        <v>529</v>
      </c>
      <c r="B74" s="253" t="s">
        <v>1</v>
      </c>
      <c r="C74" s="466"/>
      <c r="D74" s="863"/>
      <c r="E74" s="808"/>
      <c r="F74" s="808"/>
      <c r="G74" s="808"/>
      <c r="H74" s="808"/>
      <c r="I74" s="534"/>
    </row>
    <row r="75" customFormat="false" ht="17.1" hidden="false" customHeight="true" outlineLevel="0" collapsed="false">
      <c r="A75" s="339" t="s">
        <v>530</v>
      </c>
      <c r="B75" s="253"/>
      <c r="C75" s="466"/>
      <c r="D75" s="864"/>
      <c r="E75" s="841"/>
      <c r="F75" s="841"/>
      <c r="G75" s="841"/>
      <c r="H75" s="808"/>
      <c r="I75" s="534"/>
    </row>
    <row r="76" customFormat="false" ht="17.1" hidden="false" customHeight="true" outlineLevel="0" collapsed="false">
      <c r="A76" s="865" t="s">
        <v>531</v>
      </c>
      <c r="B76" s="812"/>
      <c r="C76" s="813"/>
      <c r="D76" s="866" t="s">
        <v>532</v>
      </c>
      <c r="E76" s="867"/>
      <c r="F76" s="868" t="s">
        <v>533</v>
      </c>
      <c r="G76" s="869"/>
      <c r="H76" s="870" t="s">
        <v>274</v>
      </c>
      <c r="I76" s="871" t="s">
        <v>274</v>
      </c>
    </row>
    <row r="77" customFormat="false" ht="17.1" hidden="false" customHeight="true" outlineLevel="0" collapsed="false">
      <c r="A77" s="0"/>
      <c r="B77" s="0"/>
      <c r="C77" s="0"/>
      <c r="D77" s="0"/>
      <c r="E77" s="0"/>
      <c r="F77" s="0"/>
      <c r="G77" s="0"/>
      <c r="H77" s="0"/>
      <c r="I77" s="0"/>
    </row>
    <row r="78" customFormat="false" ht="15" hidden="false" customHeight="false" outlineLevel="0" collapsed="false">
      <c r="B78" s="0" t="s">
        <v>1</v>
      </c>
      <c r="C78" s="0"/>
      <c r="D78" s="0"/>
      <c r="E78" s="0"/>
      <c r="F78" s="240"/>
      <c r="G78" s="240"/>
      <c r="I78" s="0"/>
    </row>
    <row r="79" customFormat="false" ht="15" hidden="false" customHeight="false" outlineLevel="0" collapsed="false">
      <c r="B79" s="0"/>
      <c r="C79" s="0"/>
      <c r="D79" s="0"/>
      <c r="E79" s="0"/>
      <c r="F79" s="240"/>
      <c r="G79" s="240"/>
    </row>
    <row r="80" customFormat="false" ht="15" hidden="false" customHeight="false" outlineLevel="0" collapsed="false">
      <c r="B80" s="0"/>
      <c r="C80" s="0"/>
      <c r="D80" s="0"/>
      <c r="E80" s="0"/>
      <c r="F80" s="240"/>
      <c r="G80" s="240"/>
      <c r="J80" s="0"/>
    </row>
    <row r="81" customFormat="false" ht="12" hidden="false" customHeight="false" outlineLevel="0" collapsed="false">
      <c r="B81" s="240"/>
      <c r="C81" s="240"/>
      <c r="D81" s="240"/>
      <c r="E81" s="240"/>
      <c r="F81" s="240"/>
      <c r="G81" s="240"/>
    </row>
    <row r="82" customFormat="false" ht="12" hidden="false" customHeight="false" outlineLevel="0" collapsed="false">
      <c r="B82" s="240"/>
      <c r="C82" s="240"/>
      <c r="D82" s="240"/>
      <c r="E82" s="240"/>
      <c r="F82" s="240"/>
      <c r="G82" s="240"/>
    </row>
    <row r="83" customFormat="false" ht="12" hidden="false" customHeight="false" outlineLevel="0" collapsed="false">
      <c r="B83" s="240"/>
      <c r="C83" s="240"/>
      <c r="D83" s="240"/>
      <c r="E83" s="240"/>
      <c r="F83" s="240"/>
      <c r="G83" s="240"/>
    </row>
    <row r="84" customFormat="false" ht="12" hidden="false" customHeight="false" outlineLevel="0" collapsed="false">
      <c r="B84" s="240"/>
      <c r="C84" s="240"/>
      <c r="D84" s="240"/>
      <c r="E84" s="240"/>
      <c r="F84" s="240"/>
      <c r="G84" s="240"/>
    </row>
    <row r="85" customFormat="false" ht="12" hidden="false" customHeight="false" outlineLevel="0" collapsed="false">
      <c r="B85" s="240"/>
      <c r="C85" s="240"/>
      <c r="D85" s="240"/>
      <c r="E85" s="240"/>
      <c r="F85" s="240"/>
      <c r="G85" s="240"/>
    </row>
    <row r="86" customFormat="false" ht="12" hidden="false" customHeight="false" outlineLevel="0" collapsed="false">
      <c r="B86" s="240"/>
      <c r="C86" s="240"/>
      <c r="D86" s="240"/>
      <c r="E86" s="240"/>
      <c r="F86" s="240"/>
      <c r="G86" s="240"/>
    </row>
    <row r="87" customFormat="false" ht="12" hidden="false" customHeight="false" outlineLevel="0" collapsed="false">
      <c r="B87" s="240"/>
      <c r="C87" s="240"/>
      <c r="D87" s="240"/>
      <c r="E87" s="240"/>
      <c r="F87" s="240"/>
      <c r="G87" s="240"/>
    </row>
    <row r="88" customFormat="false" ht="12" hidden="false" customHeight="false" outlineLevel="0" collapsed="false">
      <c r="B88" s="240"/>
      <c r="C88" s="240"/>
      <c r="D88" s="240"/>
      <c r="E88" s="240"/>
      <c r="F88" s="240"/>
      <c r="G88" s="240"/>
    </row>
    <row r="89" customFormat="false" ht="12.75" hidden="false" customHeight="false" outlineLevel="0" collapsed="false">
      <c r="B89" s="240"/>
      <c r="C89" s="240"/>
      <c r="D89" s="240"/>
      <c r="E89" s="240"/>
      <c r="F89" s="240"/>
      <c r="G89" s="240"/>
    </row>
    <row r="90" customFormat="false" ht="16.5" hidden="false" customHeight="false" outlineLevel="0" collapsed="false">
      <c r="A90" s="215" t="s">
        <v>534</v>
      </c>
      <c r="B90" s="216"/>
      <c r="C90" s="216"/>
      <c r="D90" s="216"/>
      <c r="E90" s="217" t="s">
        <v>273</v>
      </c>
      <c r="F90" s="218" t="n">
        <f aca="false">Weather_Input!L5</f>
        <v>1</v>
      </c>
      <c r="G90" s="872" t="s">
        <v>1</v>
      </c>
      <c r="H90" s="220"/>
      <c r="I90" s="221"/>
    </row>
    <row r="91" customFormat="false" ht="15.75" hidden="false" customHeight="false" outlineLevel="0" collapsed="false">
      <c r="A91" s="231"/>
      <c r="B91" s="232" t="s">
        <v>535</v>
      </c>
      <c r="C91" s="259" t="s">
        <v>1</v>
      </c>
      <c r="D91" s="234" t="s">
        <v>536</v>
      </c>
      <c r="E91" s="235"/>
      <c r="F91" s="236" t="s">
        <v>537</v>
      </c>
      <c r="G91" s="235"/>
      <c r="H91" s="236" t="s">
        <v>279</v>
      </c>
      <c r="I91" s="237"/>
    </row>
    <row r="92" customFormat="false" ht="15" hidden="false" customHeight="false" outlineLevel="0" collapsed="false">
      <c r="A92" s="322" t="s">
        <v>538</v>
      </c>
      <c r="B92" s="234" t="s">
        <v>283</v>
      </c>
      <c r="C92" s="246" t="s">
        <v>284</v>
      </c>
      <c r="D92" s="234" t="s">
        <v>17</v>
      </c>
      <c r="E92" s="246" t="s">
        <v>284</v>
      </c>
      <c r="F92" s="234" t="s">
        <v>17</v>
      </c>
      <c r="G92" s="246" t="s">
        <v>284</v>
      </c>
      <c r="H92" s="234" t="s">
        <v>17</v>
      </c>
      <c r="I92" s="237" t="s">
        <v>284</v>
      </c>
    </row>
    <row r="93" customFormat="false" ht="15.75" hidden="false" customHeight="false" outlineLevel="0" collapsed="false">
      <c r="A93" s="231" t="s">
        <v>1</v>
      </c>
      <c r="B93" s="258"/>
      <c r="C93" s="380"/>
      <c r="D93" s="261"/>
      <c r="E93" s="261"/>
      <c r="F93" s="258"/>
      <c r="G93" s="259"/>
      <c r="H93" s="259"/>
      <c r="I93" s="260"/>
    </row>
    <row r="94" customFormat="false" ht="16.5" hidden="false" customHeight="false" outlineLevel="0" collapsed="false">
      <c r="A94" s="231" t="s">
        <v>289</v>
      </c>
      <c r="B94" s="873" t="s">
        <v>1</v>
      </c>
      <c r="C94" s="874" t="s">
        <v>1</v>
      </c>
      <c r="D94" s="875" t="s">
        <v>1</v>
      </c>
      <c r="E94" s="876"/>
      <c r="F94" s="877"/>
      <c r="G94" s="399"/>
      <c r="H94" s="877"/>
      <c r="I94" s="237"/>
    </row>
    <row r="95" customFormat="false" ht="16.5" hidden="false" customHeight="false" outlineLevel="0" collapsed="false">
      <c r="A95" s="309"/>
      <c r="B95" s="294" t="s">
        <v>1</v>
      </c>
      <c r="C95" s="294" t="s">
        <v>1</v>
      </c>
      <c r="D95" s="297"/>
      <c r="E95" s="297"/>
      <c r="F95" s="297"/>
      <c r="G95" s="297"/>
      <c r="H95" s="297"/>
      <c r="I95" s="298"/>
    </row>
    <row r="96" customFormat="false" ht="15" hidden="false" customHeight="false" outlineLevel="0" collapsed="false">
      <c r="A96" s="322" t="s">
        <v>452</v>
      </c>
      <c r="B96" s="306" t="s">
        <v>1</v>
      </c>
      <c r="C96" s="878" t="e">
        <f aca="false">I150</f>
        <v>#REF!</v>
      </c>
      <c r="D96" s="308"/>
      <c r="E96" s="259"/>
      <c r="F96" s="308"/>
      <c r="G96" s="259"/>
      <c r="H96" s="308"/>
      <c r="I96" s="260" t="s">
        <v>1</v>
      </c>
    </row>
    <row r="97" customFormat="false" ht="15" hidden="false" customHeight="false" outlineLevel="0" collapsed="false">
      <c r="A97" s="322" t="s">
        <v>85</v>
      </c>
      <c r="B97" s="317" t="s">
        <v>1</v>
      </c>
      <c r="C97" s="878" t="n">
        <f aca="false">B133</f>
        <v>0</v>
      </c>
      <c r="D97" s="261"/>
      <c r="E97" s="307" t="n">
        <f aca="false">+C97</f>
        <v>0</v>
      </c>
      <c r="F97" s="261"/>
      <c r="G97" s="307" t="n">
        <f aca="false">+C97</f>
        <v>0</v>
      </c>
      <c r="H97" s="261"/>
      <c r="I97" s="315" t="n">
        <f aca="false">+C97</f>
        <v>0</v>
      </c>
    </row>
    <row r="98" customFormat="false" ht="15" hidden="false" customHeight="false" outlineLevel="0" collapsed="false">
      <c r="A98" s="322" t="s">
        <v>74</v>
      </c>
      <c r="B98" s="317" t="s">
        <v>1</v>
      </c>
      <c r="C98" s="878" t="n">
        <f aca="false">B149</f>
        <v>1</v>
      </c>
      <c r="D98" s="261"/>
      <c r="E98" s="259"/>
      <c r="F98" s="261"/>
      <c r="G98" s="259"/>
      <c r="H98" s="261"/>
      <c r="I98" s="260"/>
    </row>
    <row r="99" customFormat="false" ht="15" hidden="false" customHeight="false" outlineLevel="0" collapsed="false">
      <c r="A99" s="322" t="s">
        <v>86</v>
      </c>
      <c r="B99" s="317" t="s">
        <v>1</v>
      </c>
      <c r="C99" s="878" t="n">
        <f aca="false">B141</f>
        <v>177.36</v>
      </c>
      <c r="D99" s="274"/>
      <c r="E99" s="259"/>
      <c r="F99" s="261"/>
      <c r="G99" s="259"/>
      <c r="H99" s="261"/>
      <c r="I99" s="260"/>
    </row>
    <row r="100" customFormat="false" ht="15" hidden="false" customHeight="false" outlineLevel="0" collapsed="false">
      <c r="A100" s="322" t="s">
        <v>359</v>
      </c>
      <c r="B100" s="332" t="s">
        <v>1</v>
      </c>
      <c r="C100" s="878" t="n">
        <f aca="false">I157+I158</f>
        <v>0</v>
      </c>
      <c r="D100" s="261"/>
      <c r="E100" s="259"/>
      <c r="F100" s="261"/>
      <c r="G100" s="259"/>
      <c r="H100" s="261"/>
      <c r="I100" s="260"/>
    </row>
    <row r="101" customFormat="false" ht="15" hidden="false" customHeight="false" outlineLevel="0" collapsed="false">
      <c r="A101" s="322" t="s">
        <v>315</v>
      </c>
      <c r="B101" s="317" t="s">
        <v>1</v>
      </c>
      <c r="C101" s="878" t="e">
        <f aca="false">I146</f>
        <v>#REF!</v>
      </c>
      <c r="D101" s="261" t="s">
        <v>1</v>
      </c>
      <c r="E101" s="259"/>
      <c r="F101" s="261"/>
      <c r="G101" s="259"/>
      <c r="H101" s="261"/>
      <c r="I101" s="260"/>
    </row>
    <row r="102" customFormat="false" ht="15" hidden="false" customHeight="false" outlineLevel="0" collapsed="false">
      <c r="A102" s="322" t="s">
        <v>42</v>
      </c>
      <c r="B102" s="317" t="s">
        <v>3</v>
      </c>
      <c r="C102" s="878" t="n">
        <f aca="false">B162</f>
        <v>192.302</v>
      </c>
      <c r="D102" s="261"/>
      <c r="E102" s="259"/>
      <c r="F102" s="261"/>
      <c r="G102" s="259"/>
      <c r="H102" s="261"/>
      <c r="I102" s="260"/>
    </row>
    <row r="103" customFormat="false" ht="15" hidden="false" customHeight="false" outlineLevel="0" collapsed="false">
      <c r="A103" s="322" t="s">
        <v>149</v>
      </c>
      <c r="B103" s="317" t="s">
        <v>1</v>
      </c>
      <c r="C103" s="878" t="n">
        <f aca="false">PGL_Requirements!G7/1000</f>
        <v>0</v>
      </c>
      <c r="D103" s="274"/>
      <c r="E103" s="259"/>
      <c r="F103" s="261"/>
      <c r="G103" s="259"/>
      <c r="H103" s="261"/>
      <c r="I103" s="260"/>
    </row>
    <row r="104" customFormat="false" ht="15.75" hidden="false" customHeight="false" outlineLevel="0" collapsed="false">
      <c r="A104" s="322" t="s">
        <v>171</v>
      </c>
      <c r="B104" s="357" t="s">
        <v>1</v>
      </c>
      <c r="C104" s="878" t="n">
        <f aca="false">PGL_Supplies!B7/1000</f>
        <v>0</v>
      </c>
      <c r="D104" s="234"/>
      <c r="E104" s="259"/>
      <c r="F104" s="261"/>
      <c r="G104" s="259"/>
      <c r="H104" s="261"/>
      <c r="I104" s="260"/>
    </row>
    <row r="105" customFormat="false" ht="16.5" hidden="false" customHeight="false" outlineLevel="0" collapsed="false">
      <c r="A105" s="362" t="s">
        <v>539</v>
      </c>
      <c r="B105" s="363" t="s">
        <v>1</v>
      </c>
      <c r="C105" s="364" t="s">
        <v>1</v>
      </c>
      <c r="D105" s="365" t="s">
        <v>1</v>
      </c>
      <c r="E105" s="366" t="s">
        <v>1</v>
      </c>
      <c r="F105" s="365" t="s">
        <v>1</v>
      </c>
      <c r="G105" s="366" t="s">
        <v>1</v>
      </c>
      <c r="H105" s="365" t="s">
        <v>1</v>
      </c>
      <c r="I105" s="367"/>
    </row>
    <row r="106" customFormat="false" ht="16.5" hidden="false" customHeight="false" outlineLevel="0" collapsed="false">
      <c r="A106" s="328" t="s">
        <v>43</v>
      </c>
      <c r="B106" s="374" t="n">
        <f aca="false">-PGL_Supplies!U7/1000</f>
        <v>-0</v>
      </c>
      <c r="C106" s="879" t="n">
        <f aca="false">-NSG_Supplies!AF7/1000</f>
        <v>-0</v>
      </c>
      <c r="D106" s="376"/>
      <c r="E106" s="880"/>
      <c r="F106" s="376"/>
      <c r="G106" s="880"/>
      <c r="H106" s="377"/>
      <c r="I106" s="881"/>
    </row>
    <row r="107" customFormat="false" ht="15" hidden="false" customHeight="false" outlineLevel="0" collapsed="false">
      <c r="A107" s="322" t="s">
        <v>540</v>
      </c>
      <c r="B107" s="317" t="e">
        <f aca="false">B94+B105+B106</f>
        <v>#VALUE!</v>
      </c>
      <c r="C107" s="778" t="e">
        <f aca="false">C94+C105+C106</f>
        <v>#VALUE!</v>
      </c>
      <c r="D107" s="380"/>
      <c r="E107" s="258"/>
      <c r="F107" s="380"/>
      <c r="G107" s="258"/>
      <c r="H107" s="259"/>
      <c r="I107" s="237"/>
    </row>
    <row r="108" customFormat="false" ht="15" hidden="false" customHeight="false" outlineLevel="0" collapsed="false">
      <c r="A108" s="322" t="s">
        <v>336</v>
      </c>
      <c r="B108" s="317" t="n">
        <v>0</v>
      </c>
      <c r="C108" s="258"/>
      <c r="D108" s="380"/>
      <c r="E108" s="258"/>
      <c r="F108" s="380"/>
      <c r="G108" s="258"/>
      <c r="H108" s="259"/>
      <c r="I108" s="276"/>
    </row>
    <row r="109" customFormat="false" ht="15" hidden="false" customHeight="false" outlineLevel="0" collapsed="false">
      <c r="A109" s="322" t="s">
        <v>281</v>
      </c>
      <c r="B109" s="317" t="n">
        <f aca="false">+B129</f>
        <v>0</v>
      </c>
      <c r="C109" s="258"/>
      <c r="D109" s="380"/>
      <c r="E109" s="258"/>
      <c r="F109" s="388" t="s">
        <v>1</v>
      </c>
      <c r="G109" s="770"/>
      <c r="H109" s="779" t="s">
        <v>1</v>
      </c>
      <c r="I109" s="237"/>
    </row>
    <row r="110" customFormat="false" ht="15.75" hidden="false" customHeight="false" outlineLevel="0" collapsed="false">
      <c r="A110" s="882" t="s">
        <v>341</v>
      </c>
      <c r="B110" s="781" t="e">
        <f aca="false">B107+B108+B109</f>
        <v>#VALUE!</v>
      </c>
      <c r="C110" s="782" t="e">
        <f aca="false">C107</f>
        <v>#VALUE!</v>
      </c>
      <c r="D110" s="380"/>
      <c r="E110" s="258"/>
      <c r="F110" s="275"/>
      <c r="G110" s="258"/>
      <c r="H110" s="783" t="s">
        <v>1</v>
      </c>
      <c r="I110" s="784" t="s">
        <v>1</v>
      </c>
    </row>
    <row r="111" customFormat="false" ht="16.5" hidden="false" customHeight="false" outlineLevel="0" collapsed="false">
      <c r="A111" s="883" t="s">
        <v>344</v>
      </c>
      <c r="B111" s="770" t="n">
        <f aca="false">-NSG_Requirements!$L$7/1000</f>
        <v>-0</v>
      </c>
      <c r="C111" s="770" t="n">
        <f aca="false">NSG_Requirements!$L$7/1000</f>
        <v>0</v>
      </c>
      <c r="D111" s="349" t="n">
        <f aca="false">B111</f>
        <v>-0</v>
      </c>
      <c r="E111" s="770" t="n">
        <f aca="false">C111</f>
        <v>0</v>
      </c>
      <c r="F111" s="349" t="n">
        <f aca="false">B111</f>
        <v>-0</v>
      </c>
      <c r="G111" s="770" t="n">
        <f aca="false">C111</f>
        <v>0</v>
      </c>
      <c r="H111" s="786" t="n">
        <f aca="false">B111</f>
        <v>-0</v>
      </c>
      <c r="I111" s="787" t="n">
        <f aca="false">C111</f>
        <v>0</v>
      </c>
    </row>
    <row r="112" customFormat="false" ht="15" hidden="false" customHeight="false" outlineLevel="0" collapsed="false">
      <c r="A112" s="322" t="s">
        <v>541</v>
      </c>
      <c r="B112" s="770"/>
      <c r="C112" s="770"/>
      <c r="D112" s="349"/>
      <c r="E112" s="770"/>
      <c r="F112" s="349"/>
      <c r="G112" s="770"/>
      <c r="H112" s="426"/>
      <c r="I112" s="884"/>
    </row>
    <row r="113" customFormat="false" ht="15.75" hidden="false" customHeight="false" outlineLevel="0" collapsed="false">
      <c r="A113" s="238" t="s">
        <v>417</v>
      </c>
      <c r="B113" s="789" t="n">
        <f aca="false">PGL_Requirements!V7/1000</f>
        <v>0</v>
      </c>
      <c r="C113" s="789" t="n">
        <f aca="false">NSG_Requirements!Q7/1000</f>
        <v>0</v>
      </c>
      <c r="D113" s="789" t="n">
        <f aca="false">B113</f>
        <v>0</v>
      </c>
      <c r="E113" s="789" t="n">
        <f aca="false">+C113</f>
        <v>0</v>
      </c>
      <c r="F113" s="789" t="n">
        <f aca="false">B113</f>
        <v>0</v>
      </c>
      <c r="G113" s="789" t="n">
        <f aca="false">+C113</f>
        <v>0</v>
      </c>
      <c r="H113" s="790" t="n">
        <f aca="false">B113</f>
        <v>0</v>
      </c>
      <c r="I113" s="791" t="n">
        <f aca="false">+C113</f>
        <v>0</v>
      </c>
    </row>
    <row r="114" customFormat="false" ht="15.75" hidden="false" customHeight="false" outlineLevel="0" collapsed="false">
      <c r="A114" s="238" t="s">
        <v>542</v>
      </c>
      <c r="B114" s="789" t="n">
        <f aca="false">PGL_Requirements!AC7/1000</f>
        <v>0</v>
      </c>
      <c r="C114" s="789" t="n">
        <f aca="false">NSG_Requirements!AA7/1000</f>
        <v>0</v>
      </c>
      <c r="D114" s="789" t="n">
        <f aca="false">PGL_Requirements!AC7/1000</f>
        <v>0</v>
      </c>
      <c r="E114" s="789" t="n">
        <f aca="false">NSG_Requirements!AA7/1000</f>
        <v>0</v>
      </c>
      <c r="F114" s="789" t="n">
        <f aca="false">PGL_Requirements!AC7/1000</f>
        <v>0</v>
      </c>
      <c r="G114" s="789" t="n">
        <f aca="false">NSG_Requirements!AA7/1000</f>
        <v>0</v>
      </c>
      <c r="H114" s="790" t="n">
        <f aca="false">+B114</f>
        <v>0</v>
      </c>
      <c r="I114" s="791" t="n">
        <f aca="false">+C114</f>
        <v>0</v>
      </c>
    </row>
    <row r="115" customFormat="false" ht="15" hidden="false" customHeight="false" outlineLevel="0" collapsed="false">
      <c r="A115" s="238" t="s">
        <v>543</v>
      </c>
      <c r="B115" s="465" t="n">
        <v>0</v>
      </c>
      <c r="C115" s="465" t="n">
        <v>0</v>
      </c>
      <c r="D115" s="465" t="n">
        <v>0</v>
      </c>
      <c r="E115" s="465" t="n">
        <v>0</v>
      </c>
      <c r="F115" s="465" t="n">
        <v>0</v>
      </c>
      <c r="G115" s="465" t="n">
        <f aca="false">C115</f>
        <v>0</v>
      </c>
      <c r="H115" s="793" t="n">
        <f aca="false">B115</f>
        <v>0</v>
      </c>
      <c r="I115" s="794" t="n">
        <f aca="false">C115</f>
        <v>0</v>
      </c>
    </row>
    <row r="116" customFormat="false" ht="15" hidden="false" customHeight="false" outlineLevel="0" collapsed="false">
      <c r="A116" s="238" t="s">
        <v>418</v>
      </c>
      <c r="B116" s="795" t="n">
        <f aca="false">-PGL_Supplies!Z7/1000</f>
        <v>-40.2</v>
      </c>
      <c r="C116" s="795" t="n">
        <f aca="false">-NSG_Supplies!W7/1000</f>
        <v>-0</v>
      </c>
      <c r="D116" s="465" t="n">
        <f aca="false">-PGL_Supplies!Z7/1000</f>
        <v>-40.2</v>
      </c>
      <c r="E116" s="465" t="n">
        <f aca="false">-NSG_Supplies!W7/1000</f>
        <v>-0</v>
      </c>
      <c r="F116" s="465" t="n">
        <f aca="false">-PGL_Supplies!Z7/1000</f>
        <v>-40.2</v>
      </c>
      <c r="G116" s="465" t="n">
        <f aca="false">-NSG_Supplies!W7/1000</f>
        <v>-0</v>
      </c>
      <c r="H116" s="793" t="n">
        <f aca="false">-PGL_Supplies!Z7/1000</f>
        <v>-40.2</v>
      </c>
      <c r="I116" s="794" t="n">
        <f aca="false">-NSG_Supplies!W7/1000</f>
        <v>-0</v>
      </c>
    </row>
    <row r="117" customFormat="false" ht="15" hidden="false" customHeight="false" outlineLevel="0" collapsed="false">
      <c r="A117" s="238" t="s">
        <v>420</v>
      </c>
      <c r="B117" s="465" t="n">
        <f aca="false">-PGL_Supplies!AA7/1000</f>
        <v>-0</v>
      </c>
      <c r="C117" s="465" t="n">
        <f aca="false">-NSG_Supplies!X7/1000</f>
        <v>-0</v>
      </c>
      <c r="D117" s="465" t="n">
        <f aca="false">-PGL_Supplies!AA7/1000</f>
        <v>-0</v>
      </c>
      <c r="E117" s="465" t="n">
        <f aca="false">-NSG_Supplies!X7/1000</f>
        <v>-0</v>
      </c>
      <c r="F117" s="465" t="n">
        <f aca="false">-PGL_Supplies!AA7/1000</f>
        <v>-0</v>
      </c>
      <c r="G117" s="465" t="n">
        <f aca="false">-NSG_Supplies!X7/1000</f>
        <v>-0</v>
      </c>
      <c r="H117" s="793" t="n">
        <f aca="false">-PGL_Supplies!AA7/1000</f>
        <v>-0</v>
      </c>
      <c r="I117" s="794" t="n">
        <f aca="false">-NSG_Supplies!X7/1000</f>
        <v>-0</v>
      </c>
    </row>
    <row r="118" customFormat="false" ht="15.75" hidden="false" customHeight="false" outlineLevel="0" collapsed="false">
      <c r="A118" s="238" t="s">
        <v>348</v>
      </c>
      <c r="B118" s="797" t="n">
        <f aca="false">(PGL_Requirements!$Y$7+PGL_Requirements!$Z$7+PGL_Requirements!$AA$7)/1000+(NSG_Requirements!$V$7+NSG_Requirements!$W$7+NSG_Requirements!$X$7)/1000</f>
        <v>0</v>
      </c>
      <c r="C118" s="797" t="n">
        <f aca="false">-(PGL_Requirements!$Y$7+PGL_Requirements!$Z$7+PGL_Requirements!$AA$7)/1000+(NSG_Requirements!$V$7+NSG_Requirements!$W$7+NSG_Requirements!$X$7)/1000</f>
        <v>0</v>
      </c>
      <c r="D118" s="789" t="n">
        <f aca="false">+B118</f>
        <v>0</v>
      </c>
      <c r="E118" s="465" t="n">
        <f aca="false">+C118</f>
        <v>0</v>
      </c>
      <c r="F118" s="789" t="n">
        <f aca="false">+B118</f>
        <v>0</v>
      </c>
      <c r="G118" s="465" t="n">
        <f aca="false">+E118</f>
        <v>0</v>
      </c>
      <c r="H118" s="790" t="n">
        <f aca="false">+B118</f>
        <v>0</v>
      </c>
      <c r="I118" s="791" t="n">
        <f aca="false">+C118</f>
        <v>0</v>
      </c>
    </row>
    <row r="119" customFormat="false" ht="15" hidden="false" customHeight="false" outlineLevel="0" collapsed="false">
      <c r="A119" s="238" t="s">
        <v>351</v>
      </c>
      <c r="B119" s="465" t="n">
        <f aca="false">-PGL_Supplies!AN7/1000</f>
        <v>-0</v>
      </c>
      <c r="C119" s="465" t="n">
        <f aca="false">-NSG_Supplies!AD7/1000</f>
        <v>-0</v>
      </c>
      <c r="D119" s="465" t="n">
        <f aca="false">B119</f>
        <v>-0</v>
      </c>
      <c r="E119" s="465" t="n">
        <f aca="false">C119</f>
        <v>-0</v>
      </c>
      <c r="F119" s="465" t="n">
        <f aca="false">B119</f>
        <v>-0</v>
      </c>
      <c r="G119" s="465" t="n">
        <f aca="false">C119</f>
        <v>-0</v>
      </c>
      <c r="H119" s="793" t="n">
        <f aca="false">B119</f>
        <v>-0</v>
      </c>
      <c r="I119" s="794" t="n">
        <f aca="false">C119</f>
        <v>-0</v>
      </c>
    </row>
    <row r="120" customFormat="false" ht="15" hidden="false" customHeight="false" outlineLevel="0" collapsed="false">
      <c r="A120" s="238" t="s">
        <v>352</v>
      </c>
      <c r="B120" s="465" t="n">
        <f aca="false">-PGL_Supplies!AJ7/1000</f>
        <v>-0</v>
      </c>
      <c r="C120" s="465" t="n">
        <f aca="false">-NSG_Supplies!AE7/1000</f>
        <v>-0</v>
      </c>
      <c r="D120" s="465" t="n">
        <f aca="false">B120</f>
        <v>-0</v>
      </c>
      <c r="E120" s="465" t="n">
        <f aca="false">C120</f>
        <v>-0</v>
      </c>
      <c r="F120" s="465" t="n">
        <f aca="false">B120</f>
        <v>-0</v>
      </c>
      <c r="G120" s="465" t="n">
        <f aca="false">C120</f>
        <v>-0</v>
      </c>
      <c r="H120" s="793" t="n">
        <f aca="false">B120</f>
        <v>-0</v>
      </c>
      <c r="I120" s="794" t="n">
        <f aca="false">C120</f>
        <v>-0</v>
      </c>
    </row>
    <row r="121" customFormat="false" ht="15.75" hidden="false" customHeight="false" outlineLevel="0" collapsed="false">
      <c r="A121" s="238" t="s">
        <v>421</v>
      </c>
      <c r="B121" s="789" t="n">
        <f aca="false">PGL_Requirements!AD7/1000</f>
        <v>0</v>
      </c>
      <c r="C121" s="789" t="s">
        <v>1</v>
      </c>
      <c r="D121" s="789" t="n">
        <f aca="false">+B121</f>
        <v>0</v>
      </c>
      <c r="E121" s="253"/>
      <c r="F121" s="789" t="n">
        <f aca="false">+D121</f>
        <v>0</v>
      </c>
      <c r="G121" s="253"/>
      <c r="H121" s="790" t="n">
        <f aca="false">+B121</f>
        <v>0</v>
      </c>
      <c r="I121" s="791" t="str">
        <f aca="false">+C121</f>
        <v> </v>
      </c>
    </row>
    <row r="122" customFormat="false" ht="15.75" hidden="false" customHeight="false" outlineLevel="0" collapsed="false">
      <c r="A122" s="238" t="s">
        <v>544</v>
      </c>
      <c r="B122" s="789" t="n">
        <f aca="false">PGL_Requirements!Y7/1000</f>
        <v>0</v>
      </c>
      <c r="C122" s="789" t="n">
        <f aca="false">NSG_Requirements!U7/1000</f>
        <v>0</v>
      </c>
      <c r="D122" s="253"/>
      <c r="E122" s="253"/>
      <c r="F122" s="253"/>
      <c r="G122" s="253"/>
      <c r="H122" s="467"/>
      <c r="I122" s="799"/>
    </row>
    <row r="123" customFormat="false" ht="15" hidden="false" customHeight="false" outlineLevel="0" collapsed="false">
      <c r="A123" s="238" t="s">
        <v>545</v>
      </c>
      <c r="B123" s="465" t="n">
        <f aca="false">-PGL_Supplies!X7/1000</f>
        <v>-0</v>
      </c>
      <c r="C123" s="465" t="n">
        <f aca="false">-NSG_Supplies!S7/1000</f>
        <v>-18.848</v>
      </c>
      <c r="D123" s="253"/>
      <c r="E123" s="253"/>
      <c r="F123" s="253"/>
      <c r="G123" s="253"/>
      <c r="H123" s="467"/>
      <c r="I123" s="799"/>
    </row>
    <row r="124" customFormat="false" ht="16.5" hidden="false" customHeight="false" outlineLevel="0" collapsed="false">
      <c r="A124" s="299" t="s">
        <v>1</v>
      </c>
      <c r="B124" s="448" t="s">
        <v>1</v>
      </c>
      <c r="C124" s="449" t="s">
        <v>85</v>
      </c>
      <c r="D124" s="450"/>
      <c r="E124" s="451"/>
      <c r="F124" s="452" t="s">
        <v>355</v>
      </c>
      <c r="G124" s="452"/>
      <c r="H124" s="452"/>
      <c r="I124" s="452"/>
    </row>
    <row r="125" customFormat="false" ht="15" hidden="false" customHeight="false" outlineLevel="0" collapsed="false">
      <c r="A125" s="238" t="s">
        <v>423</v>
      </c>
      <c r="B125" s="465" t="n">
        <f aca="false">PGL_Requirements!U7/1000</f>
        <v>40.2</v>
      </c>
      <c r="F125" s="350" t="s">
        <v>1</v>
      </c>
      <c r="G125" s="537"/>
      <c r="H125" s="885"/>
      <c r="I125" s="457"/>
    </row>
    <row r="126" customFormat="false" ht="15" hidden="false" customHeight="false" outlineLevel="0" collapsed="false">
      <c r="A126" s="238" t="s">
        <v>546</v>
      </c>
      <c r="B126" s="239" t="n">
        <f aca="false">PGL_Supplies!R7/1000</f>
        <v>0</v>
      </c>
      <c r="C126" s="465" t="s">
        <v>1</v>
      </c>
      <c r="D126" s="253"/>
      <c r="E126" s="466"/>
      <c r="F126" s="238" t="s">
        <v>358</v>
      </c>
      <c r="G126" s="456"/>
      <c r="H126" s="342"/>
      <c r="I126" s="457"/>
    </row>
    <row r="127" customFormat="false" ht="15" hidden="false" customHeight="false" outlineLevel="0" collapsed="false">
      <c r="A127" s="238" t="s">
        <v>547</v>
      </c>
      <c r="B127" s="465" t="n">
        <f aca="false">PGL_Requirements!O7/1000</f>
        <v>0</v>
      </c>
      <c r="C127" s="465" t="s">
        <v>1</v>
      </c>
      <c r="D127" s="253"/>
      <c r="E127" s="466"/>
      <c r="F127" s="238" t="s">
        <v>362</v>
      </c>
      <c r="G127" s="456"/>
      <c r="H127" s="467"/>
      <c r="I127" s="457"/>
    </row>
    <row r="128" customFormat="false" ht="15" hidden="false" customHeight="false" outlineLevel="0" collapsed="false">
      <c r="A128" s="238" t="s">
        <v>417</v>
      </c>
      <c r="B128" s="465" t="n">
        <f aca="false">PGL_Requirements!I7/1000</f>
        <v>0</v>
      </c>
      <c r="C128" s="465" t="s">
        <v>1</v>
      </c>
      <c r="D128" s="253"/>
      <c r="E128" s="466"/>
      <c r="F128" s="238" t="s">
        <v>365</v>
      </c>
      <c r="G128" s="456"/>
      <c r="H128" s="467"/>
      <c r="I128" s="457"/>
    </row>
    <row r="129" customFormat="false" ht="15" hidden="false" customHeight="false" outlineLevel="0" collapsed="false">
      <c r="A129" s="238" t="s">
        <v>303</v>
      </c>
      <c r="B129" s="465" t="n">
        <f aca="false">PGL_Requirements!C7/1000</f>
        <v>0</v>
      </c>
      <c r="C129" s="253"/>
      <c r="D129" s="253"/>
      <c r="E129" s="466"/>
      <c r="F129" s="238" t="s">
        <v>368</v>
      </c>
      <c r="G129" s="456"/>
      <c r="H129" s="467"/>
      <c r="I129" s="457"/>
    </row>
    <row r="130" customFormat="false" ht="15" hidden="false" customHeight="false" outlineLevel="0" collapsed="false">
      <c r="A130" s="238" t="s">
        <v>306</v>
      </c>
      <c r="B130" s="465" t="n">
        <f aca="false">PGL_Requirements!AA7/1000</f>
        <v>0</v>
      </c>
      <c r="C130" s="310"/>
      <c r="D130" s="253"/>
      <c r="E130" s="466"/>
      <c r="F130" s="238" t="s">
        <v>370</v>
      </c>
      <c r="G130" s="456"/>
      <c r="H130" s="467"/>
      <c r="I130" s="457"/>
    </row>
    <row r="131" customFormat="false" ht="15" hidden="false" customHeight="false" outlineLevel="0" collapsed="false">
      <c r="A131" s="8" t="s">
        <v>164</v>
      </c>
      <c r="B131" s="239" t="n">
        <f aca="false">PGL_Supplies!Z7/1000</f>
        <v>40.2</v>
      </c>
      <c r="C131" s="253"/>
      <c r="D131" s="253"/>
      <c r="E131" s="466"/>
      <c r="F131" s="368" t="s">
        <v>373</v>
      </c>
      <c r="G131" s="456"/>
      <c r="H131" s="467"/>
      <c r="I131" s="457"/>
    </row>
    <row r="132" customFormat="false" ht="15.75" hidden="false" customHeight="false" outlineLevel="0" collapsed="false">
      <c r="A132" s="238" t="s">
        <v>468</v>
      </c>
      <c r="B132" s="239" t="n">
        <f aca="false">PGL_Supplies!U7/1000</f>
        <v>0</v>
      </c>
      <c r="C132" s="279"/>
      <c r="D132" s="279"/>
      <c r="E132" s="473"/>
      <c r="F132" s="238" t="s">
        <v>376</v>
      </c>
      <c r="G132" s="456"/>
      <c r="H132" s="467"/>
      <c r="I132" s="457"/>
    </row>
    <row r="133" customFormat="false" ht="16.5" hidden="false" customHeight="false" outlineLevel="0" collapsed="false">
      <c r="A133" s="289" t="s">
        <v>294</v>
      </c>
      <c r="B133" s="282" t="n">
        <f aca="false">B126+B127+B130+B131+B132-B125-B128-B129</f>
        <v>0</v>
      </c>
      <c r="C133" s="292"/>
      <c r="D133" s="292"/>
      <c r="E133" s="477"/>
      <c r="F133" s="238" t="s">
        <v>379</v>
      </c>
      <c r="G133" s="456"/>
      <c r="H133" s="467"/>
      <c r="I133" s="457"/>
    </row>
    <row r="134" customFormat="false" ht="15.75" hidden="false" customHeight="false" outlineLevel="0" collapsed="false">
      <c r="A134" s="337" t="s">
        <v>1</v>
      </c>
      <c r="B134" s="415" t="s">
        <v>1</v>
      </c>
      <c r="C134" s="886" t="s">
        <v>86</v>
      </c>
      <c r="D134" s="338"/>
      <c r="E134" s="338" t="s">
        <v>1</v>
      </c>
      <c r="F134" s="887" t="s">
        <v>382</v>
      </c>
      <c r="G134" s="540"/>
      <c r="H134" s="467"/>
      <c r="I134" s="457"/>
    </row>
    <row r="135" customFormat="false" ht="15" hidden="false" customHeight="false" outlineLevel="0" collapsed="false">
      <c r="A135" s="238" t="s">
        <v>417</v>
      </c>
      <c r="B135" s="888" t="n">
        <f aca="false">PGL_Requirements!J7</f>
        <v>0</v>
      </c>
      <c r="C135" s="240"/>
      <c r="D135" s="240"/>
      <c r="E135" s="240"/>
      <c r="F135" s="504" t="s">
        <v>354</v>
      </c>
      <c r="G135" s="540"/>
      <c r="H135" s="502"/>
      <c r="I135" s="457"/>
    </row>
    <row r="136" customFormat="false" ht="15" hidden="false" customHeight="false" outlineLevel="0" collapsed="false">
      <c r="A136" s="238" t="s">
        <v>548</v>
      </c>
      <c r="B136" s="239" t="n">
        <f aca="false">NSG_Supplies!O7/1011</f>
        <v>0</v>
      </c>
      <c r="C136" s="253"/>
      <c r="D136" s="253"/>
      <c r="E136" s="253"/>
      <c r="F136" s="238" t="s">
        <v>367</v>
      </c>
      <c r="G136" s="456"/>
      <c r="H136" s="428"/>
      <c r="I136" s="457"/>
    </row>
    <row r="137" customFormat="false" ht="15" hidden="false" customHeight="false" outlineLevel="0" collapsed="false">
      <c r="A137" s="238" t="s">
        <v>549</v>
      </c>
      <c r="B137" s="239" t="n">
        <f aca="false">PGL_Supplies!AA7/1000</f>
        <v>0</v>
      </c>
      <c r="C137" s="310"/>
      <c r="D137" s="253"/>
      <c r="E137" s="253"/>
      <c r="F137" s="238" t="s">
        <v>369</v>
      </c>
      <c r="G137" s="456"/>
      <c r="H137" s="467"/>
      <c r="I137" s="457"/>
    </row>
    <row r="138" customFormat="false" ht="15" hidden="false" customHeight="false" outlineLevel="0" collapsed="false">
      <c r="A138" s="238" t="s">
        <v>347</v>
      </c>
      <c r="B138" s="888" t="n">
        <f aca="false">PGL_Requirements!D7</f>
        <v>0</v>
      </c>
      <c r="C138" s="253"/>
      <c r="D138" s="253"/>
      <c r="E138" s="253"/>
      <c r="F138" s="238" t="s">
        <v>50</v>
      </c>
      <c r="G138" s="456"/>
      <c r="H138" s="428"/>
      <c r="I138" s="457"/>
    </row>
    <row r="139" customFormat="false" ht="15" hidden="false" customHeight="false" outlineLevel="0" collapsed="false">
      <c r="A139" s="238" t="s">
        <v>391</v>
      </c>
      <c r="B139" s="239" t="n">
        <f aca="false">PGL_Supplies!D7/1000</f>
        <v>0</v>
      </c>
      <c r="C139" s="253"/>
      <c r="D139" s="253"/>
      <c r="E139" s="253"/>
      <c r="F139" s="368" t="s">
        <v>375</v>
      </c>
      <c r="G139" s="522"/>
      <c r="H139" s="523"/>
      <c r="I139" s="457"/>
    </row>
    <row r="140" customFormat="false" ht="15.75" hidden="false" customHeight="false" outlineLevel="0" collapsed="false">
      <c r="A140" s="238" t="s">
        <v>468</v>
      </c>
      <c r="B140" s="239" t="n">
        <f aca="false">PGL_Supplies!V7/1000</f>
        <v>177.36</v>
      </c>
      <c r="C140" s="279"/>
      <c r="D140" s="279"/>
      <c r="E140" s="279"/>
      <c r="F140" s="368" t="s">
        <v>378</v>
      </c>
      <c r="G140" s="522"/>
      <c r="H140" s="391"/>
      <c r="I140" s="457"/>
    </row>
    <row r="141" customFormat="false" ht="16.5" hidden="false" customHeight="false" outlineLevel="0" collapsed="false">
      <c r="A141" s="289" t="s">
        <v>294</v>
      </c>
      <c r="B141" s="889" t="n">
        <f aca="false">-B135+B136+B137-B138+B139+B140</f>
        <v>177.36</v>
      </c>
      <c r="C141" s="351"/>
      <c r="D141" s="292"/>
      <c r="E141" s="325"/>
      <c r="F141" s="407" t="s">
        <v>381</v>
      </c>
      <c r="G141" s="525"/>
      <c r="H141" s="526"/>
      <c r="I141" s="457"/>
    </row>
    <row r="142" customFormat="false" ht="16.5" hidden="false" customHeight="false" outlineLevel="0" collapsed="false">
      <c r="A142" s="337" t="s">
        <v>1</v>
      </c>
      <c r="B142" s="301" t="s">
        <v>1</v>
      </c>
      <c r="C142" s="886" t="s">
        <v>74</v>
      </c>
      <c r="D142" s="338"/>
      <c r="E142" s="338"/>
      <c r="F142" s="528" t="s">
        <v>1</v>
      </c>
      <c r="G142" s="529" t="s">
        <v>392</v>
      </c>
      <c r="H142" s="530" t="s">
        <v>1</v>
      </c>
      <c r="I142" s="530"/>
    </row>
    <row r="143" customFormat="false" ht="15" hidden="false" customHeight="false" outlineLevel="0" collapsed="false">
      <c r="A143" s="238" t="s">
        <v>92</v>
      </c>
      <c r="B143" s="239" t="n">
        <f aca="false">PGL_Requirements!P7/1000</f>
        <v>150</v>
      </c>
      <c r="C143" s="253"/>
      <c r="D143" s="253"/>
      <c r="E143" s="253"/>
      <c r="F143" s="242" t="s">
        <v>281</v>
      </c>
      <c r="G143" s="531"/>
      <c r="H143" s="244" t="s">
        <v>1</v>
      </c>
      <c r="I143" s="532" t="n">
        <f aca="false">NSG_Supplies!AC7/1000</f>
        <v>0</v>
      </c>
    </row>
    <row r="144" customFormat="false" ht="15" hidden="false" customHeight="false" outlineLevel="0" collapsed="false">
      <c r="A144" s="238" t="s">
        <v>322</v>
      </c>
      <c r="B144" s="239" t="n">
        <f aca="false">PGL_Supplies!M7/1000</f>
        <v>0</v>
      </c>
      <c r="C144" s="253"/>
      <c r="D144" s="253"/>
      <c r="E144" s="253"/>
      <c r="F144" s="339" t="s">
        <v>286</v>
      </c>
      <c r="G144" s="253"/>
      <c r="H144" s="254" t="s">
        <v>1</v>
      </c>
      <c r="I144" s="532" t="n">
        <f aca="false">NSG_Supplies!O7/1000</f>
        <v>0</v>
      </c>
    </row>
    <row r="145" customFormat="false" ht="15.75" hidden="false" customHeight="false" outlineLevel="0" collapsed="false">
      <c r="A145" s="238" t="s">
        <v>324</v>
      </c>
      <c r="B145" s="239" t="n">
        <f aca="false">PGL_Requirements!B7/1000</f>
        <v>0</v>
      </c>
      <c r="C145" s="253"/>
      <c r="D145" s="253"/>
      <c r="E145" s="253"/>
      <c r="F145" s="265" t="s">
        <v>288</v>
      </c>
      <c r="G145" s="533"/>
      <c r="H145" s="267" t="s">
        <v>1</v>
      </c>
      <c r="I145" s="534"/>
    </row>
    <row r="146" customFormat="false" ht="15.75" hidden="false" customHeight="false" outlineLevel="0" collapsed="false">
      <c r="A146" s="238" t="s">
        <v>327</v>
      </c>
      <c r="B146" s="239" t="n">
        <f aca="false">PGL_Supplies!H7/1000</f>
        <v>1</v>
      </c>
      <c r="C146" s="253"/>
      <c r="D146" s="253"/>
      <c r="E146" s="253"/>
      <c r="F146" s="535" t="s">
        <v>292</v>
      </c>
      <c r="G146" s="292"/>
      <c r="H146" s="282" t="s">
        <v>1</v>
      </c>
      <c r="I146" s="890" t="e">
        <f aca="false">#REF!/1000</f>
        <v>#REF!</v>
      </c>
    </row>
    <row r="147" customFormat="false" ht="16.5" hidden="false" customHeight="false" outlineLevel="0" collapsed="false">
      <c r="A147" s="368" t="s">
        <v>341</v>
      </c>
      <c r="B147" s="239" t="s">
        <v>1</v>
      </c>
      <c r="C147" s="253"/>
      <c r="D147" s="253"/>
      <c r="E147" s="253"/>
      <c r="F147" s="458" t="s">
        <v>296</v>
      </c>
      <c r="G147" s="458"/>
      <c r="H147" s="458"/>
      <c r="I147" s="458"/>
    </row>
    <row r="148" customFormat="false" ht="15.75" hidden="false" customHeight="false" outlineLevel="0" collapsed="false">
      <c r="A148" s="238" t="s">
        <v>550</v>
      </c>
      <c r="B148" s="239" t="n">
        <f aca="false">PGL_Requirements!Q7/1000</f>
        <v>2.25</v>
      </c>
      <c r="C148" s="279"/>
      <c r="D148" s="279"/>
      <c r="E148" s="279"/>
      <c r="F148" s="350" t="s">
        <v>325</v>
      </c>
      <c r="G148" s="537"/>
      <c r="H148" s="891" t="s">
        <v>1</v>
      </c>
      <c r="I148" s="538" t="n">
        <f aca="false">+NSG_Supplies!Z7/1000</f>
        <v>0</v>
      </c>
    </row>
    <row r="149" customFormat="false" ht="16.5" hidden="false" customHeight="false" outlineLevel="0" collapsed="false">
      <c r="A149" s="289" t="s">
        <v>292</v>
      </c>
      <c r="B149" s="539" t="n">
        <f aca="false">B144+B146</f>
        <v>1</v>
      </c>
      <c r="C149" s="382"/>
      <c r="D149" s="382"/>
      <c r="E149" s="477"/>
      <c r="F149" s="238" t="s">
        <v>1</v>
      </c>
      <c r="G149" s="456"/>
      <c r="H149" s="892" t="s">
        <v>1</v>
      </c>
      <c r="I149" s="893" t="n">
        <f aca="false">NSG_Supplies!AA7/1000</f>
        <v>0</v>
      </c>
    </row>
    <row r="150" customFormat="false" ht="15.75" hidden="false" customHeight="false" outlineLevel="0" collapsed="false">
      <c r="A150" s="238" t="s">
        <v>337</v>
      </c>
      <c r="B150" s="894" t="n">
        <f aca="false">PGL_Deliveries!AE5</f>
        <v>0</v>
      </c>
      <c r="C150" s="385"/>
      <c r="D150" s="385"/>
      <c r="E150" s="542"/>
      <c r="F150" s="535" t="s">
        <v>292</v>
      </c>
      <c r="G150" s="292"/>
      <c r="H150" s="282" t="s">
        <v>1</v>
      </c>
      <c r="I150" s="890" t="e">
        <f aca="false">#REF!/1000</f>
        <v>#REF!</v>
      </c>
    </row>
    <row r="151" customFormat="false" ht="16.5" hidden="false" customHeight="false" outlineLevel="0" collapsed="false">
      <c r="A151" s="238" t="s">
        <v>339</v>
      </c>
      <c r="B151" s="894" t="n">
        <f aca="false">PGL_Deliveries!AG5</f>
        <v>0</v>
      </c>
      <c r="C151" s="835"/>
      <c r="D151" s="835"/>
      <c r="E151" s="835"/>
      <c r="F151" s="458" t="s">
        <v>359</v>
      </c>
      <c r="G151" s="458"/>
      <c r="H151" s="458"/>
      <c r="I151" s="458"/>
    </row>
    <row r="152" customFormat="false" ht="15.75" hidden="false" customHeight="false" outlineLevel="0" collapsed="false">
      <c r="A152" s="814" t="s">
        <v>1</v>
      </c>
      <c r="B152" s="815"/>
      <c r="C152" s="895" t="s">
        <v>42</v>
      </c>
      <c r="D152" s="816"/>
      <c r="E152" s="838" t="s">
        <v>1</v>
      </c>
      <c r="F152" s="350" t="s">
        <v>551</v>
      </c>
      <c r="G152" s="537"/>
      <c r="H152" s="576"/>
      <c r="I152" s="254" t="n">
        <f aca="false">PGL_Requirements!T7/1000</f>
        <v>0</v>
      </c>
    </row>
    <row r="153" customFormat="false" ht="15" hidden="false" customHeight="false" outlineLevel="0" collapsed="false">
      <c r="A153" s="238" t="s">
        <v>552</v>
      </c>
      <c r="B153" s="254" t="n">
        <f aca="false">PGL_Requirements!N7/1000</f>
        <v>0</v>
      </c>
      <c r="C153" s="253"/>
      <c r="D153" s="253"/>
      <c r="E153" s="839"/>
      <c r="F153" s="896" t="s">
        <v>363</v>
      </c>
      <c r="G153" s="540"/>
      <c r="H153" s="468"/>
      <c r="I153" s="254" t="n">
        <f aca="false">PGL_Requirements!T7/1000</f>
        <v>0</v>
      </c>
    </row>
    <row r="154" customFormat="false" ht="15" hidden="false" customHeight="false" outlineLevel="0" collapsed="false">
      <c r="A154" s="238" t="s">
        <v>295</v>
      </c>
      <c r="B154" s="239" t="n">
        <f aca="false">PGL_Supplies!AE7/1000</f>
        <v>0</v>
      </c>
      <c r="C154" s="303" t="s">
        <v>1</v>
      </c>
      <c r="D154" s="253"/>
      <c r="E154" s="551"/>
      <c r="F154" s="265" t="s">
        <v>366</v>
      </c>
      <c r="G154" s="456"/>
      <c r="H154" s="468"/>
      <c r="I154" s="239" t="n">
        <f aca="false">PGL_Supplies!AL7/1000</f>
        <v>0</v>
      </c>
    </row>
    <row r="155" customFormat="false" ht="15" hidden="false" customHeight="false" outlineLevel="0" collapsed="false">
      <c r="A155" s="238" t="s">
        <v>298</v>
      </c>
      <c r="B155" s="254" t="n">
        <f aca="false">PGL_Requirements!F7/1000</f>
        <v>0</v>
      </c>
      <c r="C155" s="303" t="s">
        <v>1</v>
      </c>
      <c r="D155" s="253"/>
      <c r="E155" s="551"/>
      <c r="F155" s="238" t="s">
        <v>164</v>
      </c>
      <c r="G155" s="545"/>
      <c r="H155" s="468"/>
      <c r="I155" s="239" t="n">
        <f aca="false">PGL_Supplies!AL8/1000</f>
        <v>0</v>
      </c>
    </row>
    <row r="156" customFormat="false" ht="15.75" hidden="false" customHeight="false" outlineLevel="0" collapsed="false">
      <c r="A156" s="238" t="s">
        <v>301</v>
      </c>
      <c r="B156" s="239" t="n">
        <f aca="false">PGL_Supplies!G7/1000</f>
        <v>0.1</v>
      </c>
      <c r="C156" s="845" t="s">
        <v>1</v>
      </c>
      <c r="D156" s="253"/>
      <c r="E156" s="551"/>
      <c r="F156" s="368" t="s">
        <v>468</v>
      </c>
      <c r="G156" s="545"/>
      <c r="H156" s="391"/>
      <c r="I156" s="239" t="n">
        <f aca="false">PGL_Supplies!AL9/1000</f>
        <v>0</v>
      </c>
    </row>
    <row r="157" customFormat="false" ht="15.75" hidden="false" customHeight="false" outlineLevel="0" collapsed="false">
      <c r="A157" s="238" t="s">
        <v>553</v>
      </c>
      <c r="B157" s="254" t="n">
        <f aca="false">PGL_Requirements!T7/1000</f>
        <v>0</v>
      </c>
      <c r="C157" s="303" t="s">
        <v>1</v>
      </c>
      <c r="D157" s="253"/>
      <c r="E157" s="551"/>
      <c r="F157" s="897" t="s">
        <v>554</v>
      </c>
      <c r="G157" s="898"/>
      <c r="H157" s="576"/>
      <c r="I157" s="899" t="n">
        <v>0</v>
      </c>
    </row>
    <row r="158" customFormat="false" ht="15.75" hidden="false" customHeight="false" outlineLevel="0" collapsed="false">
      <c r="A158" s="238" t="s">
        <v>555</v>
      </c>
      <c r="B158" s="239" t="n">
        <f aca="false">PGL_Supplies!P7/1000</f>
        <v>0</v>
      </c>
      <c r="C158" s="845" t="s">
        <v>1</v>
      </c>
      <c r="D158" s="253"/>
      <c r="E158" s="849"/>
      <c r="F158" s="900" t="s">
        <v>556</v>
      </c>
      <c r="G158" s="847"/>
      <c r="H158" s="901"/>
      <c r="I158" s="902" t="n">
        <v>0</v>
      </c>
    </row>
    <row r="159" customFormat="false" ht="16.5" hidden="false" customHeight="false" outlineLevel="0" collapsed="false">
      <c r="A159" s="238" t="s">
        <v>164</v>
      </c>
      <c r="B159" s="239" t="n">
        <f aca="false">PGL_Supplies!AD7/1000</f>
        <v>16.5</v>
      </c>
      <c r="C159" s="845" t="s">
        <v>1</v>
      </c>
      <c r="D159" s="253"/>
      <c r="E159" s="551"/>
      <c r="F159" s="903" t="s">
        <v>527</v>
      </c>
      <c r="G159" s="903"/>
      <c r="H159" s="903"/>
      <c r="I159" s="903"/>
    </row>
    <row r="160" customFormat="false" ht="15.75" hidden="false" customHeight="false" outlineLevel="0" collapsed="false">
      <c r="A160" s="238" t="s">
        <v>468</v>
      </c>
      <c r="B160" s="904" t="n">
        <f aca="false">PGL_Supplies!Y7/1000</f>
        <v>175.702</v>
      </c>
      <c r="C160" s="320" t="s">
        <v>1</v>
      </c>
      <c r="D160" s="279"/>
      <c r="E160" s="555"/>
      <c r="F160" s="333" t="s">
        <v>314</v>
      </c>
      <c r="G160" s="531" t="s">
        <v>1</v>
      </c>
      <c r="H160" s="385"/>
      <c r="I160" s="577"/>
    </row>
    <row r="161" customFormat="false" ht="16.5" hidden="false" customHeight="false" outlineLevel="0" collapsed="false">
      <c r="A161" s="905" t="s">
        <v>557</v>
      </c>
      <c r="B161" s="241"/>
      <c r="C161" s="906" t="s">
        <v>1</v>
      </c>
      <c r="D161" s="907"/>
      <c r="E161" s="461"/>
      <c r="F161" s="908" t="s">
        <v>317</v>
      </c>
      <c r="G161" s="279"/>
      <c r="H161" s="909"/>
      <c r="I161" s="910" t="s">
        <v>1</v>
      </c>
    </row>
    <row r="162" customFormat="false" ht="16.5" hidden="false" customHeight="false" outlineLevel="0" collapsed="false">
      <c r="A162" s="854" t="s">
        <v>292</v>
      </c>
      <c r="B162" s="911" t="n">
        <f aca="false">B154+B156+B158+B159+B160-B153-B155-B157-B161</f>
        <v>192.302</v>
      </c>
      <c r="C162" s="855"/>
      <c r="D162" s="496"/>
      <c r="E162" s="497"/>
      <c r="F162" s="912" t="s">
        <v>531</v>
      </c>
      <c r="G162" s="292"/>
      <c r="H162" s="382"/>
      <c r="I162" s="913"/>
    </row>
    <row r="163" customFormat="false" ht="12.75" hidden="false" customHeight="false" outlineLevel="0" collapsed="false">
      <c r="A163" s="914"/>
      <c r="B163" s="915" t="s">
        <v>406</v>
      </c>
      <c r="C163" s="915"/>
      <c r="D163" s="915" t="s">
        <v>407</v>
      </c>
      <c r="E163" s="915"/>
      <c r="F163" s="915"/>
      <c r="G163" s="915"/>
      <c r="H163" s="916" t="s">
        <v>274</v>
      </c>
      <c r="I163" s="917"/>
    </row>
    <row r="164" customFormat="false" ht="12.75" hidden="false" customHeight="false" outlineLevel="0" collapsed="false"/>
    <row r="167" customFormat="false" ht="12" hidden="false" customHeight="false" outlineLevel="0" collapsed="false">
      <c r="B167" s="240"/>
    </row>
    <row r="168" customFormat="false" ht="12" hidden="false" customHeight="false" outlineLevel="0" collapsed="false">
      <c r="B168" s="240"/>
      <c r="C168" s="240"/>
      <c r="D168" s="240"/>
      <c r="E168" s="240"/>
      <c r="F168" s="240"/>
      <c r="G168" s="240"/>
    </row>
    <row r="169" customFormat="false" ht="12" hidden="false" customHeight="false" outlineLevel="0" collapsed="false">
      <c r="B169" s="240"/>
      <c r="C169" s="240"/>
      <c r="D169" s="240"/>
      <c r="E169" s="240"/>
      <c r="F169" s="240"/>
      <c r="G169" s="240"/>
    </row>
    <row r="170" customFormat="false" ht="12" hidden="false" customHeight="false" outlineLevel="0" collapsed="false">
      <c r="B170" s="240"/>
      <c r="C170" s="240"/>
      <c r="D170" s="240"/>
      <c r="E170" s="240"/>
      <c r="F170" s="240"/>
      <c r="G170" s="240"/>
    </row>
    <row r="171" customFormat="false" ht="12" hidden="false" customHeight="false" outlineLevel="0" collapsed="false">
      <c r="B171" s="240"/>
      <c r="C171" s="240"/>
      <c r="D171" s="240"/>
      <c r="E171" s="240"/>
      <c r="F171" s="240"/>
      <c r="G171" s="240"/>
    </row>
    <row r="172" customFormat="false" ht="12" hidden="false" customHeight="false" outlineLevel="0" collapsed="false">
      <c r="B172" s="240"/>
      <c r="C172" s="240"/>
      <c r="D172" s="240"/>
      <c r="E172" s="240"/>
      <c r="F172" s="240"/>
      <c r="G172" s="240"/>
    </row>
    <row r="173" customFormat="false" ht="12" hidden="false" customHeight="false" outlineLevel="0" collapsed="false">
      <c r="B173" s="240"/>
      <c r="C173" s="240"/>
      <c r="D173" s="240"/>
      <c r="E173" s="240"/>
      <c r="F173" s="240"/>
      <c r="G173" s="240"/>
    </row>
    <row r="174" customFormat="false" ht="12" hidden="false" customHeight="false" outlineLevel="0" collapsed="false">
      <c r="B174" s="240"/>
      <c r="C174" s="240"/>
      <c r="D174" s="240"/>
      <c r="E174" s="240"/>
      <c r="F174" s="240"/>
      <c r="G174" s="240"/>
    </row>
    <row r="175" customFormat="false" ht="12" hidden="false" customHeight="false" outlineLevel="0" collapsed="false">
      <c r="B175" s="240"/>
      <c r="C175" s="240"/>
      <c r="D175" s="240"/>
      <c r="E175" s="240"/>
      <c r="F175" s="240"/>
      <c r="G175" s="240"/>
    </row>
    <row r="176" customFormat="false" ht="12" hidden="false" customHeight="false" outlineLevel="0" collapsed="false">
      <c r="B176" s="240"/>
      <c r="C176" s="240"/>
      <c r="D176" s="240"/>
      <c r="E176" s="240"/>
      <c r="F176" s="240"/>
      <c r="G176" s="240"/>
    </row>
    <row r="177" customFormat="false" ht="12" hidden="false" customHeight="false" outlineLevel="0" collapsed="false">
      <c r="B177" s="240"/>
      <c r="C177" s="240"/>
      <c r="D177" s="240"/>
      <c r="E177" s="240"/>
      <c r="F177" s="240"/>
      <c r="G177" s="240"/>
    </row>
    <row r="178" customFormat="false" ht="12" hidden="false" customHeight="false" outlineLevel="0" collapsed="false">
      <c r="B178" s="240"/>
      <c r="C178" s="240"/>
      <c r="D178" s="240"/>
      <c r="E178" s="240"/>
      <c r="F178" s="240"/>
      <c r="G178" s="240"/>
    </row>
    <row r="179" customFormat="false" ht="12" hidden="false" customHeight="false" outlineLevel="0" collapsed="false">
      <c r="B179" s="240"/>
      <c r="C179" s="240"/>
      <c r="D179" s="240"/>
      <c r="E179" s="240"/>
      <c r="F179" s="240"/>
      <c r="G179" s="240"/>
    </row>
    <row r="180" customFormat="false" ht="12" hidden="false" customHeight="false" outlineLevel="0" collapsed="false">
      <c r="B180" s="240"/>
      <c r="C180" s="240"/>
      <c r="D180" s="240"/>
      <c r="E180" s="240"/>
      <c r="G180" s="240"/>
    </row>
    <row r="181" customFormat="false" ht="12" hidden="false" customHeight="false" outlineLevel="0" collapsed="false">
      <c r="B181" s="240"/>
      <c r="C181" s="240"/>
      <c r="D181" s="240"/>
      <c r="E181" s="240"/>
      <c r="G181" s="240"/>
    </row>
    <row r="182" customFormat="false" ht="12" hidden="false" customHeight="false" outlineLevel="0" collapsed="false">
      <c r="B182" s="240"/>
      <c r="C182" s="240"/>
      <c r="D182" s="240"/>
      <c r="E182" s="240"/>
    </row>
    <row r="183" customFormat="false" ht="12" hidden="false" customHeight="false" outlineLevel="0" collapsed="false">
      <c r="B183" s="240"/>
      <c r="C183" s="240"/>
      <c r="D183" s="240"/>
      <c r="E183" s="240"/>
    </row>
    <row r="184" customFormat="false" ht="12" hidden="false" customHeight="false" outlineLevel="0" collapsed="false">
      <c r="B184" s="240"/>
      <c r="C184" s="240"/>
      <c r="D184" s="240"/>
      <c r="E184" s="240"/>
    </row>
    <row r="185" customFormat="false" ht="12" hidden="false" customHeight="false" outlineLevel="0" collapsed="false">
      <c r="B185" s="240"/>
      <c r="C185" s="240"/>
      <c r="D185" s="240"/>
      <c r="E185" s="240"/>
    </row>
    <row r="186" customFormat="false" ht="12" hidden="false" customHeight="false" outlineLevel="0" collapsed="false">
      <c r="B186" s="240"/>
      <c r="C186" s="240"/>
      <c r="D186" s="240"/>
      <c r="E186" s="240"/>
    </row>
    <row r="187" customFormat="false" ht="12" hidden="false" customHeight="false" outlineLevel="0" collapsed="false">
      <c r="B187" s="240"/>
      <c r="C187" s="240"/>
      <c r="D187" s="240"/>
      <c r="E187" s="240"/>
    </row>
    <row r="188" customFormat="false" ht="12" hidden="false" customHeight="false" outlineLevel="0" collapsed="false">
      <c r="B188" s="240"/>
      <c r="C188" s="240"/>
      <c r="D188" s="240"/>
      <c r="E188" s="240"/>
    </row>
    <row r="189" customFormat="false" ht="12" hidden="false" customHeight="false" outlineLevel="0" collapsed="false">
      <c r="B189" s="240"/>
      <c r="C189" s="240"/>
      <c r="D189" s="240"/>
      <c r="E189" s="240"/>
    </row>
    <row r="190" customFormat="false" ht="12" hidden="false" customHeight="false" outlineLevel="0" collapsed="false">
      <c r="B190" s="240"/>
      <c r="C190" s="240"/>
      <c r="D190" s="240"/>
      <c r="E190" s="240"/>
    </row>
    <row r="191" customFormat="false" ht="12" hidden="false" customHeight="false" outlineLevel="0" collapsed="false">
      <c r="B191" s="240"/>
      <c r="C191" s="240"/>
      <c r="D191" s="240"/>
      <c r="E191" s="240"/>
    </row>
    <row r="192" customFormat="false" ht="12" hidden="false" customHeight="false" outlineLevel="0" collapsed="false">
      <c r="B192" s="240"/>
      <c r="C192" s="240"/>
      <c r="D192" s="240"/>
      <c r="E192" s="240"/>
    </row>
    <row r="193" customFormat="false" ht="12" hidden="false" customHeight="false" outlineLevel="0" collapsed="false">
      <c r="B193" s="240"/>
      <c r="C193" s="240"/>
      <c r="D193" s="240"/>
      <c r="E193" s="240"/>
    </row>
    <row r="194" customFormat="false" ht="12" hidden="false" customHeight="false" outlineLevel="0" collapsed="false">
      <c r="B194" s="240"/>
      <c r="C194" s="240"/>
      <c r="D194" s="240"/>
      <c r="E194" s="240"/>
    </row>
    <row r="195" customFormat="false" ht="12" hidden="false" customHeight="false" outlineLevel="0" collapsed="false">
      <c r="B195" s="240"/>
      <c r="C195" s="240"/>
      <c r="D195" s="240"/>
      <c r="E195" s="240"/>
    </row>
    <row r="196" customFormat="false" ht="12" hidden="false" customHeight="false" outlineLevel="0" collapsed="false">
      <c r="B196" s="240"/>
      <c r="C196" s="240"/>
      <c r="D196" s="240"/>
      <c r="E196" s="240"/>
    </row>
    <row r="197" customFormat="false" ht="12" hidden="false" customHeight="false" outlineLevel="0" collapsed="false">
      <c r="B197" s="240"/>
      <c r="C197" s="240"/>
      <c r="D197" s="240"/>
      <c r="E197" s="240"/>
    </row>
    <row r="198" customFormat="false" ht="12" hidden="false" customHeight="false" outlineLevel="0" collapsed="false">
      <c r="B198" s="240"/>
      <c r="C198" s="240"/>
      <c r="D198" s="240"/>
      <c r="E198" s="240"/>
    </row>
    <row r="199" customFormat="false" ht="12" hidden="false" customHeight="false" outlineLevel="0" collapsed="false">
      <c r="B199" s="240"/>
      <c r="C199" s="240"/>
      <c r="D199" s="240"/>
      <c r="E199" s="240"/>
    </row>
    <row r="200" customFormat="false" ht="12" hidden="false" customHeight="false" outlineLevel="0" collapsed="false">
      <c r="B200" s="240"/>
      <c r="C200" s="240"/>
      <c r="D200" s="240"/>
      <c r="E200" s="240"/>
    </row>
    <row r="201" customFormat="false" ht="12" hidden="false" customHeight="false" outlineLevel="0" collapsed="false">
      <c r="B201" s="240"/>
      <c r="C201" s="240"/>
      <c r="D201" s="240"/>
      <c r="E201" s="240"/>
    </row>
    <row r="202" customFormat="false" ht="12" hidden="false" customHeight="false" outlineLevel="0" collapsed="false">
      <c r="B202" s="240"/>
      <c r="C202" s="240"/>
      <c r="D202" s="240"/>
      <c r="E202" s="240"/>
    </row>
    <row r="203" customFormat="false" ht="12" hidden="false" customHeight="false" outlineLevel="0" collapsed="false">
      <c r="B203" s="240"/>
      <c r="C203" s="240"/>
      <c r="D203" s="240"/>
      <c r="E203" s="240"/>
    </row>
    <row r="204" customFormat="false" ht="12" hidden="false" customHeight="false" outlineLevel="0" collapsed="false">
      <c r="B204" s="240"/>
      <c r="C204" s="240"/>
      <c r="D204" s="240"/>
      <c r="E204" s="240"/>
    </row>
    <row r="205" customFormat="false" ht="12" hidden="false" customHeight="false" outlineLevel="0" collapsed="false">
      <c r="B205" s="240"/>
      <c r="C205" s="240"/>
      <c r="D205" s="240"/>
      <c r="E205" s="240"/>
    </row>
    <row r="206" customFormat="false" ht="12" hidden="false" customHeight="false" outlineLevel="0" collapsed="false">
      <c r="B206" s="240"/>
      <c r="C206" s="240"/>
      <c r="D206" s="240"/>
      <c r="E206" s="240"/>
    </row>
    <row r="207" customFormat="false" ht="12" hidden="false" customHeight="false" outlineLevel="0" collapsed="false">
      <c r="B207" s="240"/>
      <c r="C207" s="240"/>
      <c r="D207" s="240"/>
      <c r="E207" s="240"/>
    </row>
    <row r="208" customFormat="false" ht="12" hidden="false" customHeight="false" outlineLevel="0" collapsed="false">
      <c r="B208" s="240"/>
      <c r="C208" s="240"/>
      <c r="D208" s="240"/>
      <c r="E208" s="240"/>
    </row>
    <row r="209" customFormat="false" ht="12" hidden="false" customHeight="false" outlineLevel="0" collapsed="false">
      <c r="B209" s="240"/>
      <c r="C209" s="240"/>
      <c r="D209" s="240"/>
      <c r="E209" s="240"/>
    </row>
    <row r="210" customFormat="false" ht="12" hidden="false" customHeight="false" outlineLevel="0" collapsed="false">
      <c r="B210" s="240"/>
      <c r="C210" s="240"/>
      <c r="D210" s="240"/>
      <c r="E210" s="240"/>
    </row>
    <row r="211" customFormat="false" ht="12" hidden="false" customHeight="false" outlineLevel="0" collapsed="false">
      <c r="B211" s="240"/>
      <c r="C211" s="240"/>
      <c r="D211" s="240"/>
      <c r="E211" s="240"/>
    </row>
    <row r="212" customFormat="false" ht="12" hidden="false" customHeight="false" outlineLevel="0" collapsed="false">
      <c r="B212" s="240"/>
      <c r="C212" s="240"/>
      <c r="D212" s="240"/>
      <c r="E212" s="240"/>
    </row>
    <row r="213" customFormat="false" ht="12" hidden="false" customHeight="false" outlineLevel="0" collapsed="false">
      <c r="B213" s="240"/>
      <c r="C213" s="240"/>
      <c r="D213" s="240"/>
      <c r="E213" s="240"/>
    </row>
    <row r="214" customFormat="false" ht="12" hidden="false" customHeight="false" outlineLevel="0" collapsed="false">
      <c r="B214" s="240"/>
      <c r="C214" s="240"/>
      <c r="D214" s="240"/>
      <c r="E214" s="240"/>
    </row>
    <row r="215" customFormat="false" ht="12" hidden="false" customHeight="false" outlineLevel="0" collapsed="false">
      <c r="B215" s="240"/>
      <c r="C215" s="240"/>
      <c r="D215" s="240"/>
      <c r="E215" s="240"/>
    </row>
    <row r="216" customFormat="false" ht="12" hidden="false" customHeight="false" outlineLevel="0" collapsed="false">
      <c r="B216" s="240"/>
      <c r="C216" s="240"/>
      <c r="D216" s="240"/>
      <c r="E216" s="240"/>
    </row>
    <row r="217" customFormat="false" ht="12" hidden="false" customHeight="false" outlineLevel="0" collapsed="false">
      <c r="B217" s="240"/>
      <c r="C217" s="240"/>
      <c r="D217" s="240"/>
      <c r="E217" s="240"/>
    </row>
    <row r="218" customFormat="false" ht="12" hidden="false" customHeight="false" outlineLevel="0" collapsed="false">
      <c r="B218" s="240"/>
      <c r="C218" s="240"/>
      <c r="D218" s="240"/>
      <c r="E218" s="240"/>
    </row>
    <row r="219" customFormat="false" ht="12" hidden="false" customHeight="false" outlineLevel="0" collapsed="false">
      <c r="B219" s="240"/>
      <c r="C219" s="240"/>
      <c r="D219" s="240"/>
      <c r="E219" s="240"/>
    </row>
    <row r="220" customFormat="false" ht="12" hidden="false" customHeight="false" outlineLevel="0" collapsed="false">
      <c r="B220" s="240"/>
      <c r="C220" s="240"/>
      <c r="D220" s="240"/>
      <c r="E220" s="240"/>
    </row>
    <row r="221" customFormat="false" ht="12" hidden="false" customHeight="false" outlineLevel="0" collapsed="false">
      <c r="B221" s="240"/>
      <c r="C221" s="240"/>
      <c r="D221" s="240"/>
      <c r="E221" s="240"/>
    </row>
    <row r="222" customFormat="false" ht="12" hidden="false" customHeight="false" outlineLevel="0" collapsed="false">
      <c r="B222" s="240"/>
      <c r="C222" s="240"/>
      <c r="D222" s="240"/>
      <c r="E222" s="240"/>
    </row>
    <row r="223" customFormat="false" ht="12" hidden="false" customHeight="false" outlineLevel="0" collapsed="false">
      <c r="B223" s="240"/>
      <c r="C223" s="240"/>
      <c r="D223" s="240"/>
      <c r="E223" s="240"/>
    </row>
    <row r="224" customFormat="false" ht="12" hidden="false" customHeight="false" outlineLevel="0" collapsed="false">
      <c r="B224" s="240"/>
      <c r="C224" s="240"/>
      <c r="D224" s="240"/>
      <c r="E224" s="240"/>
    </row>
    <row r="225" customFormat="false" ht="12" hidden="false" customHeight="false" outlineLevel="0" collapsed="false">
      <c r="B225" s="240"/>
      <c r="C225" s="240"/>
      <c r="D225" s="240"/>
      <c r="E225" s="240"/>
    </row>
    <row r="226" customFormat="false" ht="12" hidden="false" customHeight="false" outlineLevel="0" collapsed="false">
      <c r="B226" s="240"/>
      <c r="C226" s="240"/>
      <c r="D226" s="240"/>
      <c r="E226" s="240"/>
    </row>
    <row r="227" customFormat="false" ht="12" hidden="false" customHeight="false" outlineLevel="0" collapsed="false">
      <c r="B227" s="240"/>
      <c r="C227" s="240"/>
      <c r="D227" s="240"/>
      <c r="E227" s="240"/>
    </row>
    <row r="228" customFormat="false" ht="12" hidden="false" customHeight="false" outlineLevel="0" collapsed="false">
      <c r="B228" s="240"/>
      <c r="C228" s="240"/>
      <c r="D228" s="240"/>
      <c r="E228" s="240"/>
    </row>
    <row r="229" customFormat="false" ht="12" hidden="false" customHeight="false" outlineLevel="0" collapsed="false">
      <c r="B229" s="240"/>
      <c r="C229" s="240"/>
      <c r="D229" s="240"/>
      <c r="E229" s="240"/>
    </row>
    <row r="230" customFormat="false" ht="12" hidden="false" customHeight="false" outlineLevel="0" collapsed="false">
      <c r="B230" s="240"/>
      <c r="C230" s="240"/>
      <c r="D230" s="240"/>
      <c r="E230" s="240"/>
    </row>
    <row r="231" customFormat="false" ht="12" hidden="false" customHeight="false" outlineLevel="0" collapsed="false">
      <c r="B231" s="240"/>
      <c r="C231" s="240"/>
      <c r="D231" s="240"/>
      <c r="E231" s="240"/>
    </row>
    <row r="232" customFormat="false" ht="12" hidden="false" customHeight="false" outlineLevel="0" collapsed="false">
      <c r="B232" s="240"/>
      <c r="C232" s="240"/>
      <c r="D232" s="240"/>
      <c r="E232" s="240"/>
    </row>
    <row r="233" customFormat="false" ht="12" hidden="false" customHeight="false" outlineLevel="0" collapsed="false">
      <c r="B233" s="240"/>
      <c r="C233" s="240"/>
      <c r="D233" s="240"/>
      <c r="E233" s="240"/>
    </row>
    <row r="234" customFormat="false" ht="12" hidden="false" customHeight="false" outlineLevel="0" collapsed="false">
      <c r="B234" s="240"/>
      <c r="C234" s="240"/>
      <c r="D234" s="240"/>
      <c r="E234" s="240"/>
    </row>
    <row r="235" customFormat="false" ht="12" hidden="false" customHeight="false" outlineLevel="0" collapsed="false">
      <c r="B235" s="240"/>
      <c r="C235" s="240"/>
      <c r="D235" s="240"/>
      <c r="E235" s="240"/>
    </row>
    <row r="236" customFormat="false" ht="12" hidden="false" customHeight="false" outlineLevel="0" collapsed="false">
      <c r="B236" s="240"/>
      <c r="C236" s="240"/>
      <c r="D236" s="240"/>
      <c r="E236" s="240"/>
    </row>
    <row r="237" customFormat="false" ht="12" hidden="false" customHeight="false" outlineLevel="0" collapsed="false">
      <c r="B237" s="240"/>
      <c r="C237" s="240"/>
      <c r="D237" s="240"/>
      <c r="E237" s="240"/>
    </row>
    <row r="238" customFormat="false" ht="12" hidden="false" customHeight="false" outlineLevel="0" collapsed="false">
      <c r="C238" s="240"/>
      <c r="D238" s="240"/>
      <c r="E238" s="240"/>
    </row>
    <row r="239" customFormat="false" ht="12" hidden="false" customHeight="false" outlineLevel="0" collapsed="false">
      <c r="C239" s="240"/>
      <c r="D239" s="240"/>
      <c r="E239" s="240"/>
    </row>
    <row r="240" customFormat="false" ht="12" hidden="false" customHeight="false" outlineLevel="0" collapsed="false">
      <c r="C240" s="240"/>
      <c r="D240" s="240"/>
      <c r="E240" s="240"/>
    </row>
    <row r="241" customFormat="false" ht="12" hidden="false" customHeight="false" outlineLevel="0" collapsed="false">
      <c r="C241" s="240"/>
      <c r="D241" s="240"/>
      <c r="E241" s="240"/>
    </row>
    <row r="242" customFormat="false" ht="12" hidden="false" customHeight="false" outlineLevel="0" collapsed="false">
      <c r="C242" s="240"/>
      <c r="D242" s="240"/>
      <c r="E242" s="240"/>
    </row>
    <row r="243" customFormat="false" ht="12" hidden="false" customHeight="false" outlineLevel="0" collapsed="false">
      <c r="C243" s="240"/>
      <c r="D243" s="240"/>
      <c r="E243" s="240"/>
    </row>
    <row r="244" customFormat="false" ht="12" hidden="false" customHeight="false" outlineLevel="0" collapsed="false">
      <c r="C244" s="240"/>
      <c r="D244" s="240"/>
      <c r="E244" s="240"/>
    </row>
    <row r="245" customFormat="false" ht="12" hidden="false" customHeight="false" outlineLevel="0" collapsed="false">
      <c r="C245" s="240"/>
      <c r="D245" s="240"/>
      <c r="E245" s="240"/>
    </row>
    <row r="246" customFormat="false" ht="12" hidden="false" customHeight="false" outlineLevel="0" collapsed="false">
      <c r="C246" s="240"/>
      <c r="D246" s="240"/>
      <c r="E246" s="240"/>
    </row>
    <row r="247" customFormat="false" ht="12" hidden="false" customHeight="false" outlineLevel="0" collapsed="false">
      <c r="C247" s="240"/>
      <c r="D247" s="240"/>
      <c r="E247" s="240"/>
    </row>
    <row r="248" customFormat="false" ht="12" hidden="false" customHeight="false" outlineLevel="0" collapsed="false">
      <c r="C248" s="240"/>
      <c r="D248" s="240"/>
      <c r="E248" s="240"/>
    </row>
    <row r="249" customFormat="false" ht="12" hidden="false" customHeight="false" outlineLevel="0" collapsed="false">
      <c r="C249" s="240"/>
      <c r="D249" s="240"/>
      <c r="E249" s="240"/>
    </row>
    <row r="250" customFormat="false" ht="12" hidden="false" customHeight="false" outlineLevel="0" collapsed="false">
      <c r="C250" s="240"/>
      <c r="D250" s="240"/>
      <c r="E250" s="240"/>
    </row>
    <row r="251" customFormat="false" ht="12" hidden="false" customHeight="false" outlineLevel="0" collapsed="false">
      <c r="C251" s="240"/>
      <c r="D251" s="240"/>
      <c r="E251" s="240"/>
    </row>
    <row r="252" customFormat="false" ht="12" hidden="false" customHeight="false" outlineLevel="0" collapsed="false">
      <c r="C252" s="240"/>
      <c r="D252" s="240"/>
      <c r="E252" s="240"/>
    </row>
    <row r="253" customFormat="false" ht="12" hidden="false" customHeight="false" outlineLevel="0" collapsed="false">
      <c r="C253" s="240"/>
      <c r="D253" s="240"/>
      <c r="E253" s="240"/>
    </row>
    <row r="254" customFormat="false" ht="12" hidden="false" customHeight="false" outlineLevel="0" collapsed="false">
      <c r="C254" s="240"/>
      <c r="D254" s="240"/>
      <c r="E254" s="240"/>
    </row>
    <row r="255" customFormat="false" ht="12" hidden="false" customHeight="false" outlineLevel="0" collapsed="false">
      <c r="C255" s="240"/>
      <c r="D255" s="240"/>
      <c r="E255" s="240"/>
    </row>
    <row r="256" customFormat="false" ht="12" hidden="false" customHeight="false" outlineLevel="0" collapsed="false">
      <c r="C256" s="240"/>
      <c r="D256" s="240"/>
      <c r="E256" s="240"/>
    </row>
    <row r="257" customFormat="false" ht="12" hidden="false" customHeight="false" outlineLevel="0" collapsed="false">
      <c r="C257" s="240"/>
      <c r="D257" s="240"/>
      <c r="E257" s="240"/>
    </row>
    <row r="258" customFormat="false" ht="12" hidden="false" customHeight="false" outlineLevel="0" collapsed="false">
      <c r="C258" s="240"/>
      <c r="D258" s="240"/>
      <c r="E258" s="240"/>
    </row>
    <row r="259" customFormat="false" ht="12" hidden="false" customHeight="false" outlineLevel="0" collapsed="false">
      <c r="C259" s="240"/>
      <c r="D259" s="240"/>
      <c r="E259" s="240"/>
    </row>
    <row r="260" customFormat="false" ht="12" hidden="false" customHeight="false" outlineLevel="0" collapsed="false">
      <c r="C260" s="240"/>
      <c r="D260" s="240"/>
      <c r="E260" s="240"/>
    </row>
    <row r="261" customFormat="false" ht="12" hidden="false" customHeight="false" outlineLevel="0" collapsed="false">
      <c r="C261" s="240"/>
      <c r="D261" s="240"/>
      <c r="E261" s="240"/>
    </row>
    <row r="262" customFormat="false" ht="12" hidden="false" customHeight="false" outlineLevel="0" collapsed="false">
      <c r="C262" s="240"/>
      <c r="D262" s="240"/>
      <c r="E262" s="240"/>
    </row>
    <row r="263" customFormat="false" ht="12" hidden="false" customHeight="false" outlineLevel="0" collapsed="false">
      <c r="C263" s="240"/>
      <c r="D263" s="240"/>
      <c r="E263" s="240"/>
    </row>
    <row r="264" customFormat="false" ht="12" hidden="false" customHeight="false" outlineLevel="0" collapsed="false">
      <c r="C264" s="240"/>
      <c r="D264" s="240"/>
      <c r="E264" s="240"/>
    </row>
    <row r="265" customFormat="false" ht="12" hidden="false" customHeight="false" outlineLevel="0" collapsed="false">
      <c r="C265" s="240"/>
      <c r="D265" s="240"/>
      <c r="E265" s="240"/>
    </row>
    <row r="266" customFormat="false" ht="12" hidden="false" customHeight="false" outlineLevel="0" collapsed="false">
      <c r="C266" s="240"/>
      <c r="D266" s="240"/>
      <c r="E266" s="240"/>
    </row>
    <row r="267" customFormat="false" ht="12" hidden="false" customHeight="false" outlineLevel="0" collapsed="false">
      <c r="C267" s="240"/>
      <c r="D267" s="240"/>
      <c r="E267" s="240"/>
    </row>
    <row r="268" customFormat="false" ht="12" hidden="false" customHeight="false" outlineLevel="0" collapsed="false">
      <c r="C268" s="240"/>
      <c r="D268" s="240"/>
      <c r="E268" s="240"/>
    </row>
    <row r="269" customFormat="false" ht="12" hidden="false" customHeight="false" outlineLevel="0" collapsed="false">
      <c r="C269" s="240"/>
      <c r="D269" s="240"/>
      <c r="E269" s="240"/>
    </row>
    <row r="270" customFormat="false" ht="12" hidden="false" customHeight="false" outlineLevel="0" collapsed="false">
      <c r="C270" s="240"/>
      <c r="D270" s="240"/>
      <c r="E270" s="240"/>
    </row>
    <row r="271" customFormat="false" ht="12" hidden="false" customHeight="false" outlineLevel="0" collapsed="false">
      <c r="C271" s="240"/>
      <c r="D271" s="240"/>
      <c r="E271" s="240"/>
    </row>
    <row r="272" customFormat="false" ht="12" hidden="false" customHeight="false" outlineLevel="0" collapsed="false">
      <c r="C272" s="240"/>
      <c r="D272" s="240"/>
      <c r="E272" s="240"/>
    </row>
    <row r="273" customFormat="false" ht="12" hidden="false" customHeight="false" outlineLevel="0" collapsed="false">
      <c r="C273" s="240"/>
      <c r="D273" s="240"/>
      <c r="E273" s="240"/>
    </row>
    <row r="274" customFormat="false" ht="12" hidden="false" customHeight="false" outlineLevel="0" collapsed="false">
      <c r="C274" s="240"/>
      <c r="D274" s="240"/>
      <c r="E274" s="240"/>
    </row>
    <row r="275" customFormat="false" ht="12" hidden="false" customHeight="false" outlineLevel="0" collapsed="false">
      <c r="C275" s="240"/>
      <c r="D275" s="240"/>
      <c r="E275" s="240"/>
    </row>
    <row r="276" customFormat="false" ht="12" hidden="false" customHeight="false" outlineLevel="0" collapsed="false">
      <c r="C276" s="240"/>
      <c r="D276" s="240"/>
      <c r="E276" s="240"/>
    </row>
    <row r="277" customFormat="false" ht="12" hidden="false" customHeight="false" outlineLevel="0" collapsed="false">
      <c r="C277" s="240"/>
      <c r="D277" s="240"/>
      <c r="E277" s="240"/>
    </row>
    <row r="278" customFormat="false" ht="12" hidden="false" customHeight="false" outlineLevel="0" collapsed="false">
      <c r="C278" s="240"/>
      <c r="D278" s="240"/>
      <c r="E278" s="240"/>
    </row>
    <row r="279" customFormat="false" ht="12" hidden="false" customHeight="false" outlineLevel="0" collapsed="false">
      <c r="C279" s="240"/>
      <c r="D279" s="240"/>
      <c r="E279" s="240"/>
    </row>
    <row r="280" customFormat="false" ht="12" hidden="false" customHeight="false" outlineLevel="0" collapsed="false">
      <c r="C280" s="240"/>
      <c r="D280" s="240"/>
      <c r="E280" s="240"/>
    </row>
    <row r="281" customFormat="false" ht="12" hidden="false" customHeight="false" outlineLevel="0" collapsed="false">
      <c r="C281" s="240"/>
      <c r="D281" s="240"/>
      <c r="E281" s="240"/>
    </row>
    <row r="282" customFormat="false" ht="12" hidden="false" customHeight="false" outlineLevel="0" collapsed="false">
      <c r="C282" s="240"/>
      <c r="D282" s="240"/>
      <c r="E282" s="240"/>
    </row>
    <row r="283" customFormat="false" ht="12" hidden="false" customHeight="false" outlineLevel="0" collapsed="false">
      <c r="C283" s="240"/>
      <c r="D283" s="240"/>
      <c r="E283" s="240"/>
    </row>
    <row r="284" customFormat="false" ht="12" hidden="false" customHeight="false" outlineLevel="0" collapsed="false">
      <c r="C284" s="240"/>
      <c r="D284" s="240"/>
    </row>
    <row r="285" customFormat="false" ht="12" hidden="false" customHeight="false" outlineLevel="0" collapsed="false">
      <c r="C285" s="240"/>
      <c r="D285" s="240"/>
    </row>
    <row r="286" customFormat="false" ht="12" hidden="false" customHeight="false" outlineLevel="0" collapsed="false">
      <c r="C286" s="240"/>
      <c r="D286" s="240"/>
    </row>
    <row r="287" customFormat="false" ht="12" hidden="false" customHeight="false" outlineLevel="0" collapsed="false">
      <c r="C287" s="240"/>
      <c r="D287" s="240"/>
    </row>
    <row r="288" customFormat="false" ht="12" hidden="false" customHeight="false" outlineLevel="0" collapsed="false">
      <c r="C288" s="240"/>
      <c r="D288" s="240"/>
    </row>
    <row r="289" customFormat="false" ht="12" hidden="false" customHeight="false" outlineLevel="0" collapsed="false">
      <c r="C289" s="240"/>
      <c r="D289" s="240"/>
    </row>
    <row r="290" customFormat="false" ht="12" hidden="false" customHeight="false" outlineLevel="0" collapsed="false">
      <c r="C290" s="240"/>
      <c r="D290" s="240"/>
    </row>
    <row r="291" customFormat="false" ht="12" hidden="false" customHeight="false" outlineLevel="0" collapsed="false">
      <c r="C291" s="240"/>
      <c r="D291" s="240"/>
    </row>
    <row r="292" customFormat="false" ht="12" hidden="false" customHeight="false" outlineLevel="0" collapsed="false">
      <c r="C292" s="240"/>
      <c r="D292" s="240"/>
    </row>
    <row r="293" customFormat="false" ht="12" hidden="false" customHeight="false" outlineLevel="0" collapsed="false">
      <c r="C293" s="240"/>
      <c r="D293" s="240"/>
    </row>
    <row r="294" customFormat="false" ht="12" hidden="false" customHeight="false" outlineLevel="0" collapsed="false">
      <c r="C294" s="240"/>
      <c r="D294" s="240"/>
    </row>
    <row r="295" customFormat="false" ht="12" hidden="false" customHeight="false" outlineLevel="0" collapsed="false">
      <c r="C295" s="240"/>
      <c r="D295" s="240"/>
    </row>
    <row r="296" customFormat="false" ht="12" hidden="false" customHeight="false" outlineLevel="0" collapsed="false">
      <c r="C296" s="240"/>
      <c r="D296" s="240"/>
    </row>
    <row r="297" customFormat="false" ht="12" hidden="false" customHeight="false" outlineLevel="0" collapsed="false">
      <c r="C297" s="240"/>
      <c r="D297" s="240"/>
    </row>
    <row r="298" customFormat="false" ht="12" hidden="false" customHeight="false" outlineLevel="0" collapsed="false">
      <c r="C298" s="240"/>
      <c r="D298" s="240"/>
    </row>
    <row r="299" customFormat="false" ht="12" hidden="false" customHeight="false" outlineLevel="0" collapsed="false">
      <c r="C299" s="240"/>
      <c r="D299" s="240"/>
    </row>
    <row r="300" customFormat="false" ht="12" hidden="false" customHeight="false" outlineLevel="0" collapsed="false">
      <c r="C300" s="240"/>
      <c r="D300" s="240"/>
    </row>
    <row r="301" customFormat="false" ht="12" hidden="false" customHeight="false" outlineLevel="0" collapsed="false">
      <c r="C301" s="240"/>
      <c r="D301" s="240"/>
    </row>
    <row r="302" customFormat="false" ht="12" hidden="false" customHeight="false" outlineLevel="0" collapsed="false">
      <c r="C302" s="240"/>
      <c r="D302" s="240"/>
    </row>
    <row r="303" customFormat="false" ht="12" hidden="false" customHeight="false" outlineLevel="0" collapsed="false">
      <c r="C303" s="240"/>
      <c r="D303" s="240"/>
    </row>
    <row r="304" customFormat="false" ht="12" hidden="false" customHeight="false" outlineLevel="0" collapsed="false">
      <c r="C304" s="240"/>
      <c r="D304" s="240"/>
    </row>
    <row r="305" customFormat="false" ht="12" hidden="false" customHeight="false" outlineLevel="0" collapsed="false">
      <c r="C305" s="240"/>
      <c r="D305" s="240"/>
    </row>
    <row r="306" customFormat="false" ht="12" hidden="false" customHeight="false" outlineLevel="0" collapsed="false">
      <c r="C306" s="240"/>
      <c r="D306" s="240"/>
    </row>
    <row r="307" customFormat="false" ht="12" hidden="false" customHeight="false" outlineLevel="0" collapsed="false">
      <c r="C307" s="240"/>
      <c r="D307" s="240"/>
    </row>
    <row r="308" customFormat="false" ht="12" hidden="false" customHeight="false" outlineLevel="0" collapsed="false">
      <c r="C308" s="240"/>
      <c r="D308" s="240"/>
    </row>
    <row r="309" customFormat="false" ht="12" hidden="false" customHeight="false" outlineLevel="0" collapsed="false">
      <c r="C309" s="240"/>
      <c r="D309" s="240"/>
    </row>
    <row r="310" customFormat="false" ht="12" hidden="false" customHeight="false" outlineLevel="0" collapsed="false">
      <c r="C310" s="240"/>
      <c r="D310" s="240"/>
    </row>
    <row r="311" customFormat="false" ht="12" hidden="false" customHeight="false" outlineLevel="0" collapsed="false">
      <c r="C311" s="240"/>
      <c r="D311" s="240"/>
    </row>
    <row r="312" customFormat="false" ht="12" hidden="false" customHeight="false" outlineLevel="0" collapsed="false">
      <c r="C312" s="240"/>
      <c r="D312" s="240"/>
    </row>
    <row r="313" customFormat="false" ht="12" hidden="false" customHeight="false" outlineLevel="0" collapsed="false">
      <c r="C313" s="240"/>
      <c r="D313" s="240"/>
    </row>
    <row r="314" customFormat="false" ht="12" hidden="false" customHeight="false" outlineLevel="0" collapsed="false">
      <c r="C314" s="240"/>
      <c r="D314" s="240"/>
    </row>
    <row r="315" customFormat="false" ht="12" hidden="false" customHeight="false" outlineLevel="0" collapsed="false">
      <c r="C315" s="240"/>
      <c r="D315" s="240"/>
    </row>
    <row r="316" customFormat="false" ht="12" hidden="false" customHeight="false" outlineLevel="0" collapsed="false">
      <c r="C316" s="240"/>
      <c r="D316" s="240"/>
    </row>
    <row r="317" customFormat="false" ht="12" hidden="false" customHeight="false" outlineLevel="0" collapsed="false">
      <c r="C317" s="240"/>
      <c r="D317" s="240"/>
    </row>
    <row r="318" customFormat="false" ht="12" hidden="false" customHeight="false" outlineLevel="0" collapsed="false">
      <c r="C318" s="240"/>
      <c r="D318" s="240"/>
    </row>
    <row r="319" customFormat="false" ht="12" hidden="false" customHeight="false" outlineLevel="0" collapsed="false">
      <c r="C319" s="240"/>
      <c r="D319" s="240"/>
    </row>
    <row r="320" customFormat="false" ht="12" hidden="false" customHeight="false" outlineLevel="0" collapsed="false">
      <c r="C320" s="240"/>
      <c r="D320" s="240"/>
    </row>
    <row r="321" customFormat="false" ht="12" hidden="false" customHeight="false" outlineLevel="0" collapsed="false">
      <c r="C321" s="240"/>
      <c r="D321" s="240"/>
    </row>
    <row r="322" customFormat="false" ht="12" hidden="false" customHeight="false" outlineLevel="0" collapsed="false">
      <c r="C322" s="240"/>
      <c r="D322" s="240"/>
    </row>
    <row r="323" customFormat="false" ht="12" hidden="false" customHeight="false" outlineLevel="0" collapsed="false">
      <c r="C323" s="240"/>
      <c r="D323" s="240"/>
    </row>
    <row r="324" customFormat="false" ht="12" hidden="false" customHeight="false" outlineLevel="0" collapsed="false">
      <c r="C324" s="240"/>
      <c r="D324" s="240"/>
    </row>
    <row r="325" customFormat="false" ht="12" hidden="false" customHeight="false" outlineLevel="0" collapsed="false">
      <c r="C325" s="240"/>
      <c r="D325" s="240"/>
    </row>
    <row r="326" customFormat="false" ht="12" hidden="false" customHeight="false" outlineLevel="0" collapsed="false">
      <c r="C326" s="240"/>
      <c r="D326" s="240"/>
    </row>
    <row r="327" customFormat="false" ht="12" hidden="false" customHeight="false" outlineLevel="0" collapsed="false">
      <c r="C327" s="240"/>
      <c r="D327" s="240"/>
    </row>
    <row r="328" customFormat="false" ht="12" hidden="false" customHeight="false" outlineLevel="0" collapsed="false">
      <c r="C328" s="240"/>
      <c r="D328" s="240"/>
    </row>
    <row r="329" customFormat="false" ht="12" hidden="false" customHeight="false" outlineLevel="0" collapsed="false">
      <c r="C329" s="240"/>
      <c r="D329" s="240"/>
    </row>
    <row r="330" customFormat="false" ht="12" hidden="false" customHeight="false" outlineLevel="0" collapsed="false">
      <c r="C330" s="240"/>
      <c r="D330" s="240"/>
    </row>
    <row r="331" customFormat="false" ht="12" hidden="false" customHeight="false" outlineLevel="0" collapsed="false">
      <c r="C331" s="240"/>
      <c r="D331" s="240"/>
    </row>
    <row r="332" customFormat="false" ht="12" hidden="false" customHeight="false" outlineLevel="0" collapsed="false">
      <c r="C332" s="240"/>
      <c r="D332" s="240"/>
    </row>
    <row r="333" customFormat="false" ht="12" hidden="false" customHeight="false" outlineLevel="0" collapsed="false">
      <c r="C333" s="240"/>
      <c r="D333" s="240"/>
    </row>
    <row r="334" customFormat="false" ht="12" hidden="false" customHeight="false" outlineLevel="0" collapsed="false">
      <c r="C334" s="240"/>
      <c r="D334" s="240"/>
    </row>
    <row r="335" customFormat="false" ht="12" hidden="false" customHeight="false" outlineLevel="0" collapsed="false">
      <c r="C335" s="240"/>
      <c r="D335" s="240"/>
    </row>
    <row r="336" customFormat="false" ht="12" hidden="false" customHeight="false" outlineLevel="0" collapsed="false">
      <c r="C336" s="240"/>
      <c r="D336" s="240"/>
    </row>
    <row r="337" customFormat="false" ht="12" hidden="false" customHeight="false" outlineLevel="0" collapsed="false">
      <c r="C337" s="240"/>
      <c r="D337" s="240"/>
    </row>
    <row r="338" customFormat="false" ht="12" hidden="false" customHeight="false" outlineLevel="0" collapsed="false">
      <c r="C338" s="240"/>
      <c r="D338" s="240"/>
    </row>
    <row r="339" customFormat="false" ht="12" hidden="false" customHeight="false" outlineLevel="0" collapsed="false">
      <c r="C339" s="240"/>
      <c r="D339" s="240"/>
    </row>
    <row r="340" customFormat="false" ht="12" hidden="false" customHeight="false" outlineLevel="0" collapsed="false">
      <c r="C340" s="240"/>
      <c r="D340" s="240"/>
    </row>
    <row r="341" customFormat="false" ht="12" hidden="false" customHeight="false" outlineLevel="0" collapsed="false">
      <c r="C341" s="240"/>
      <c r="D341" s="240"/>
    </row>
    <row r="342" customFormat="false" ht="12" hidden="false" customHeight="false" outlineLevel="0" collapsed="false">
      <c r="C342" s="240"/>
      <c r="D342" s="240"/>
    </row>
    <row r="343" customFormat="false" ht="12" hidden="false" customHeight="false" outlineLevel="0" collapsed="false">
      <c r="C343" s="240"/>
      <c r="D343" s="240"/>
    </row>
    <row r="344" customFormat="false" ht="12" hidden="false" customHeight="false" outlineLevel="0" collapsed="false">
      <c r="C344" s="240"/>
      <c r="D344" s="240"/>
    </row>
    <row r="345" customFormat="false" ht="12" hidden="false" customHeight="false" outlineLevel="0" collapsed="false">
      <c r="C345" s="240"/>
      <c r="D345" s="240"/>
    </row>
    <row r="346" customFormat="false" ht="12" hidden="false" customHeight="false" outlineLevel="0" collapsed="false">
      <c r="C346" s="240"/>
      <c r="D346" s="240"/>
    </row>
    <row r="347" customFormat="false" ht="12" hidden="false" customHeight="false" outlineLevel="0" collapsed="false">
      <c r="C347" s="240"/>
      <c r="D347" s="240"/>
    </row>
    <row r="348" customFormat="false" ht="12" hidden="false" customHeight="false" outlineLevel="0" collapsed="false">
      <c r="C348" s="240"/>
      <c r="D348" s="240"/>
    </row>
    <row r="349" customFormat="false" ht="12" hidden="false" customHeight="false" outlineLevel="0" collapsed="false">
      <c r="C349" s="240"/>
      <c r="D349" s="240"/>
    </row>
    <row r="350" customFormat="false" ht="12" hidden="false" customHeight="false" outlineLevel="0" collapsed="false">
      <c r="C350" s="240"/>
      <c r="D350" s="240"/>
    </row>
    <row r="351" customFormat="false" ht="12" hidden="false" customHeight="false" outlineLevel="0" collapsed="false">
      <c r="C351" s="240"/>
      <c r="D351" s="240"/>
    </row>
    <row r="352" customFormat="false" ht="12" hidden="false" customHeight="false" outlineLevel="0" collapsed="false">
      <c r="C352" s="240"/>
      <c r="D352" s="240"/>
    </row>
    <row r="353" customFormat="false" ht="12" hidden="false" customHeight="false" outlineLevel="0" collapsed="false">
      <c r="C353" s="240"/>
      <c r="D353" s="240"/>
    </row>
    <row r="354" customFormat="false" ht="12" hidden="false" customHeight="false" outlineLevel="0" collapsed="false">
      <c r="C354" s="240"/>
      <c r="D354" s="240"/>
    </row>
    <row r="355" customFormat="false" ht="12" hidden="false" customHeight="false" outlineLevel="0" collapsed="false">
      <c r="C355" s="240"/>
      <c r="D355" s="240"/>
    </row>
    <row r="356" customFormat="false" ht="12" hidden="false" customHeight="false" outlineLevel="0" collapsed="false">
      <c r="C356" s="240"/>
      <c r="D356" s="240"/>
    </row>
    <row r="357" customFormat="false" ht="12" hidden="false" customHeight="false" outlineLevel="0" collapsed="false">
      <c r="C357" s="240"/>
      <c r="D357" s="240"/>
    </row>
    <row r="358" customFormat="false" ht="12" hidden="false" customHeight="false" outlineLevel="0" collapsed="false">
      <c r="C358" s="240"/>
      <c r="D358" s="240"/>
    </row>
    <row r="359" customFormat="false" ht="12" hidden="false" customHeight="false" outlineLevel="0" collapsed="false">
      <c r="C359" s="240"/>
      <c r="D359" s="240"/>
    </row>
    <row r="360" customFormat="false" ht="12" hidden="false" customHeight="false" outlineLevel="0" collapsed="false">
      <c r="C360" s="240"/>
      <c r="D360" s="240"/>
    </row>
    <row r="361" customFormat="false" ht="12" hidden="false" customHeight="false" outlineLevel="0" collapsed="false">
      <c r="C361" s="240"/>
      <c r="D361" s="240"/>
    </row>
    <row r="362" customFormat="false" ht="12" hidden="false" customHeight="false" outlineLevel="0" collapsed="false">
      <c r="C362" s="240"/>
      <c r="D362" s="240"/>
    </row>
    <row r="363" customFormat="false" ht="12" hidden="false" customHeight="false" outlineLevel="0" collapsed="false">
      <c r="C363" s="240"/>
      <c r="D363" s="240"/>
    </row>
    <row r="364" customFormat="false" ht="12" hidden="false" customHeight="false" outlineLevel="0" collapsed="false">
      <c r="C364" s="240"/>
      <c r="D364" s="240"/>
    </row>
    <row r="365" customFormat="false" ht="12" hidden="false" customHeight="false" outlineLevel="0" collapsed="false">
      <c r="C365" s="240"/>
      <c r="D365" s="240"/>
    </row>
    <row r="366" customFormat="false" ht="12" hidden="false" customHeight="false" outlineLevel="0" collapsed="false">
      <c r="C366" s="240"/>
      <c r="D366" s="240"/>
    </row>
    <row r="367" customFormat="false" ht="12" hidden="false" customHeight="false" outlineLevel="0" collapsed="false">
      <c r="C367" s="240"/>
      <c r="D367" s="240"/>
    </row>
    <row r="368" customFormat="false" ht="12" hidden="false" customHeight="false" outlineLevel="0" collapsed="false">
      <c r="C368" s="240"/>
      <c r="D368" s="240"/>
    </row>
    <row r="369" customFormat="false" ht="12" hidden="false" customHeight="false" outlineLevel="0" collapsed="false">
      <c r="C369" s="240"/>
      <c r="D369" s="240"/>
    </row>
    <row r="370" customFormat="false" ht="12" hidden="false" customHeight="false" outlineLevel="0" collapsed="false">
      <c r="C370" s="240"/>
      <c r="D370" s="240"/>
    </row>
    <row r="371" customFormat="false" ht="12" hidden="false" customHeight="false" outlineLevel="0" collapsed="false">
      <c r="C371" s="240"/>
      <c r="D371" s="240"/>
    </row>
    <row r="372" customFormat="false" ht="12" hidden="false" customHeight="false" outlineLevel="0" collapsed="false">
      <c r="C372" s="240"/>
      <c r="D372" s="240"/>
    </row>
    <row r="373" customFormat="false" ht="12" hidden="false" customHeight="false" outlineLevel="0" collapsed="false">
      <c r="C373" s="240"/>
      <c r="D373" s="240"/>
    </row>
    <row r="374" customFormat="false" ht="12" hidden="false" customHeight="false" outlineLevel="0" collapsed="false">
      <c r="C374" s="240"/>
      <c r="D374" s="240"/>
    </row>
    <row r="375" customFormat="false" ht="12" hidden="false" customHeight="false" outlineLevel="0" collapsed="false">
      <c r="C375" s="240"/>
      <c r="D375" s="240"/>
    </row>
    <row r="376" customFormat="false" ht="12" hidden="false" customHeight="false" outlineLevel="0" collapsed="false">
      <c r="C376" s="240"/>
      <c r="D376" s="240"/>
    </row>
    <row r="377" customFormat="false" ht="12" hidden="false" customHeight="false" outlineLevel="0" collapsed="false">
      <c r="C377" s="240"/>
      <c r="D377" s="240"/>
    </row>
    <row r="378" customFormat="false" ht="12" hidden="false" customHeight="false" outlineLevel="0" collapsed="false">
      <c r="C378" s="240"/>
      <c r="D378" s="240"/>
    </row>
    <row r="379" customFormat="false" ht="12" hidden="false" customHeight="false" outlineLevel="0" collapsed="false">
      <c r="C379" s="240"/>
      <c r="D379" s="240"/>
    </row>
    <row r="380" customFormat="false" ht="12" hidden="false" customHeight="false" outlineLevel="0" collapsed="false">
      <c r="C380" s="240"/>
      <c r="D380" s="240"/>
    </row>
    <row r="381" customFormat="false" ht="12" hidden="false" customHeight="false" outlineLevel="0" collapsed="false">
      <c r="C381" s="240"/>
      <c r="D381" s="240"/>
    </row>
    <row r="382" customFormat="false" ht="12" hidden="false" customHeight="false" outlineLevel="0" collapsed="false">
      <c r="C382" s="240"/>
      <c r="D382" s="240"/>
    </row>
    <row r="383" customFormat="false" ht="12" hidden="false" customHeight="false" outlineLevel="0" collapsed="false">
      <c r="C383" s="240"/>
      <c r="D383" s="240"/>
    </row>
    <row r="384" customFormat="false" ht="12" hidden="false" customHeight="false" outlineLevel="0" collapsed="false">
      <c r="C384" s="240"/>
      <c r="D384" s="240"/>
    </row>
    <row r="385" customFormat="false" ht="12" hidden="false" customHeight="false" outlineLevel="0" collapsed="false">
      <c r="C385" s="240"/>
      <c r="D385" s="240"/>
    </row>
    <row r="386" customFormat="false" ht="12" hidden="false" customHeight="false" outlineLevel="0" collapsed="false">
      <c r="C386" s="240"/>
      <c r="D386" s="240"/>
    </row>
    <row r="387" customFormat="false" ht="12" hidden="false" customHeight="false" outlineLevel="0" collapsed="false">
      <c r="C387" s="240"/>
      <c r="D387" s="240"/>
    </row>
    <row r="388" customFormat="false" ht="12" hidden="false" customHeight="false" outlineLevel="0" collapsed="false">
      <c r="C388" s="240"/>
      <c r="D388" s="240"/>
    </row>
    <row r="389" customFormat="false" ht="12" hidden="false" customHeight="false" outlineLevel="0" collapsed="false">
      <c r="C389" s="240"/>
      <c r="D389" s="240"/>
    </row>
    <row r="390" customFormat="false" ht="12" hidden="false" customHeight="false" outlineLevel="0" collapsed="false">
      <c r="C390" s="240"/>
      <c r="D390" s="240"/>
    </row>
    <row r="391" customFormat="false" ht="12" hidden="false" customHeight="false" outlineLevel="0" collapsed="false">
      <c r="C391" s="240"/>
      <c r="D391" s="240"/>
    </row>
    <row r="392" customFormat="false" ht="12" hidden="false" customHeight="false" outlineLevel="0" collapsed="false">
      <c r="C392" s="240"/>
      <c r="D392" s="240"/>
    </row>
    <row r="393" customFormat="false" ht="12" hidden="false" customHeight="false" outlineLevel="0" collapsed="false">
      <c r="C393" s="240"/>
      <c r="D393" s="240"/>
    </row>
    <row r="394" customFormat="false" ht="12" hidden="false" customHeight="false" outlineLevel="0" collapsed="false">
      <c r="C394" s="240"/>
      <c r="D394" s="240"/>
    </row>
    <row r="395" customFormat="false" ht="12" hidden="false" customHeight="false" outlineLevel="0" collapsed="false">
      <c r="C395" s="240"/>
      <c r="D395" s="240"/>
    </row>
    <row r="396" customFormat="false" ht="12" hidden="false" customHeight="false" outlineLevel="0" collapsed="false">
      <c r="C396" s="240"/>
      <c r="D396" s="240"/>
    </row>
    <row r="397" customFormat="false" ht="12" hidden="false" customHeight="false" outlineLevel="0" collapsed="false">
      <c r="C397" s="240"/>
      <c r="D397" s="240"/>
    </row>
    <row r="398" customFormat="false" ht="12" hidden="false" customHeight="false" outlineLevel="0" collapsed="false">
      <c r="C398" s="240"/>
      <c r="D398" s="240"/>
    </row>
    <row r="399" customFormat="false" ht="12" hidden="false" customHeight="false" outlineLevel="0" collapsed="false">
      <c r="C399" s="240"/>
      <c r="D399" s="240"/>
    </row>
    <row r="400" customFormat="false" ht="12" hidden="false" customHeight="false" outlineLevel="0" collapsed="false">
      <c r="C400" s="240"/>
      <c r="D400" s="240"/>
    </row>
    <row r="401" customFormat="false" ht="12" hidden="false" customHeight="false" outlineLevel="0" collapsed="false">
      <c r="C401" s="240"/>
      <c r="D401" s="240"/>
    </row>
    <row r="402" customFormat="false" ht="12" hidden="false" customHeight="false" outlineLevel="0" collapsed="false">
      <c r="C402" s="240"/>
      <c r="D402" s="240"/>
    </row>
    <row r="403" customFormat="false" ht="12" hidden="false" customHeight="false" outlineLevel="0" collapsed="false">
      <c r="C403" s="240"/>
      <c r="D403" s="240"/>
    </row>
    <row r="404" customFormat="false" ht="12" hidden="false" customHeight="false" outlineLevel="0" collapsed="false">
      <c r="C404" s="240"/>
      <c r="D404" s="240"/>
    </row>
    <row r="405" customFormat="false" ht="12" hidden="false" customHeight="false" outlineLevel="0" collapsed="false">
      <c r="C405" s="240"/>
      <c r="D405" s="240"/>
    </row>
    <row r="406" customFormat="false" ht="12" hidden="false" customHeight="false" outlineLevel="0" collapsed="false">
      <c r="C406" s="240"/>
      <c r="D406" s="240"/>
    </row>
    <row r="407" customFormat="false" ht="12" hidden="false" customHeight="false" outlineLevel="0" collapsed="false">
      <c r="C407" s="240"/>
      <c r="D407" s="240"/>
    </row>
    <row r="408" customFormat="false" ht="12" hidden="false" customHeight="false" outlineLevel="0" collapsed="false">
      <c r="C408" s="240"/>
      <c r="D408" s="240"/>
    </row>
    <row r="409" customFormat="false" ht="12" hidden="false" customHeight="false" outlineLevel="0" collapsed="false">
      <c r="C409" s="240"/>
      <c r="D409" s="240"/>
    </row>
    <row r="410" customFormat="false" ht="12" hidden="false" customHeight="false" outlineLevel="0" collapsed="false">
      <c r="C410" s="240"/>
      <c r="D410" s="240"/>
    </row>
    <row r="411" customFormat="false" ht="12" hidden="false" customHeight="false" outlineLevel="0" collapsed="false">
      <c r="C411" s="240"/>
      <c r="D411" s="240"/>
    </row>
    <row r="412" customFormat="false" ht="12" hidden="false" customHeight="false" outlineLevel="0" collapsed="false">
      <c r="C412" s="240"/>
      <c r="D412" s="240"/>
    </row>
    <row r="413" customFormat="false" ht="12" hidden="false" customHeight="false" outlineLevel="0" collapsed="false">
      <c r="C413" s="240"/>
      <c r="D413" s="240"/>
    </row>
    <row r="414" customFormat="false" ht="12" hidden="false" customHeight="false" outlineLevel="0" collapsed="false">
      <c r="C414" s="240"/>
      <c r="D414" s="240"/>
    </row>
    <row r="415" customFormat="false" ht="12" hidden="false" customHeight="false" outlineLevel="0" collapsed="false">
      <c r="C415" s="240"/>
      <c r="D415" s="240"/>
    </row>
    <row r="416" customFormat="false" ht="12" hidden="false" customHeight="false" outlineLevel="0" collapsed="false">
      <c r="C416" s="240"/>
      <c r="D416" s="240"/>
    </row>
    <row r="417" customFormat="false" ht="12" hidden="false" customHeight="false" outlineLevel="0" collapsed="false">
      <c r="C417" s="240"/>
      <c r="D417" s="240"/>
    </row>
    <row r="418" customFormat="false" ht="12" hidden="false" customHeight="false" outlineLevel="0" collapsed="false">
      <c r="C418" s="240"/>
      <c r="D418" s="240"/>
    </row>
    <row r="419" customFormat="false" ht="12" hidden="false" customHeight="false" outlineLevel="0" collapsed="false">
      <c r="C419" s="240"/>
      <c r="D419" s="240"/>
    </row>
    <row r="420" customFormat="false" ht="12" hidden="false" customHeight="false" outlineLevel="0" collapsed="false">
      <c r="C420" s="240"/>
      <c r="D420" s="240"/>
    </row>
    <row r="421" customFormat="false" ht="12" hidden="false" customHeight="false" outlineLevel="0" collapsed="false">
      <c r="C421" s="240"/>
      <c r="D421" s="240"/>
    </row>
    <row r="422" customFormat="false" ht="12" hidden="false" customHeight="false" outlineLevel="0" collapsed="false">
      <c r="C422" s="240"/>
      <c r="D422" s="240"/>
    </row>
    <row r="423" customFormat="false" ht="12" hidden="false" customHeight="false" outlineLevel="0" collapsed="false">
      <c r="C423" s="240"/>
      <c r="D423" s="240"/>
    </row>
    <row r="424" customFormat="false" ht="12" hidden="false" customHeight="false" outlineLevel="0" collapsed="false">
      <c r="C424" s="240"/>
      <c r="D424" s="240"/>
    </row>
    <row r="425" customFormat="false" ht="12" hidden="false" customHeight="false" outlineLevel="0" collapsed="false">
      <c r="C425" s="240"/>
      <c r="D425" s="240"/>
    </row>
    <row r="426" customFormat="false" ht="12" hidden="false" customHeight="false" outlineLevel="0" collapsed="false">
      <c r="C426" s="240"/>
      <c r="D426" s="240"/>
    </row>
    <row r="427" customFormat="false" ht="12" hidden="false" customHeight="false" outlineLevel="0" collapsed="false">
      <c r="C427" s="240"/>
      <c r="D427" s="240"/>
    </row>
    <row r="428" customFormat="false" ht="12" hidden="false" customHeight="false" outlineLevel="0" collapsed="false">
      <c r="C428" s="240"/>
      <c r="D428" s="240"/>
    </row>
    <row r="429" customFormat="false" ht="12" hidden="false" customHeight="false" outlineLevel="0" collapsed="false">
      <c r="C429" s="240"/>
      <c r="D429" s="240"/>
    </row>
    <row r="430" customFormat="false" ht="12" hidden="false" customHeight="false" outlineLevel="0" collapsed="false">
      <c r="C430" s="240"/>
      <c r="D430" s="240"/>
    </row>
    <row r="431" customFormat="false" ht="12" hidden="false" customHeight="false" outlineLevel="0" collapsed="false">
      <c r="C431" s="240"/>
      <c r="D431" s="240"/>
    </row>
    <row r="432" customFormat="false" ht="12" hidden="false" customHeight="false" outlineLevel="0" collapsed="false">
      <c r="C432" s="240"/>
      <c r="D432" s="240"/>
    </row>
    <row r="433" customFormat="false" ht="12" hidden="false" customHeight="false" outlineLevel="0" collapsed="false">
      <c r="C433" s="240"/>
      <c r="D433" s="240"/>
    </row>
    <row r="434" customFormat="false" ht="12" hidden="false" customHeight="false" outlineLevel="0" collapsed="false">
      <c r="C434" s="240"/>
      <c r="D434" s="240"/>
    </row>
    <row r="435" customFormat="false" ht="12" hidden="false" customHeight="false" outlineLevel="0" collapsed="false">
      <c r="C435" s="240"/>
      <c r="D435" s="240"/>
    </row>
    <row r="436" customFormat="false" ht="12" hidden="false" customHeight="false" outlineLevel="0" collapsed="false">
      <c r="C436" s="240"/>
      <c r="D436" s="240"/>
    </row>
    <row r="437" customFormat="false" ht="12" hidden="false" customHeight="false" outlineLevel="0" collapsed="false">
      <c r="C437" s="240"/>
      <c r="D437" s="240"/>
    </row>
    <row r="438" customFormat="false" ht="12" hidden="false" customHeight="false" outlineLevel="0" collapsed="false">
      <c r="C438" s="240"/>
      <c r="D438" s="240"/>
    </row>
    <row r="439" customFormat="false" ht="12" hidden="false" customHeight="false" outlineLevel="0" collapsed="false">
      <c r="C439" s="240"/>
      <c r="D439" s="240"/>
    </row>
    <row r="440" customFormat="false" ht="12" hidden="false" customHeight="false" outlineLevel="0" collapsed="false">
      <c r="C440" s="240"/>
      <c r="D440" s="240"/>
    </row>
    <row r="441" customFormat="false" ht="12" hidden="false" customHeight="false" outlineLevel="0" collapsed="false">
      <c r="C441" s="240"/>
      <c r="D441" s="240"/>
    </row>
    <row r="442" customFormat="false" ht="12" hidden="false" customHeight="false" outlineLevel="0" collapsed="false">
      <c r="C442" s="240"/>
      <c r="D442" s="240"/>
    </row>
    <row r="443" customFormat="false" ht="12" hidden="false" customHeight="false" outlineLevel="0" collapsed="false">
      <c r="C443" s="240"/>
      <c r="D443" s="240"/>
    </row>
    <row r="444" customFormat="false" ht="12" hidden="false" customHeight="false" outlineLevel="0" collapsed="false">
      <c r="C444" s="240"/>
      <c r="D444" s="240"/>
    </row>
    <row r="445" customFormat="false" ht="12" hidden="false" customHeight="false" outlineLevel="0" collapsed="false">
      <c r="C445" s="240"/>
      <c r="D445" s="240"/>
    </row>
    <row r="446" customFormat="false" ht="12" hidden="false" customHeight="false" outlineLevel="0" collapsed="false">
      <c r="C446" s="240"/>
      <c r="D446" s="240"/>
    </row>
    <row r="447" customFormat="false" ht="12" hidden="false" customHeight="false" outlineLevel="0" collapsed="false">
      <c r="C447" s="240"/>
      <c r="D447" s="240"/>
    </row>
    <row r="448" customFormat="false" ht="12" hidden="false" customHeight="false" outlineLevel="0" collapsed="false">
      <c r="C448" s="240"/>
      <c r="D448" s="240"/>
    </row>
    <row r="449" customFormat="false" ht="12" hidden="false" customHeight="false" outlineLevel="0" collapsed="false">
      <c r="C449" s="240"/>
      <c r="D449" s="240"/>
    </row>
    <row r="450" customFormat="false" ht="12" hidden="false" customHeight="false" outlineLevel="0" collapsed="false">
      <c r="C450" s="240"/>
      <c r="D450" s="240"/>
    </row>
    <row r="451" customFormat="false" ht="12" hidden="false" customHeight="false" outlineLevel="0" collapsed="false">
      <c r="C451" s="240"/>
      <c r="D451" s="240"/>
    </row>
    <row r="452" customFormat="false" ht="12" hidden="false" customHeight="false" outlineLevel="0" collapsed="false">
      <c r="C452" s="240"/>
      <c r="D452" s="240"/>
    </row>
    <row r="453" customFormat="false" ht="12" hidden="false" customHeight="false" outlineLevel="0" collapsed="false">
      <c r="C453" s="240"/>
      <c r="D453" s="240"/>
    </row>
    <row r="454" customFormat="false" ht="12" hidden="false" customHeight="false" outlineLevel="0" collapsed="false">
      <c r="C454" s="240"/>
      <c r="D454" s="240"/>
    </row>
    <row r="455" customFormat="false" ht="12" hidden="false" customHeight="false" outlineLevel="0" collapsed="false">
      <c r="C455" s="240"/>
      <c r="D455" s="240"/>
    </row>
    <row r="456" customFormat="false" ht="12" hidden="false" customHeight="false" outlineLevel="0" collapsed="false">
      <c r="C456" s="240"/>
      <c r="D456" s="240"/>
    </row>
    <row r="457" customFormat="false" ht="12" hidden="false" customHeight="false" outlineLevel="0" collapsed="false">
      <c r="C457" s="240"/>
      <c r="D457" s="240"/>
    </row>
    <row r="458" customFormat="false" ht="12" hidden="false" customHeight="false" outlineLevel="0" collapsed="false">
      <c r="C458" s="240"/>
      <c r="D458" s="240"/>
    </row>
    <row r="459" customFormat="false" ht="12" hidden="false" customHeight="false" outlineLevel="0" collapsed="false">
      <c r="C459" s="240"/>
      <c r="D459" s="240"/>
    </row>
    <row r="460" customFormat="false" ht="12" hidden="false" customHeight="false" outlineLevel="0" collapsed="false">
      <c r="C460" s="240"/>
      <c r="D460" s="240"/>
    </row>
    <row r="461" customFormat="false" ht="12" hidden="false" customHeight="false" outlineLevel="0" collapsed="false">
      <c r="C461" s="240"/>
      <c r="D461" s="240"/>
    </row>
    <row r="462" customFormat="false" ht="12" hidden="false" customHeight="false" outlineLevel="0" collapsed="false">
      <c r="C462" s="240"/>
      <c r="D462" s="240"/>
    </row>
    <row r="463" customFormat="false" ht="12" hidden="false" customHeight="false" outlineLevel="0" collapsed="false">
      <c r="C463" s="240"/>
      <c r="D463" s="240"/>
    </row>
    <row r="464" customFormat="false" ht="12" hidden="false" customHeight="false" outlineLevel="0" collapsed="false">
      <c r="C464" s="240"/>
      <c r="D464" s="240"/>
    </row>
    <row r="465" customFormat="false" ht="12" hidden="false" customHeight="false" outlineLevel="0" collapsed="false">
      <c r="C465" s="240"/>
      <c r="D465" s="240"/>
    </row>
    <row r="466" customFormat="false" ht="12" hidden="false" customHeight="false" outlineLevel="0" collapsed="false">
      <c r="C466" s="240"/>
      <c r="D466" s="240"/>
    </row>
    <row r="467" customFormat="false" ht="12" hidden="false" customHeight="false" outlineLevel="0" collapsed="false">
      <c r="C467" s="240"/>
      <c r="D467" s="240"/>
    </row>
    <row r="468" customFormat="false" ht="12" hidden="false" customHeight="false" outlineLevel="0" collapsed="false">
      <c r="C468" s="240"/>
      <c r="D468" s="240"/>
    </row>
    <row r="469" customFormat="false" ht="12" hidden="false" customHeight="false" outlineLevel="0" collapsed="false">
      <c r="C469" s="240"/>
      <c r="D469" s="240"/>
    </row>
    <row r="470" customFormat="false" ht="12" hidden="false" customHeight="false" outlineLevel="0" collapsed="false">
      <c r="C470" s="240"/>
      <c r="D470" s="240"/>
    </row>
    <row r="471" customFormat="false" ht="12" hidden="false" customHeight="false" outlineLevel="0" collapsed="false">
      <c r="C471" s="240"/>
      <c r="D471" s="240"/>
    </row>
    <row r="472" customFormat="false" ht="12" hidden="false" customHeight="false" outlineLevel="0" collapsed="false">
      <c r="C472" s="240"/>
      <c r="D472" s="240"/>
    </row>
    <row r="473" customFormat="false" ht="12" hidden="false" customHeight="false" outlineLevel="0" collapsed="false">
      <c r="C473" s="240"/>
      <c r="D473" s="240"/>
    </row>
    <row r="474" customFormat="false" ht="12" hidden="false" customHeight="false" outlineLevel="0" collapsed="false">
      <c r="C474" s="240"/>
      <c r="D474" s="240"/>
    </row>
    <row r="475" customFormat="false" ht="12" hidden="false" customHeight="false" outlineLevel="0" collapsed="false">
      <c r="C475" s="240"/>
      <c r="D475" s="240"/>
    </row>
    <row r="476" customFormat="false" ht="12" hidden="false" customHeight="false" outlineLevel="0" collapsed="false">
      <c r="C476" s="240"/>
      <c r="D476" s="240"/>
    </row>
    <row r="477" customFormat="false" ht="12" hidden="false" customHeight="false" outlineLevel="0" collapsed="false">
      <c r="C477" s="240"/>
      <c r="D477" s="240"/>
    </row>
    <row r="478" customFormat="false" ht="12" hidden="false" customHeight="false" outlineLevel="0" collapsed="false">
      <c r="C478" s="240"/>
      <c r="D478" s="240"/>
    </row>
    <row r="479" customFormat="false" ht="12" hidden="false" customHeight="false" outlineLevel="0" collapsed="false">
      <c r="C479" s="240"/>
      <c r="D479" s="240"/>
    </row>
    <row r="480" customFormat="false" ht="12" hidden="false" customHeight="false" outlineLevel="0" collapsed="false">
      <c r="C480" s="240"/>
      <c r="D480" s="240"/>
    </row>
    <row r="481" customFormat="false" ht="12" hidden="false" customHeight="false" outlineLevel="0" collapsed="false">
      <c r="C481" s="240"/>
      <c r="D481" s="240"/>
    </row>
    <row r="482" customFormat="false" ht="12" hidden="false" customHeight="false" outlineLevel="0" collapsed="false">
      <c r="C482" s="240"/>
      <c r="D482" s="240"/>
    </row>
    <row r="483" customFormat="false" ht="12" hidden="false" customHeight="false" outlineLevel="0" collapsed="false">
      <c r="C483" s="240"/>
      <c r="D483" s="240"/>
    </row>
  </sheetData>
  <mergeCells count="12">
    <mergeCell ref="F39:I39"/>
    <mergeCell ref="B49:D49"/>
    <mergeCell ref="F54:I54"/>
    <mergeCell ref="B55:E55"/>
    <mergeCell ref="C63:D63"/>
    <mergeCell ref="F64:I64"/>
    <mergeCell ref="A73:C73"/>
    <mergeCell ref="F124:I124"/>
    <mergeCell ref="H142:I142"/>
    <mergeCell ref="F147:I147"/>
    <mergeCell ref="F151:I151"/>
    <mergeCell ref="F159:I159"/>
  </mergeCells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&amp;R&amp;10Printed: &amp;D &amp;T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J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55078125" defaultRowHeight="15" customHeight="true" zeroHeight="false" outlineLevelRow="0" outlineLevelCol="0"/>
  <cols>
    <col collapsed="false" customWidth="true" hidden="false" outlineLevel="0" max="1" min="1" style="0" width="5.88"/>
    <col collapsed="false" customWidth="true" hidden="false" outlineLevel="0" max="2" min="2" style="0" width="4.1"/>
    <col collapsed="false" customWidth="true" hidden="false" outlineLevel="0" max="3" min="3" style="0" width="11.21"/>
    <col collapsed="false" customWidth="true" hidden="false" outlineLevel="0" max="4" min="4" style="0" width="12.99"/>
    <col collapsed="false" customWidth="true" hidden="false" outlineLevel="0" max="5" min="5" style="0" width="10.32"/>
    <col collapsed="false" customWidth="true" hidden="false" outlineLevel="0" max="6" min="6" style="0" width="11.21"/>
    <col collapsed="false" customWidth="true" hidden="false" outlineLevel="0" max="7" min="7" style="0" width="12.99"/>
    <col collapsed="false" customWidth="true" hidden="false" outlineLevel="0" max="10" min="10" style="0" width="2.32"/>
  </cols>
  <sheetData>
    <row r="2" customFormat="false" ht="30" hidden="false" customHeight="false" outlineLevel="0" collapsed="false">
      <c r="A2" s="918" t="s">
        <v>558</v>
      </c>
      <c r="B2" s="918" t="s">
        <v>558</v>
      </c>
      <c r="C2" s="918" t="s">
        <v>558</v>
      </c>
      <c r="D2" s="918" t="s">
        <v>558</v>
      </c>
      <c r="E2" s="918" t="s">
        <v>558</v>
      </c>
      <c r="F2" s="918" t="s">
        <v>558</v>
      </c>
      <c r="G2" s="918" t="s">
        <v>558</v>
      </c>
      <c r="H2" s="918" t="s">
        <v>558</v>
      </c>
      <c r="I2" s="919" t="s">
        <v>558</v>
      </c>
      <c r="J2" s="919"/>
    </row>
    <row r="14" customFormat="false" ht="30" hidden="false" customHeight="false" outlineLevel="0" collapsed="false">
      <c r="A14" s="918" t="s">
        <v>559</v>
      </c>
      <c r="B14" s="918" t="s">
        <v>559</v>
      </c>
      <c r="C14" s="918" t="s">
        <v>559</v>
      </c>
      <c r="D14" s="918" t="s">
        <v>559</v>
      </c>
      <c r="E14" s="918" t="s">
        <v>559</v>
      </c>
      <c r="F14" s="918" t="s">
        <v>559</v>
      </c>
      <c r="G14" s="918" t="s">
        <v>559</v>
      </c>
      <c r="H14" s="918" t="s">
        <v>559</v>
      </c>
      <c r="I14" s="919" t="s">
        <v>559</v>
      </c>
      <c r="J14" s="919"/>
    </row>
    <row r="32" customFormat="false" ht="15" hidden="false" customHeight="false" outlineLevel="0" collapsed="false">
      <c r="A32" s="0" t="s">
        <v>1</v>
      </c>
      <c r="B32" s="0" t="s">
        <v>1</v>
      </c>
      <c r="C32" s="0" t="s">
        <v>1</v>
      </c>
      <c r="D32" s="0" t="s">
        <v>1</v>
      </c>
      <c r="E32" s="0" t="s">
        <v>1</v>
      </c>
      <c r="F32" s="0" t="s">
        <v>1</v>
      </c>
      <c r="G32" s="0" t="s">
        <v>1</v>
      </c>
      <c r="H32" s="0" t="s">
        <v>1</v>
      </c>
      <c r="I32" s="0" t="s">
        <v>1</v>
      </c>
    </row>
  </sheetData>
  <mergeCells count="2">
    <mergeCell ref="I2:J2"/>
    <mergeCell ref="I14:J14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J5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55078125" defaultRowHeight="15" customHeight="true" zeroHeight="false" outlineLevelRow="0" outlineLevelCol="0"/>
  <cols>
    <col collapsed="false" customWidth="true" hidden="false" outlineLevel="0" max="1" min="1" style="0" width="5.88"/>
    <col collapsed="false" customWidth="true" hidden="false" outlineLevel="0" max="2" min="2" style="0" width="4.1"/>
    <col collapsed="false" customWidth="true" hidden="false" outlineLevel="0" max="3" min="3" style="0" width="11.21"/>
    <col collapsed="false" customWidth="true" hidden="false" outlineLevel="0" max="4" min="4" style="0" width="12.99"/>
    <col collapsed="false" customWidth="true" hidden="false" outlineLevel="0" max="5" min="5" style="0" width="10.32"/>
    <col collapsed="false" customWidth="true" hidden="false" outlineLevel="0" max="6" min="6" style="0" width="11.21"/>
    <col collapsed="false" customWidth="true" hidden="false" outlineLevel="0" max="7" min="7" style="0" width="12.99"/>
    <col collapsed="false" customWidth="true" hidden="false" outlineLevel="0" max="10" min="10" style="0" width="2.32"/>
  </cols>
  <sheetData>
    <row r="1" customFormat="false" ht="15" hidden="false" customHeight="false" outlineLevel="0" collapsed="false">
      <c r="A1" s="0" t="s">
        <v>1</v>
      </c>
    </row>
    <row r="2" customFormat="false" ht="30" hidden="false" customHeight="false" outlineLevel="0" collapsed="false">
      <c r="A2" s="919" t="s">
        <v>558</v>
      </c>
      <c r="B2" s="919"/>
      <c r="C2" s="919"/>
      <c r="D2" s="919"/>
      <c r="E2" s="919"/>
      <c r="F2" s="919"/>
      <c r="G2" s="919"/>
      <c r="H2" s="919"/>
      <c r="I2" s="919"/>
      <c r="J2" s="919"/>
    </row>
    <row r="5" customFormat="false" ht="15.75" hidden="false" customHeight="false" outlineLevel="0" collapsed="false">
      <c r="C5" s="920" t="s">
        <v>560</v>
      </c>
      <c r="D5" s="9" t="s">
        <v>561</v>
      </c>
      <c r="F5" s="920" t="s">
        <v>562</v>
      </c>
      <c r="G5" s="9" t="s">
        <v>563</v>
      </c>
    </row>
    <row r="6" customFormat="false" ht="15" hidden="false" customHeight="false" outlineLevel="0" collapsed="false">
      <c r="D6" s="9" t="s">
        <v>564</v>
      </c>
      <c r="G6" s="9" t="s">
        <v>565</v>
      </c>
    </row>
    <row r="7" customFormat="false" ht="15" hidden="false" customHeight="false" outlineLevel="0" collapsed="false">
      <c r="D7" s="9" t="s">
        <v>565</v>
      </c>
    </row>
    <row r="8" customFormat="false" ht="15" hidden="false" customHeight="false" outlineLevel="0" collapsed="false">
      <c r="G8" s="9" t="s">
        <v>566</v>
      </c>
    </row>
    <row r="9" customFormat="false" ht="15" hidden="false" customHeight="false" outlineLevel="0" collapsed="false">
      <c r="D9" s="9" t="s">
        <v>567</v>
      </c>
      <c r="G9" s="9" t="s">
        <v>568</v>
      </c>
    </row>
    <row r="10" customFormat="false" ht="15" hidden="false" customHeight="false" outlineLevel="0" collapsed="false">
      <c r="D10" s="9" t="s">
        <v>569</v>
      </c>
    </row>
    <row r="11" customFormat="false" ht="15.75" hidden="false" customHeight="false" outlineLevel="0" collapsed="false">
      <c r="D11" s="920" t="s">
        <v>570</v>
      </c>
    </row>
    <row r="12" customFormat="false" ht="15.75" hidden="false" customHeight="false" outlineLevel="0" collapsed="false">
      <c r="D12" s="920" t="s">
        <v>571</v>
      </c>
    </row>
    <row r="14" customFormat="false" ht="30" hidden="false" customHeight="false" outlineLevel="0" collapsed="false">
      <c r="A14" s="919" t="s">
        <v>559</v>
      </c>
      <c r="B14" s="919"/>
      <c r="C14" s="919"/>
      <c r="D14" s="919"/>
      <c r="E14" s="919"/>
      <c r="F14" s="919"/>
      <c r="G14" s="919"/>
      <c r="H14" s="919"/>
      <c r="I14" s="919"/>
      <c r="J14" s="919"/>
    </row>
    <row r="16" customFormat="false" ht="15" hidden="false" customHeight="false" outlineLevel="0" collapsed="false">
      <c r="B16" s="4" t="s">
        <v>572</v>
      </c>
      <c r="C16" s="4"/>
      <c r="D16" s="4"/>
      <c r="E16" s="4"/>
      <c r="F16" s="4"/>
      <c r="G16" s="4"/>
      <c r="H16" s="4"/>
      <c r="I16" s="4"/>
    </row>
    <row r="17" customFormat="false" ht="15.75" hidden="false" customHeight="false" outlineLevel="0" collapsed="false">
      <c r="B17" s="4" t="s">
        <v>573</v>
      </c>
      <c r="C17" s="4"/>
      <c r="D17" s="4"/>
      <c r="E17" s="4"/>
      <c r="F17" s="4"/>
      <c r="G17" s="4"/>
      <c r="H17" s="4"/>
      <c r="I17" s="4"/>
    </row>
    <row r="18" customFormat="false" ht="15.75" hidden="false" customHeight="false" outlineLevel="0" collapsed="false">
      <c r="B18" s="921" t="s">
        <v>574</v>
      </c>
      <c r="C18" s="921"/>
      <c r="D18" s="921"/>
      <c r="E18" s="921"/>
      <c r="F18" s="921"/>
      <c r="G18" s="921"/>
      <c r="H18" s="921"/>
      <c r="I18" s="921"/>
    </row>
    <row r="19" customFormat="false" ht="15.75" hidden="false" customHeight="false" outlineLevel="0" collapsed="false"/>
    <row r="20" customFormat="false" ht="21" hidden="false" customHeight="false" outlineLevel="0" collapsed="false">
      <c r="B20" s="922" t="s">
        <v>575</v>
      </c>
      <c r="C20" s="922"/>
      <c r="D20" s="922"/>
      <c r="E20" s="922"/>
      <c r="F20" s="922"/>
      <c r="G20" s="922"/>
      <c r="H20" s="922"/>
      <c r="I20" s="922"/>
    </row>
    <row r="22" customFormat="false" ht="15" hidden="false" customHeight="false" outlineLevel="0" collapsed="false">
      <c r="B22" s="9" t="s">
        <v>576</v>
      </c>
      <c r="D22" s="923" t="n">
        <f aca="true">NOW()</f>
        <v>45927.0034287311</v>
      </c>
      <c r="F22" s="9" t="s">
        <v>577</v>
      </c>
      <c r="G22" s="924" t="n">
        <f aca="true">NOW()</f>
        <v>45927.0034287312</v>
      </c>
    </row>
    <row r="24" customFormat="false" ht="15" hidden="false" customHeight="false" outlineLevel="0" collapsed="false">
      <c r="B24" s="9" t="s">
        <v>578</v>
      </c>
      <c r="D24" s="925" t="s">
        <v>579</v>
      </c>
      <c r="E24" s="0" t="s">
        <v>1</v>
      </c>
      <c r="F24" s="9" t="s">
        <v>580</v>
      </c>
      <c r="G24" s="926" t="s">
        <v>581</v>
      </c>
    </row>
    <row r="25" customFormat="false" ht="15.75" hidden="false" customHeight="false" outlineLevel="0" collapsed="false"/>
    <row r="26" customFormat="false" ht="15.75" hidden="false" customHeight="false" outlineLevel="0" collapsed="false">
      <c r="B26" s="927" t="s">
        <v>1</v>
      </c>
      <c r="C26" s="9" t="s">
        <v>582</v>
      </c>
    </row>
    <row r="27" customFormat="false" ht="15.75" hidden="false" customHeight="false" outlineLevel="0" collapsed="false">
      <c r="B27" s="927" t="s">
        <v>1</v>
      </c>
      <c r="C27" s="9" t="s">
        <v>583</v>
      </c>
    </row>
    <row r="28" customFormat="false" ht="15.75" hidden="false" customHeight="false" outlineLevel="0" collapsed="false">
      <c r="B28" s="927" t="s">
        <v>584</v>
      </c>
      <c r="C28" s="9" t="s">
        <v>585</v>
      </c>
    </row>
    <row r="29" customFormat="false" ht="15" hidden="false" customHeight="false" outlineLevel="0" collapsed="false">
      <c r="B29" s="0" t="s">
        <v>1</v>
      </c>
      <c r="C29" s="9" t="s">
        <v>586</v>
      </c>
    </row>
    <row r="30" customFormat="false" ht="15" hidden="false" customHeight="false" outlineLevel="0" collapsed="false">
      <c r="C30" s="9" t="s">
        <v>1</v>
      </c>
    </row>
    <row r="32" customFormat="false" ht="15" hidden="false" customHeight="false" outlineLevel="0" collapsed="false">
      <c r="B32" s="9" t="s">
        <v>587</v>
      </c>
      <c r="E32" s="928" t="n">
        <v>35915</v>
      </c>
    </row>
    <row r="34" customFormat="false" ht="15.75" hidden="false" customHeight="false" outlineLevel="0" collapsed="false">
      <c r="B34" s="9" t="s">
        <v>588</v>
      </c>
      <c r="E34" s="929" t="n">
        <v>0</v>
      </c>
      <c r="F34" s="0" t="s">
        <v>589</v>
      </c>
    </row>
    <row r="36" customFormat="false" ht="15.75" hidden="false" customHeight="false" outlineLevel="0" collapsed="false">
      <c r="B36" s="9" t="s">
        <v>590</v>
      </c>
      <c r="E36" s="929" t="n">
        <v>0</v>
      </c>
      <c r="F36" s="0" t="s">
        <v>589</v>
      </c>
    </row>
    <row r="38" customFormat="false" ht="15.75" hidden="false" customHeight="false" outlineLevel="0" collapsed="false">
      <c r="B38" s="0" t="s">
        <v>591</v>
      </c>
      <c r="E38" s="923" t="n">
        <f aca="false">+E32+1</f>
        <v>35916</v>
      </c>
      <c r="F38" s="929" t="n">
        <v>0</v>
      </c>
      <c r="G38" s="0" t="s">
        <v>589</v>
      </c>
    </row>
    <row r="39" customFormat="false" ht="15.75" hidden="false" customHeight="false" outlineLevel="0" collapsed="false">
      <c r="E39" s="923" t="n">
        <f aca="false">+E38+1</f>
        <v>35917</v>
      </c>
      <c r="F39" s="929" t="n">
        <v>0</v>
      </c>
      <c r="G39" s="0" t="s">
        <v>589</v>
      </c>
    </row>
    <row r="40" customFormat="false" ht="15.75" hidden="false" customHeight="false" outlineLevel="0" collapsed="false">
      <c r="E40" s="923" t="n">
        <f aca="false">+E39+1</f>
        <v>35918</v>
      </c>
      <c r="F40" s="929" t="n">
        <v>0</v>
      </c>
      <c r="G40" s="0" t="s">
        <v>589</v>
      </c>
    </row>
    <row r="41" customFormat="false" ht="15.75" hidden="false" customHeight="false" outlineLevel="0" collapsed="false">
      <c r="E41" s="923" t="n">
        <f aca="false">+E40+1</f>
        <v>35919</v>
      </c>
      <c r="F41" s="929" t="n">
        <v>0</v>
      </c>
      <c r="G41" s="0" t="s">
        <v>589</v>
      </c>
    </row>
    <row r="42" customFormat="false" ht="15.75" hidden="false" customHeight="false" outlineLevel="0" collapsed="false">
      <c r="E42" s="923" t="n">
        <f aca="false">+E41+1</f>
        <v>35920</v>
      </c>
      <c r="F42" s="929" t="n">
        <v>0</v>
      </c>
      <c r="G42" s="0" t="s">
        <v>589</v>
      </c>
    </row>
    <row r="44" customFormat="false" ht="15" hidden="false" customHeight="false" outlineLevel="0" collapsed="false">
      <c r="B44" s="9" t="s">
        <v>592</v>
      </c>
      <c r="D44" s="926"/>
      <c r="E44" s="926"/>
      <c r="F44" s="926"/>
      <c r="G44" s="926"/>
      <c r="H44" s="926"/>
    </row>
    <row r="45" customFormat="false" ht="15" hidden="false" customHeight="false" outlineLevel="0" collapsed="false">
      <c r="D45" s="926"/>
      <c r="E45" s="926"/>
      <c r="F45" s="926"/>
      <c r="G45" s="926"/>
      <c r="H45" s="926"/>
    </row>
    <row r="47" customFormat="false" ht="15" hidden="false" customHeight="false" outlineLevel="0" collapsed="false">
      <c r="B47" s="930" t="s">
        <v>424</v>
      </c>
      <c r="C47" s="930" t="s">
        <v>1</v>
      </c>
      <c r="D47" s="931"/>
    </row>
    <row r="48" customFormat="false" ht="15" hidden="false" customHeight="false" outlineLevel="0" collapsed="false">
      <c r="B48" s="932"/>
      <c r="C48" s="930" t="s">
        <v>1</v>
      </c>
      <c r="D48" s="931"/>
    </row>
    <row r="49" customFormat="false" ht="15" hidden="false" customHeight="false" outlineLevel="0" collapsed="false">
      <c r="B49" s="932"/>
      <c r="C49" s="930" t="s">
        <v>593</v>
      </c>
      <c r="D49" s="931"/>
    </row>
    <row r="50" customFormat="false" ht="15" hidden="false" customHeight="false" outlineLevel="0" collapsed="false">
      <c r="B50" s="932"/>
      <c r="C50" s="930" t="s">
        <v>594</v>
      </c>
    </row>
    <row r="51" customFormat="false" ht="15" hidden="false" customHeight="false" outlineLevel="0" collapsed="false">
      <c r="B51" s="932"/>
      <c r="C51" s="930" t="s">
        <v>595</v>
      </c>
    </row>
  </sheetData>
  <mergeCells count="6">
    <mergeCell ref="A2:J2"/>
    <mergeCell ref="A14:J14"/>
    <mergeCell ref="B16:I16"/>
    <mergeCell ref="B17:I17"/>
    <mergeCell ref="B18:I18"/>
    <mergeCell ref="B20:I20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DE6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12.65625" defaultRowHeight="15.75" customHeight="true" zeroHeight="false" outlineLevelRow="0" outlineLevelCol="0"/>
  <cols>
    <col collapsed="false" customWidth="true" hidden="false" outlineLevel="0" max="1" min="1" style="27" width="13.65"/>
    <col collapsed="false" customWidth="false" hidden="false" outlineLevel="0" max="2" min="2" style="933" width="12.66"/>
    <col collapsed="false" customWidth="false" hidden="false" outlineLevel="0" max="4" min="3" style="27" width="12.66"/>
    <col collapsed="false" customWidth="true" hidden="false" outlineLevel="0" max="5" min="5" style="27" width="8.21"/>
    <col collapsed="false" customWidth="true" hidden="false" outlineLevel="0" max="6" min="6" style="934" width="13.65"/>
    <col collapsed="false" customWidth="true" hidden="false" outlineLevel="0" max="7" min="7" style="27" width="8.21"/>
    <col collapsed="false" customWidth="false" hidden="false" outlineLevel="0" max="8" min="8" style="935" width="12.66"/>
    <col collapsed="false" customWidth="true" hidden="false" outlineLevel="0" max="9" min="9" style="27" width="6.77"/>
    <col collapsed="false" customWidth="false" hidden="false" outlineLevel="0" max="257" min="10" style="27" width="12.66"/>
  </cols>
  <sheetData>
    <row r="1" customFormat="false" ht="15" hidden="false" customHeight="false" outlineLevel="0" collapsed="false">
      <c r="A1" s="936" t="s">
        <v>596</v>
      </c>
      <c r="B1" s="27"/>
      <c r="C1" s="13"/>
      <c r="D1" s="937" t="s">
        <v>1</v>
      </c>
      <c r="E1" s="13"/>
      <c r="F1" s="16"/>
      <c r="G1" s="13"/>
      <c r="H1" s="938"/>
      <c r="I1" s="13"/>
    </row>
    <row r="2" customFormat="false" ht="15" hidden="false" customHeight="false" outlineLevel="0" collapsed="false">
      <c r="A2" s="13"/>
      <c r="B2" s="939"/>
      <c r="C2" s="13"/>
      <c r="D2" s="13"/>
      <c r="E2" s="13"/>
      <c r="F2" s="16"/>
      <c r="G2" s="13"/>
      <c r="H2" s="938"/>
      <c r="I2" s="13"/>
    </row>
    <row r="3" customFormat="false" ht="15" hidden="false" customHeight="false" outlineLevel="0" collapsed="false">
      <c r="A3" s="940" t="s">
        <v>7</v>
      </c>
      <c r="B3" s="941" t="s">
        <v>1</v>
      </c>
      <c r="C3" s="13"/>
      <c r="D3" s="13"/>
      <c r="E3" s="13"/>
      <c r="F3" s="16"/>
      <c r="G3" s="13"/>
      <c r="H3" s="938"/>
      <c r="I3" s="13"/>
    </row>
    <row r="4" customFormat="false" ht="15" hidden="false" customHeight="false" outlineLevel="0" collapsed="false">
      <c r="A4" s="13"/>
      <c r="B4" s="941"/>
      <c r="C4" s="13"/>
      <c r="D4" s="942" t="s">
        <v>597</v>
      </c>
      <c r="E4" s="942"/>
      <c r="F4" s="942" t="s">
        <v>598</v>
      </c>
      <c r="G4" s="942"/>
      <c r="H4" s="943"/>
      <c r="I4" s="944" t="s">
        <v>599</v>
      </c>
    </row>
    <row r="5" customFormat="false" ht="15" hidden="false" customHeight="false" outlineLevel="0" collapsed="false">
      <c r="A5" s="939" t="str">
        <f aca="false">CHOOSE(WEEKDAY(B5),"Sunday","Monday","Tuesday","Wednesday","Thursday","Friday","Saturday")</f>
        <v>Wednesday</v>
      </c>
      <c r="B5" s="945" t="n">
        <f aca="false">Weather_Input!A5</f>
        <v>37034</v>
      </c>
      <c r="C5" s="13"/>
      <c r="D5" s="946" t="s">
        <v>600</v>
      </c>
      <c r="E5" s="947" t="n">
        <f aca="false">Weather_Input!B5</f>
        <v>62</v>
      </c>
      <c r="F5" s="948" t="s">
        <v>601</v>
      </c>
      <c r="G5" s="949" t="n">
        <f aca="false">Weather_Input!H5</f>
        <v>11</v>
      </c>
      <c r="H5" s="950" t="s">
        <v>602</v>
      </c>
      <c r="I5" s="951" t="n">
        <f aca="true">G5-(VLOOKUP(B5,DD_Normal_Data,CELL("Col",B6),FALSE()))</f>
        <v>5</v>
      </c>
    </row>
    <row r="6" customFormat="false" ht="15" hidden="false" customHeight="false" outlineLevel="0" collapsed="false">
      <c r="A6" s="939"/>
      <c r="B6" s="945"/>
      <c r="C6" s="13"/>
      <c r="D6" s="946" t="s">
        <v>284</v>
      </c>
      <c r="E6" s="947" t="n">
        <f aca="false">Weather_Input!C5</f>
        <v>44</v>
      </c>
      <c r="F6" s="948" t="s">
        <v>603</v>
      </c>
      <c r="G6" s="949" t="n">
        <f aca="false">Weather_Input!F5</f>
        <v>108</v>
      </c>
      <c r="H6" s="950" t="s">
        <v>604</v>
      </c>
      <c r="I6" s="951" t="n">
        <f aca="true">G6-(VLOOKUP(B5,DD_Normal_Data,CELL("Col",C7),FALSE()))</f>
        <v>-81</v>
      </c>
      <c r="J6" s="952"/>
      <c r="DE6" s="27" t="s">
        <v>10</v>
      </c>
    </row>
    <row r="7" customFormat="false" ht="15" hidden="false" customHeight="false" outlineLevel="0" collapsed="false">
      <c r="A7" s="939"/>
      <c r="B7" s="945"/>
      <c r="C7" s="13"/>
      <c r="D7" s="946" t="s">
        <v>605</v>
      </c>
      <c r="E7" s="947" t="n">
        <f aca="false">IF(Weather_Input!E5="N/A",(Weather_Input!C5+Weather_Input!B5)/2,Weather_Input!E5)</f>
        <v>53</v>
      </c>
      <c r="F7" s="948" t="s">
        <v>606</v>
      </c>
      <c r="G7" s="949" t="n">
        <f aca="false">Weather_Input!G5</f>
        <v>6515</v>
      </c>
      <c r="H7" s="950" t="s">
        <v>606</v>
      </c>
      <c r="I7" s="953" t="n">
        <f aca="true">G7-(VLOOKUP(B5,DD_Normal_Data,CELL("Col",D4),FALSE()))</f>
        <v>175</v>
      </c>
      <c r="J7" s="953"/>
    </row>
    <row r="8" customFormat="false" ht="15" hidden="false" customHeight="false" outlineLevel="0" collapsed="false">
      <c r="A8" s="939"/>
      <c r="B8" s="941"/>
      <c r="C8" s="13"/>
      <c r="D8" s="954" t="str">
        <f aca="false">IF(Weather_Input!I5=""," ",Weather_Input!I5)</f>
        <v>CLOUDY AND COOL WITH SHOWERS DEVELOPING THIS A.M. T'STORMS LIKELY. S.W.</v>
      </c>
      <c r="E8" s="955"/>
      <c r="F8" s="947"/>
      <c r="G8" s="949"/>
      <c r="H8" s="950"/>
      <c r="I8" s="951"/>
    </row>
    <row r="9" customFormat="false" ht="15" hidden="false" customHeight="false" outlineLevel="0" collapsed="false">
      <c r="A9" s="939"/>
      <c r="B9" s="945"/>
      <c r="C9" s="13"/>
      <c r="D9" s="954" t="str">
        <f aca="false">IF(Weather_Input!J5=""," ",Weather_Input!J5)</f>
        <v>WINDS 10/15 MPH. CHANCE OF RAIN 80%. OVERNIGHT…CLOUDY WITH SHOWERS.</v>
      </c>
      <c r="E9" s="956"/>
      <c r="F9" s="949"/>
      <c r="G9" s="949"/>
      <c r="H9" s="950"/>
      <c r="I9" s="951"/>
    </row>
    <row r="10" customFormat="false" ht="15" hidden="false" customHeight="false" outlineLevel="0" collapsed="false">
      <c r="A10" s="939" t="str">
        <f aca="false">CHOOSE(WEEKDAY(B10),"Sunday","Monday","Tuesday","Wednesday","Thursday","Friday","Saturday")</f>
        <v>Thursday</v>
      </c>
      <c r="B10" s="945" t="n">
        <f aca="false">Weather_Input!A6</f>
        <v>37035</v>
      </c>
      <c r="C10" s="13"/>
      <c r="D10" s="946" t="s">
        <v>600</v>
      </c>
      <c r="E10" s="947" t="n">
        <f aca="false">Weather_Input!B6</f>
        <v>59</v>
      </c>
      <c r="F10" s="948" t="s">
        <v>601</v>
      </c>
      <c r="G10" s="949" t="n">
        <f aca="false">IF(E12&lt;65,65-(Weather_Input!B6+Weather_Input!C6)/2,0)</f>
        <v>13.5</v>
      </c>
      <c r="H10" s="950" t="s">
        <v>602</v>
      </c>
      <c r="I10" s="951" t="n">
        <f aca="true">G10-(VLOOKUP(B10,DD_Normal_Data,CELL("Col",B11),FALSE()))</f>
        <v>8.5</v>
      </c>
    </row>
    <row r="11" customFormat="false" ht="15" hidden="false" customHeight="false" outlineLevel="0" collapsed="false">
      <c r="A11" s="939"/>
      <c r="B11" s="945"/>
      <c r="C11" s="13"/>
      <c r="D11" s="946" t="s">
        <v>284</v>
      </c>
      <c r="E11" s="947" t="n">
        <f aca="false">Weather_Input!C6</f>
        <v>44</v>
      </c>
      <c r="F11" s="948" t="s">
        <v>603</v>
      </c>
      <c r="G11" s="949" t="n">
        <f aca="false">IF(DAY(B10)=1,G10,G6+G10)</f>
        <v>121.5</v>
      </c>
      <c r="H11" s="950" t="s">
        <v>604</v>
      </c>
      <c r="I11" s="951" t="n">
        <f aca="true">G11-(VLOOKUP(B10,DD_Normal_Data,CELL("Col",C12),FALSE()))</f>
        <v>-72.5</v>
      </c>
      <c r="DE11" s="27" t="s">
        <v>607</v>
      </c>
    </row>
    <row r="12" customFormat="false" ht="15" hidden="false" customHeight="false" outlineLevel="0" collapsed="false">
      <c r="A12" s="939"/>
      <c r="B12" s="941"/>
      <c r="C12" s="13"/>
      <c r="D12" s="946" t="s">
        <v>605</v>
      </c>
      <c r="E12" s="947" t="n">
        <f aca="false">(Weather_Input!C6+Weather_Input!B6)/2</f>
        <v>51.5</v>
      </c>
      <c r="F12" s="948" t="s">
        <v>606</v>
      </c>
      <c r="G12" s="949" t="n">
        <f aca="false">IF(AND(DAY(B10)=1,MONTH(B10)=8),G10,G7+G10)</f>
        <v>6528.5</v>
      </c>
      <c r="H12" s="950" t="s">
        <v>606</v>
      </c>
      <c r="I12" s="951" t="n">
        <f aca="true">G12-(VLOOKUP(B10,DD_Normal_Data,CELL("Col",D9),FALSE()))</f>
        <v>183.5</v>
      </c>
    </row>
    <row r="13" customFormat="false" ht="15" hidden="false" customHeight="false" outlineLevel="0" collapsed="false">
      <c r="A13" s="939"/>
      <c r="B13" s="945"/>
      <c r="C13" s="13"/>
      <c r="D13" s="954" t="str">
        <f aca="false">IF(Weather_Input!I6=""," ",Weather_Input!I6)</f>
        <v>CLOUDY WITH SHOWERS AND A FEW T'STORMS LIKELY. CHANCE OF RAIN 70%. OVER</v>
      </c>
      <c r="E13" s="947"/>
      <c r="F13" s="947"/>
      <c r="G13" s="949"/>
      <c r="H13" s="950"/>
      <c r="I13" s="951"/>
    </row>
    <row r="14" customFormat="false" ht="15" hidden="false" customHeight="false" outlineLevel="0" collapsed="false">
      <c r="A14" s="939"/>
      <c r="B14" s="945"/>
      <c r="C14" s="13"/>
      <c r="D14" s="954" t="str">
        <f aca="false">IF(Weather_Input!J6=""," ",Weather_Input!J6)</f>
        <v>NIGHT…MOSTLY CLOUDY WITH A 50% CHANCE OF SHOWERS.</v>
      </c>
      <c r="E14" s="947"/>
      <c r="F14" s="949"/>
      <c r="G14" s="949"/>
      <c r="H14" s="950"/>
      <c r="I14" s="951"/>
    </row>
    <row r="15" customFormat="false" ht="15" hidden="false" customHeight="false" outlineLevel="0" collapsed="false">
      <c r="A15" s="939" t="str">
        <f aca="false">CHOOSE(WEEKDAY(B15),"Sunday","Monday","Tuesday","Wednesday","Thursday","Friday","Saturday")</f>
        <v>Friday</v>
      </c>
      <c r="B15" s="945" t="n">
        <f aca="false">Weather_Input!A7</f>
        <v>37036</v>
      </c>
      <c r="C15" s="13"/>
      <c r="D15" s="946" t="s">
        <v>600</v>
      </c>
      <c r="E15" s="947" t="n">
        <f aca="false">Weather_Input!B7</f>
        <v>60</v>
      </c>
      <c r="F15" s="948" t="s">
        <v>601</v>
      </c>
      <c r="G15" s="949" t="n">
        <f aca="false">IF(E17&lt;65,65-(Weather_Input!B7+Weather_Input!C7)/2,0)</f>
        <v>13</v>
      </c>
      <c r="H15" s="950" t="s">
        <v>602</v>
      </c>
      <c r="I15" s="951" t="n">
        <f aca="true">G15-(VLOOKUP(B15,DD_Normal_Data,CELL("Col",B16),FALSE()))</f>
        <v>8</v>
      </c>
    </row>
    <row r="16" customFormat="false" ht="15" hidden="false" customHeight="false" outlineLevel="0" collapsed="false">
      <c r="A16" s="939"/>
      <c r="B16" s="941"/>
      <c r="C16" s="13"/>
      <c r="D16" s="946" t="s">
        <v>284</v>
      </c>
      <c r="E16" s="947" t="n">
        <f aca="false">Weather_Input!C7</f>
        <v>44</v>
      </c>
      <c r="F16" s="948" t="s">
        <v>603</v>
      </c>
      <c r="G16" s="949" t="n">
        <f aca="false">IF(DAY(B15)=1,G15,G11+G15)</f>
        <v>134.5</v>
      </c>
      <c r="H16" s="950" t="s">
        <v>604</v>
      </c>
      <c r="I16" s="951" t="n">
        <f aca="true">G16-(VLOOKUP(B15,DD_Normal_Data,CELL("Col",C17),FALSE()))</f>
        <v>-64.5</v>
      </c>
      <c r="DE16" s="27" t="s">
        <v>31</v>
      </c>
    </row>
    <row r="17" customFormat="false" ht="15" hidden="false" customHeight="false" outlineLevel="0" collapsed="false">
      <c r="A17" s="939"/>
      <c r="B17" s="945"/>
      <c r="C17" s="13"/>
      <c r="D17" s="946" t="s">
        <v>605</v>
      </c>
      <c r="E17" s="947" t="n">
        <f aca="false">(Weather_Input!C7+Weather_Input!B7)/2</f>
        <v>52</v>
      </c>
      <c r="F17" s="948" t="s">
        <v>606</v>
      </c>
      <c r="G17" s="949" t="n">
        <f aca="false">IF(AND(DAY(B15)=1,MONTH(B15)=8),G15,G12+G15)</f>
        <v>6541.5</v>
      </c>
      <c r="H17" s="950" t="s">
        <v>606</v>
      </c>
      <c r="I17" s="951" t="n">
        <f aca="true">G17-(VLOOKUP(B15,DD_Normal_Data,CELL("Col",D14),FALSE()))</f>
        <v>191.5</v>
      </c>
    </row>
    <row r="18" customFormat="false" ht="15" hidden="false" customHeight="false" outlineLevel="0" collapsed="false">
      <c r="A18" s="939"/>
      <c r="B18" s="941"/>
      <c r="C18" s="13"/>
      <c r="D18" s="954" t="str">
        <f aca="false">IF(Weather_Input!I7=""," ",Weather_Input!I7)</f>
        <v>SHOWERS LIKELY.</v>
      </c>
      <c r="E18" s="947"/>
      <c r="F18" s="947"/>
      <c r="G18" s="949"/>
      <c r="H18" s="950"/>
      <c r="I18" s="951"/>
    </row>
    <row r="19" customFormat="false" ht="15" hidden="false" customHeight="false" outlineLevel="0" collapsed="false">
      <c r="A19" s="939"/>
      <c r="B19" s="945"/>
      <c r="C19" s="13"/>
      <c r="D19" s="954" t="str">
        <f aca="false">IF(Weather_Input!J7=""," ",Weather_Input!J7)</f>
        <v> </v>
      </c>
      <c r="E19" s="947"/>
      <c r="F19" s="947"/>
      <c r="G19" s="949"/>
      <c r="H19" s="950"/>
      <c r="I19" s="951"/>
    </row>
    <row r="20" customFormat="false" ht="15" hidden="false" customHeight="false" outlineLevel="0" collapsed="false">
      <c r="A20" s="939" t="str">
        <f aca="false">CHOOSE(WEEKDAY(B20),"Sunday","Monday","Tuesday","Wednesday","Thursday","Friday","Saturday")</f>
        <v>Saturday</v>
      </c>
      <c r="B20" s="945" t="n">
        <f aca="false">Weather_Input!A8</f>
        <v>37037</v>
      </c>
      <c r="C20" s="13"/>
      <c r="D20" s="946" t="s">
        <v>600</v>
      </c>
      <c r="E20" s="947" t="n">
        <f aca="false">Weather_Input!B8</f>
        <v>62</v>
      </c>
      <c r="F20" s="948" t="s">
        <v>601</v>
      </c>
      <c r="G20" s="949" t="n">
        <f aca="false">IF(E22&lt;65,65-(Weather_Input!B8+Weather_Input!C8)/2,0)</f>
        <v>11.5</v>
      </c>
      <c r="H20" s="950" t="s">
        <v>602</v>
      </c>
      <c r="I20" s="951" t="n">
        <f aca="true">G20-(VLOOKUP(B20,DD_Normal_Data,CELL("Col",B21),FALSE()))</f>
        <v>6.5</v>
      </c>
    </row>
    <row r="21" customFormat="false" ht="15" hidden="false" customHeight="false" outlineLevel="0" collapsed="false">
      <c r="A21" s="939"/>
      <c r="B21" s="945"/>
      <c r="C21" s="13"/>
      <c r="D21" s="946" t="s">
        <v>284</v>
      </c>
      <c r="E21" s="947" t="n">
        <f aca="false">Weather_Input!C8</f>
        <v>45</v>
      </c>
      <c r="F21" s="948" t="s">
        <v>603</v>
      </c>
      <c r="G21" s="949" t="n">
        <f aca="false">IF(DAY(B20)=1,G20,G16+G20)</f>
        <v>146</v>
      </c>
      <c r="H21" s="950" t="s">
        <v>604</v>
      </c>
      <c r="I21" s="951" t="n">
        <f aca="true">G21-(VLOOKUP(B20,DD_Normal_Data,CELL("Col",C22),FALSE()))</f>
        <v>-58</v>
      </c>
      <c r="DE21" s="27" t="s">
        <v>608</v>
      </c>
    </row>
    <row r="22" customFormat="false" ht="15" hidden="false" customHeight="false" outlineLevel="0" collapsed="false">
      <c r="A22" s="939"/>
      <c r="B22" s="945"/>
      <c r="C22" s="13"/>
      <c r="D22" s="946" t="s">
        <v>605</v>
      </c>
      <c r="E22" s="947" t="n">
        <f aca="false">(Weather_Input!C8+Weather_Input!B8)/2</f>
        <v>53.5</v>
      </c>
      <c r="F22" s="948" t="s">
        <v>606</v>
      </c>
      <c r="G22" s="949" t="n">
        <f aca="false">IF(AND(DAY(B20)=1,MONTH(B20)=8),G20,G17+G20)</f>
        <v>6553</v>
      </c>
      <c r="H22" s="950" t="s">
        <v>606</v>
      </c>
      <c r="I22" s="951" t="n">
        <f aca="true">G22-(VLOOKUP(B20,DD_Normal_Data,CELL("Col",D19),FALSE()))</f>
        <v>198</v>
      </c>
    </row>
    <row r="23" customFormat="false" ht="15" hidden="false" customHeight="false" outlineLevel="0" collapsed="false">
      <c r="A23" s="939"/>
      <c r="B23" s="945"/>
      <c r="C23" s="13"/>
      <c r="D23" s="954" t="str">
        <f aca="false">IF(Weather_Input!I8=""," ",Weather_Input!I8)</f>
        <v>A CHANCE OF SHOWERS.</v>
      </c>
      <c r="E23" s="949"/>
      <c r="F23" s="947"/>
      <c r="G23" s="949"/>
      <c r="H23" s="950"/>
      <c r="I23" s="951"/>
    </row>
    <row r="24" customFormat="false" ht="15" hidden="false" customHeight="false" outlineLevel="0" collapsed="false">
      <c r="A24" s="939"/>
      <c r="B24" s="941"/>
      <c r="C24" s="13"/>
      <c r="D24" s="954" t="str">
        <f aca="false">IF(Weather_Input!J8=""," ",Weather_Input!J8)</f>
        <v> </v>
      </c>
      <c r="E24" s="949"/>
      <c r="F24" s="947"/>
      <c r="G24" s="949"/>
      <c r="H24" s="950"/>
      <c r="I24" s="951"/>
    </row>
    <row r="25" customFormat="false" ht="15" hidden="false" customHeight="false" outlineLevel="0" collapsed="false">
      <c r="A25" s="939" t="str">
        <f aca="false">CHOOSE(WEEKDAY(B25),"Sunday","Monday","Tuesday","Wednesday","Thursday","Friday","Saturday")</f>
        <v>Sunday</v>
      </c>
      <c r="B25" s="945" t="n">
        <f aca="false">Weather_Input!A9</f>
        <v>37038</v>
      </c>
      <c r="C25" s="13"/>
      <c r="D25" s="946" t="s">
        <v>600</v>
      </c>
      <c r="E25" s="947" t="n">
        <f aca="false">Weather_Input!B9</f>
        <v>65</v>
      </c>
      <c r="F25" s="948" t="s">
        <v>601</v>
      </c>
      <c r="G25" s="949" t="n">
        <f aca="false">IF(E27&lt;65,65-(Weather_Input!B9+Weather_Input!C9)/2,0)</f>
        <v>8.5</v>
      </c>
      <c r="H25" s="950" t="s">
        <v>602</v>
      </c>
      <c r="I25" s="951" t="n">
        <f aca="true">G25-(VLOOKUP(B25,DD_Normal_Data,CELL("Col",B26),FALSE()))</f>
        <v>3.5</v>
      </c>
    </row>
    <row r="26" customFormat="false" ht="15" hidden="false" customHeight="false" outlineLevel="0" collapsed="false">
      <c r="A26" s="939"/>
      <c r="B26" s="945"/>
      <c r="C26" s="13"/>
      <c r="D26" s="946" t="s">
        <v>284</v>
      </c>
      <c r="E26" s="947" t="n">
        <f aca="false">Weather_Input!C9</f>
        <v>48</v>
      </c>
      <c r="F26" s="948" t="s">
        <v>603</v>
      </c>
      <c r="G26" s="949" t="n">
        <f aca="false">IF(DAY(B25)=1,G25,G21+G25)</f>
        <v>154.5</v>
      </c>
      <c r="H26" s="950" t="s">
        <v>604</v>
      </c>
      <c r="I26" s="951" t="n">
        <f aca="true">G26-(VLOOKUP(B25,DD_Normal_Data,CELL("Col",C27),FALSE()))</f>
        <v>-54.5</v>
      </c>
      <c r="DE26" s="27" t="s">
        <v>609</v>
      </c>
    </row>
    <row r="27" customFormat="false" ht="15" hidden="false" customHeight="false" outlineLevel="0" collapsed="false">
      <c r="A27" s="939"/>
      <c r="B27" s="941"/>
      <c r="C27" s="13"/>
      <c r="D27" s="946" t="s">
        <v>605</v>
      </c>
      <c r="E27" s="947" t="n">
        <f aca="false">(Weather_Input!C9+Weather_Input!B9)/2</f>
        <v>56.5</v>
      </c>
      <c r="F27" s="948" t="s">
        <v>606</v>
      </c>
      <c r="G27" s="949" t="n">
        <f aca="false">IF(AND(DAY(B25)=1,MONTH(B25)=8),G25,G22+G25)</f>
        <v>6561.5</v>
      </c>
      <c r="H27" s="950" t="s">
        <v>606</v>
      </c>
      <c r="I27" s="951" t="n">
        <f aca="true">G27-(VLOOKUP(B25,DD_Normal_Data,CELL("Col",D24),FALSE()))</f>
        <v>201.5</v>
      </c>
    </row>
    <row r="28" customFormat="false" ht="15" hidden="false" customHeight="false" outlineLevel="0" collapsed="false">
      <c r="A28" s="939"/>
      <c r="B28" s="941"/>
      <c r="C28" s="13"/>
      <c r="D28" s="954" t="str">
        <f aca="false">IF(Weather_Input!I9=""," ",Weather_Input!I9)</f>
        <v>A CHANCE OF SHOWERS.</v>
      </c>
      <c r="E28" s="949"/>
      <c r="F28" s="947"/>
      <c r="G28" s="949"/>
      <c r="H28" s="950"/>
      <c r="I28" s="951"/>
    </row>
    <row r="29" customFormat="false" ht="15" hidden="false" customHeight="false" outlineLevel="0" collapsed="false">
      <c r="A29" s="939"/>
      <c r="B29" s="941"/>
      <c r="C29" s="13"/>
      <c r="D29" s="954" t="str">
        <f aca="false">IF(Weather_Input!J9=""," ",Weather_Input!J9)</f>
        <v> </v>
      </c>
      <c r="E29" s="949"/>
      <c r="F29" s="949"/>
      <c r="G29" s="949"/>
      <c r="H29" s="950"/>
      <c r="I29" s="951"/>
    </row>
    <row r="30" customFormat="false" ht="15" hidden="false" customHeight="false" outlineLevel="0" collapsed="false">
      <c r="A30" s="939" t="str">
        <f aca="false">CHOOSE(WEEKDAY(B30),"Sunday","Monday","Tuesday","Wednesday","Thursday","Friday","Saturday")</f>
        <v>Monday</v>
      </c>
      <c r="B30" s="945" t="n">
        <f aca="false">Weather_Input!A10</f>
        <v>37039</v>
      </c>
      <c r="C30" s="13"/>
      <c r="D30" s="946" t="s">
        <v>600</v>
      </c>
      <c r="E30" s="947" t="n">
        <f aca="false">Weather_Input!B10</f>
        <v>65</v>
      </c>
      <c r="F30" s="948" t="s">
        <v>601</v>
      </c>
      <c r="G30" s="949" t="n">
        <f aca="false">IF(E32&lt;65,65-(Weather_Input!B10+Weather_Input!C10)/2,0)</f>
        <v>8.5</v>
      </c>
      <c r="H30" s="950" t="s">
        <v>602</v>
      </c>
      <c r="I30" s="951" t="n">
        <f aca="true">G30-(VLOOKUP(B30,DD_Normal_Data,CELL("Col",B31),FALSE()))</f>
        <v>4.5</v>
      </c>
    </row>
    <row r="31" customFormat="false" ht="15" hidden="false" customHeight="false" outlineLevel="0" collapsed="false">
      <c r="A31" s="13"/>
      <c r="B31" s="13"/>
      <c r="C31" s="13"/>
      <c r="D31" s="946" t="s">
        <v>284</v>
      </c>
      <c r="E31" s="947" t="n">
        <f aca="false">Weather_Input!C10</f>
        <v>48</v>
      </c>
      <c r="F31" s="948" t="s">
        <v>603</v>
      </c>
      <c r="G31" s="949" t="n">
        <f aca="false">IF(DAY(B30)=1,G30,G26+G30)</f>
        <v>163</v>
      </c>
      <c r="H31" s="950" t="s">
        <v>604</v>
      </c>
      <c r="I31" s="951" t="n">
        <f aca="true">G31-(VLOOKUP(B30,DD_Normal_Data,CELL("Col",C32),FALSE()))</f>
        <v>-50</v>
      </c>
      <c r="DE31" s="27" t="s">
        <v>27</v>
      </c>
    </row>
    <row r="32" customFormat="false" ht="15" hidden="false" customHeight="false" outlineLevel="0" collapsed="false">
      <c r="A32" s="13"/>
      <c r="B32" s="13"/>
      <c r="C32" s="13"/>
      <c r="D32" s="946" t="s">
        <v>605</v>
      </c>
      <c r="E32" s="947" t="n">
        <f aca="false">(Weather_Input!C10+Weather_Input!B10)/2</f>
        <v>56.5</v>
      </c>
      <c r="F32" s="948" t="s">
        <v>606</v>
      </c>
      <c r="G32" s="949" t="n">
        <f aca="false">IF(AND(DAY(B30)=1,MONTH(B30)=8),G30,G27+G30)</f>
        <v>6570</v>
      </c>
      <c r="H32" s="950" t="s">
        <v>606</v>
      </c>
      <c r="I32" s="951" t="n">
        <f aca="true">G32-(VLOOKUP(B30,DD_Normal_Data,CELL("Col",D29),FALSE()))</f>
        <v>206</v>
      </c>
    </row>
    <row r="33" customFormat="false" ht="15" hidden="false" customHeight="false" outlineLevel="0" collapsed="false">
      <c r="A33" s="13"/>
      <c r="B33" s="957"/>
      <c r="C33" s="13"/>
      <c r="D33" s="954" t="str">
        <f aca="false">IF(Weather_Input!I10=""," ",Weather_Input!I10)</f>
        <v>A CHANCE OF SHOWERS.</v>
      </c>
      <c r="E33" s="13"/>
      <c r="F33" s="958"/>
      <c r="G33" s="13"/>
      <c r="H33" s="938"/>
      <c r="I33" s="13"/>
    </row>
    <row r="34" customFormat="false" ht="15.75" hidden="false" customHeight="false" outlineLevel="0" collapsed="false">
      <c r="A34" s="959"/>
      <c r="B34" s="960"/>
      <c r="C34" s="959"/>
      <c r="D34" s="961" t="str">
        <f aca="false">IF(Weather_Input!J10=""," ",Weather_Input!J10)</f>
        <v> </v>
      </c>
      <c r="E34" s="959"/>
      <c r="F34" s="962"/>
      <c r="G34" s="959"/>
      <c r="H34" s="963"/>
      <c r="I34" s="960"/>
    </row>
    <row r="35" customFormat="false" ht="15" hidden="false" customHeight="false" outlineLevel="0" collapsed="false">
      <c r="A35" s="940" t="s">
        <v>610</v>
      </c>
      <c r="B35" s="939" t="s">
        <v>255</v>
      </c>
      <c r="C35" s="13"/>
      <c r="D35" s="13"/>
      <c r="E35" s="13"/>
      <c r="F35" s="16"/>
      <c r="G35" s="964"/>
      <c r="H35" s="964"/>
      <c r="I35" s="13"/>
    </row>
    <row r="36" customFormat="false" ht="15" hidden="false" customHeight="false" outlineLevel="0" collapsed="false">
      <c r="A36" s="965" t="s">
        <v>63</v>
      </c>
      <c r="B36" s="966" t="n">
        <f aca="false">B5</f>
        <v>37034</v>
      </c>
      <c r="C36" s="966" t="n">
        <f aca="false">B10</f>
        <v>37035</v>
      </c>
      <c r="D36" s="966" t="n">
        <f aca="false">B15</f>
        <v>37036</v>
      </c>
      <c r="E36" s="966" t="n">
        <f aca="false">B20</f>
        <v>37037</v>
      </c>
      <c r="F36" s="966" t="n">
        <f aca="false">B25</f>
        <v>37038</v>
      </c>
      <c r="G36" s="966" t="n">
        <f aca="false">B30</f>
        <v>37039</v>
      </c>
      <c r="H36" s="27"/>
      <c r="I36" s="13"/>
    </row>
    <row r="37" customFormat="false" ht="15" hidden="false" customHeight="false" outlineLevel="0" collapsed="false">
      <c r="A37" s="13" t="s">
        <v>70</v>
      </c>
      <c r="B37" s="967" t="n">
        <f aca="true">(VLOOKUP(B36,PGL_Sendouts,(CELL("COL",PGL_Deliveries!C6))))/1000</f>
        <v>317</v>
      </c>
      <c r="C37" s="967" t="n">
        <f aca="true">(VLOOKUP(C36,PGL_Sendouts,(CELL("COL",PGL_Deliveries!C7))))/1000</f>
        <v>310</v>
      </c>
      <c r="D37" s="967" t="n">
        <f aca="true">(VLOOKUP(D36,PGL_Sendouts,(CELL("COL",PGL_Deliveries!C8))))/1000</f>
        <v>290</v>
      </c>
      <c r="E37" s="967" t="n">
        <f aca="true">(VLOOKUP(E36,PGL_Sendouts,(CELL("COL",PGL_Deliveries!C9))))/1000</f>
        <v>260</v>
      </c>
      <c r="F37" s="967" t="n">
        <f aca="true">(VLOOKUP(F36,PGL_Sendouts,(CELL("COL",PGL_Deliveries!C10))))/1000</f>
        <v>270</v>
      </c>
      <c r="G37" s="967" t="n">
        <f aca="true">(VLOOKUP(G36,PGL_Sendouts,(CELL("COL",PGL_Deliveries!C10))))/1000</f>
        <v>275</v>
      </c>
      <c r="H37" s="27"/>
      <c r="I37" s="13"/>
    </row>
    <row r="38" customFormat="false" ht="15" hidden="false" customHeight="false" outlineLevel="0" collapsed="false">
      <c r="A38" s="13" t="s">
        <v>611</v>
      </c>
      <c r="B38" s="967" t="n">
        <f aca="false">PGL_6_Day_Report!D30</f>
        <v>522.46</v>
      </c>
      <c r="C38" s="967" t="n">
        <f aca="false">PGL_6_Day_Report!E30</f>
        <v>523.06</v>
      </c>
      <c r="D38" s="967" t="n">
        <f aca="false">PGL_6_Day_Report!F30</f>
        <v>483.06</v>
      </c>
      <c r="E38" s="967" t="n">
        <f aca="false">PGL_6_Day_Report!G30</f>
        <v>453.06</v>
      </c>
      <c r="F38" s="967" t="n">
        <f aca="false">PGL_6_Day_Report!H30</f>
        <v>463.06</v>
      </c>
      <c r="G38" s="967" t="n">
        <f aca="false">PGL_6_Day_Report!I30</f>
        <v>468.06</v>
      </c>
      <c r="H38" s="27"/>
      <c r="I38" s="13"/>
    </row>
    <row r="39" customFormat="false" ht="15" hidden="false" customHeight="false" outlineLevel="0" collapsed="false">
      <c r="A39" s="968" t="s">
        <v>164</v>
      </c>
      <c r="B39" s="967" t="n">
        <f aca="false">SUM(PGL_Supplies!Z7:AE7)/1000</f>
        <v>306.846</v>
      </c>
      <c r="C39" s="967" t="n">
        <f aca="false">SUM(PGL_Supplies!Z8:AE8)/1000</f>
        <v>367.377</v>
      </c>
      <c r="D39" s="967" t="n">
        <f aca="false">SUM(PGL_Supplies!Z9:AE9)/1000</f>
        <v>367.377</v>
      </c>
      <c r="E39" s="967" t="n">
        <f aca="false">SUM(PGL_Supplies!Z10:AE10)/1000</f>
        <v>367.377</v>
      </c>
      <c r="F39" s="967" t="n">
        <f aca="false">SUM(PGL_Supplies!Z11:AE11)/1000</f>
        <v>367.377</v>
      </c>
      <c r="G39" s="967" t="n">
        <f aca="false">SUM(PGL_Supplies!Z12:AE12)/1000</f>
        <v>367.377</v>
      </c>
      <c r="H39" s="27"/>
      <c r="I39" s="13"/>
    </row>
    <row r="40" customFormat="false" ht="15" hidden="false" customHeight="false" outlineLevel="0" collapsed="false">
      <c r="A40" s="968" t="s">
        <v>612</v>
      </c>
      <c r="B40" s="967" t="n">
        <f aca="false">(PGL_Supplies!N7+PGL_Supplies!O7+PGL_Supplies!P7+PGL_Supplies!R7+PGL_Supplies!S7)/1000</f>
        <v>0</v>
      </c>
      <c r="C40" s="967" t="n">
        <f aca="false">(PGL_Supplies!N8+PGL_Supplies!O8+PGL_Supplies!P8+PGL_Supplies!R8+PGL_Supplies!S8)/1000</f>
        <v>0</v>
      </c>
      <c r="D40" s="967" t="n">
        <f aca="false">(PGL_Supplies!N9+PGL_Supplies!O9+PGL_Supplies!P9+PGL_Supplies!R9+PGL_Supplies!S9)/1000</f>
        <v>0</v>
      </c>
      <c r="E40" s="967" t="n">
        <f aca="false">(PGL_Supplies!N10+PGL_Supplies!O10+PGL_Supplies!P10+PGL_Supplies!R10+PGL_Supplies!S10)/1000</f>
        <v>0</v>
      </c>
      <c r="F40" s="967" t="n">
        <f aca="false">(PGL_Supplies!N11+PGL_Supplies!O11+PGL_Supplies!P11+PGL_Supplies!R11+PGL_Supplies!S11)/1000</f>
        <v>0</v>
      </c>
      <c r="G40" s="967" t="n">
        <f aca="false">(PGL_Supplies!N12+PGL_Supplies!O12+PGL_Supplies!P12+PGL_Supplies!R12+PGL_Supplies!S12)/1000</f>
        <v>0</v>
      </c>
      <c r="H40" s="27"/>
      <c r="I40" s="13"/>
    </row>
    <row r="41" customFormat="false" ht="15" hidden="false" customHeight="false" outlineLevel="0" collapsed="false">
      <c r="A41" s="968" t="s">
        <v>613</v>
      </c>
      <c r="B41" s="967" t="n">
        <f aca="false">SUM(PGL_Requirements!R7:U7)/1000</f>
        <v>40.81</v>
      </c>
      <c r="C41" s="967" t="n">
        <f aca="false">SUM(PGL_Requirements!R7:U7)/1000</f>
        <v>40.81</v>
      </c>
      <c r="D41" s="967" t="n">
        <f aca="false">SUM(PGL_Requirements!R7:U7)/1000</f>
        <v>40.81</v>
      </c>
      <c r="E41" s="967" t="n">
        <f aca="false">SUM(PGL_Requirements!R7:U7)/1000</f>
        <v>40.81</v>
      </c>
      <c r="F41" s="967" t="n">
        <f aca="false">SUM(PGL_Requirements!R7:U7)/1000</f>
        <v>40.81</v>
      </c>
      <c r="G41" s="967" t="n">
        <f aca="false">SUM(PGL_Requirements!R7:U7)/1000</f>
        <v>40.81</v>
      </c>
      <c r="H41" s="27"/>
      <c r="I41" s="13"/>
    </row>
    <row r="42" customFormat="false" ht="15" hidden="false" customHeight="false" outlineLevel="0" collapsed="false">
      <c r="A42" s="13" t="s">
        <v>614</v>
      </c>
      <c r="B42" s="967" t="n">
        <f aca="false">PGL_Supplies!V7/1000</f>
        <v>177.36</v>
      </c>
      <c r="C42" s="967" t="n">
        <f aca="false">PGL_Supplies!V8/1000</f>
        <v>177.36</v>
      </c>
      <c r="D42" s="967" t="n">
        <f aca="false">PGL_Supplies!V9/1000</f>
        <v>177.36</v>
      </c>
      <c r="E42" s="967" t="n">
        <f aca="false">PGL_Supplies!V10/1000</f>
        <v>177.36</v>
      </c>
      <c r="F42" s="967" t="n">
        <f aca="false">PGL_Supplies!V11/1000</f>
        <v>177.36</v>
      </c>
      <c r="G42" s="967" t="n">
        <f aca="false">PGL_Supplies!V12/1000</f>
        <v>177.36</v>
      </c>
      <c r="H42" s="27"/>
      <c r="I42" s="13"/>
    </row>
    <row r="43" customFormat="false" ht="15" hidden="false" customHeight="false" outlineLevel="0" collapsed="false">
      <c r="B43" s="969"/>
      <c r="C43" s="969"/>
      <c r="D43" s="969"/>
      <c r="E43" s="970"/>
      <c r="F43" s="969"/>
      <c r="G43" s="969"/>
      <c r="H43" s="27"/>
      <c r="I43" s="13"/>
    </row>
    <row r="44" customFormat="false" ht="15" hidden="false" customHeight="false" outlineLevel="0" collapsed="false">
      <c r="A44" s="965" t="s">
        <v>124</v>
      </c>
      <c r="B44" s="966" t="n">
        <f aca="false">B36</f>
        <v>37034</v>
      </c>
      <c r="C44" s="966" t="n">
        <f aca="false">C36</f>
        <v>37035</v>
      </c>
      <c r="D44" s="966" t="n">
        <f aca="false">D36</f>
        <v>37036</v>
      </c>
      <c r="E44" s="966" t="n">
        <f aca="false">E36</f>
        <v>37037</v>
      </c>
      <c r="F44" s="966" t="n">
        <f aca="false">F36</f>
        <v>37038</v>
      </c>
      <c r="G44" s="966" t="n">
        <f aca="false">G36</f>
        <v>37039</v>
      </c>
      <c r="H44" s="27"/>
      <c r="I44" s="13"/>
    </row>
    <row r="45" customFormat="false" ht="15" hidden="false" customHeight="false" outlineLevel="0" collapsed="false">
      <c r="A45" s="13" t="s">
        <v>70</v>
      </c>
      <c r="B45" s="967" t="n">
        <f aca="false">NSG_6_Day_Report!D6</f>
        <v>63</v>
      </c>
      <c r="C45" s="967" t="n">
        <f aca="false">NSG_6_Day_Report!E6</f>
        <v>62</v>
      </c>
      <c r="D45" s="967" t="n">
        <f aca="false">NSG_6_Day_Report!F6</f>
        <v>59</v>
      </c>
      <c r="E45" s="967" t="n">
        <f aca="false">NSG_6_Day_Report!G6</f>
        <v>53</v>
      </c>
      <c r="F45" s="967" t="n">
        <f aca="false">NSG_6_Day_Report!H6</f>
        <v>52</v>
      </c>
      <c r="G45" s="967" t="n">
        <f aca="false">NSG_6_Day_Report!I6</f>
        <v>54</v>
      </c>
      <c r="H45" s="27"/>
      <c r="I45" s="13"/>
    </row>
    <row r="46" customFormat="false" ht="15" hidden="false" customHeight="false" outlineLevel="0" collapsed="false">
      <c r="A46" s="968" t="s">
        <v>611</v>
      </c>
      <c r="B46" s="967" t="n">
        <f aca="false">NSG_6_Day_Report!D19</f>
        <v>63</v>
      </c>
      <c r="C46" s="967" t="n">
        <f aca="false">NSG_6_Day_Report!E19</f>
        <v>63.25</v>
      </c>
      <c r="D46" s="967" t="n">
        <f aca="false">NSG_6_Day_Report!F19</f>
        <v>60.25</v>
      </c>
      <c r="E46" s="967" t="n">
        <f aca="false">NSG_6_Day_Report!G19</f>
        <v>54.25</v>
      </c>
      <c r="F46" s="967" t="n">
        <f aca="false">NSG_6_Day_Report!H19</f>
        <v>53.25</v>
      </c>
      <c r="G46" s="967" t="n">
        <f aca="false">NSG_6_Day_Report!I19</f>
        <v>55.25</v>
      </c>
      <c r="H46" s="27"/>
      <c r="I46" s="13"/>
    </row>
    <row r="47" customFormat="false" ht="15" hidden="false" customHeight="false" outlineLevel="0" collapsed="false">
      <c r="A47" s="968" t="s">
        <v>164</v>
      </c>
      <c r="B47" s="967" t="n">
        <f aca="false">SUM(NSG_Supplies!P7:R7)/1000</f>
        <v>58.798</v>
      </c>
      <c r="C47" s="967" t="n">
        <f aca="false">SUM(NSG_Supplies!P8:R8)/1000</f>
        <v>58.748</v>
      </c>
      <c r="D47" s="967" t="n">
        <f aca="false">SUM(NSG_Supplies!P9:R9)/1000</f>
        <v>58.748</v>
      </c>
      <c r="E47" s="967" t="n">
        <f aca="false">SUM(NSG_Supplies!P10:R10)/1000</f>
        <v>58.748</v>
      </c>
      <c r="F47" s="967" t="n">
        <f aca="false">SUM(NSG_Supplies!P11:R11)/1000</f>
        <v>58.748</v>
      </c>
      <c r="G47" s="967" t="n">
        <f aca="false">SUM(NSG_Supplies!P12:R12)/1000</f>
        <v>58.748</v>
      </c>
      <c r="H47" s="27"/>
      <c r="I47" s="13"/>
    </row>
    <row r="48" customFormat="false" ht="15" hidden="false" customHeight="false" outlineLevel="0" collapsed="false">
      <c r="A48" s="968" t="s">
        <v>612</v>
      </c>
      <c r="B48" s="967" t="n">
        <f aca="false">SUM(NSG_Supplies!I7:M7)/1000</f>
        <v>0</v>
      </c>
      <c r="C48" s="967" t="n">
        <f aca="false">SUM(NSG_Supplies!I8:M8)/1000</f>
        <v>0</v>
      </c>
      <c r="D48" s="967" t="n">
        <f aca="false">SUM(NSG_Supplies!I9:M9)/1000</f>
        <v>0</v>
      </c>
      <c r="E48" s="967" t="n">
        <f aca="false">SUM(NSG_Supplies!I10:M10)/1000</f>
        <v>0</v>
      </c>
      <c r="F48" s="967" t="n">
        <f aca="false">SUM(NSG_Supplies!I11:M11)/1000</f>
        <v>0</v>
      </c>
      <c r="G48" s="967" t="n">
        <f aca="false">SUM(NSG_Supplies!I12:M12)/1000</f>
        <v>0</v>
      </c>
      <c r="H48" s="27"/>
      <c r="I48" s="13"/>
    </row>
    <row r="49" customFormat="false" ht="15" hidden="false" customHeight="false" outlineLevel="0" collapsed="false">
      <c r="A49" s="968" t="s">
        <v>613</v>
      </c>
      <c r="B49" s="967" t="n">
        <f aca="false">SUM(NSG_Requirements!L7:R7)/1000</f>
        <v>0</v>
      </c>
      <c r="C49" s="967" t="n">
        <f aca="false">SUM(NSG_Requirements!L8:R8)/1000</f>
        <v>0</v>
      </c>
      <c r="D49" s="967" t="n">
        <f aca="false">SUM(NSG_Requirements!L9:R9)/1000</f>
        <v>0</v>
      </c>
      <c r="E49" s="967" t="n">
        <f aca="false">SUM(NSG_Requirements!L10:R10)/1000</f>
        <v>0</v>
      </c>
      <c r="F49" s="967" t="n">
        <f aca="false">SUM(NSG_Requirements!L11:R11)/1000</f>
        <v>0</v>
      </c>
      <c r="G49" s="967" t="n">
        <f aca="false">SUM(NSG_Requirements!L12:R12)/1000</f>
        <v>0</v>
      </c>
      <c r="H49" s="27"/>
      <c r="I49" s="13"/>
    </row>
    <row r="50" customFormat="false" ht="15" hidden="false" customHeight="false" outlineLevel="0" collapsed="false">
      <c r="A50" s="13" t="s">
        <v>614</v>
      </c>
      <c r="B50" s="967" t="n">
        <f aca="false">NSG_Supplies!S7/1000</f>
        <v>18.848</v>
      </c>
      <c r="C50" s="967" t="n">
        <f aca="false">NSG_Supplies!S8/1000</f>
        <v>18.848</v>
      </c>
      <c r="D50" s="967" t="n">
        <f aca="false">NSG_Supplies!S9/1000</f>
        <v>18.848</v>
      </c>
      <c r="E50" s="967" t="n">
        <f aca="false">NSG_Supplies!S10/1000</f>
        <v>18.848</v>
      </c>
      <c r="F50" s="967" t="n">
        <f aca="false">NSG_Supplies!S11/1000</f>
        <v>18.848</v>
      </c>
      <c r="G50" s="967" t="n">
        <f aca="false">NSG_Supplies!S12/1000</f>
        <v>18.848</v>
      </c>
      <c r="H50" s="27"/>
      <c r="I50" s="13"/>
    </row>
    <row r="51" customFormat="false" ht="15" hidden="false" customHeight="false" outlineLevel="0" collapsed="false">
      <c r="B51" s="969"/>
      <c r="C51" s="969"/>
      <c r="D51" s="969"/>
      <c r="E51" s="970"/>
      <c r="F51" s="969"/>
      <c r="G51" s="969"/>
      <c r="H51" s="27"/>
      <c r="I51" s="13"/>
    </row>
    <row r="52" customFormat="false" ht="15" hidden="false" customHeight="false" outlineLevel="0" collapsed="false">
      <c r="A52" s="965" t="s">
        <v>615</v>
      </c>
      <c r="B52" s="966" t="n">
        <f aca="false">B36</f>
        <v>37034</v>
      </c>
      <c r="C52" s="966" t="n">
        <f aca="false">C36</f>
        <v>37035</v>
      </c>
      <c r="D52" s="966" t="n">
        <f aca="false">D36</f>
        <v>37036</v>
      </c>
      <c r="E52" s="966" t="n">
        <f aca="false">E36</f>
        <v>37037</v>
      </c>
      <c r="F52" s="966" t="n">
        <f aca="false">F36</f>
        <v>37038</v>
      </c>
      <c r="G52" s="966" t="n">
        <f aca="false">G36</f>
        <v>37039</v>
      </c>
      <c r="H52" s="27"/>
      <c r="I52" s="13"/>
    </row>
    <row r="53" customFormat="false" ht="15" hidden="false" customHeight="false" outlineLevel="0" collapsed="false">
      <c r="A53" s="971" t="s">
        <v>616</v>
      </c>
      <c r="B53" s="967" t="n">
        <f aca="false">PGL_Requirements!P7/1000</f>
        <v>150</v>
      </c>
      <c r="C53" s="967" t="n">
        <f aca="false">PGL_Requirements!P8/1000</f>
        <v>150</v>
      </c>
      <c r="D53" s="967" t="n">
        <f aca="false">PGL_Requirements!P9/1000</f>
        <v>150</v>
      </c>
      <c r="E53" s="967" t="n">
        <f aca="false">PGL_Requirements!P10/1000</f>
        <v>150</v>
      </c>
      <c r="F53" s="967" t="n">
        <f aca="false">PGL_Requirements!P11/1000</f>
        <v>150</v>
      </c>
      <c r="G53" s="967" t="n">
        <f aca="false">PGL_Requirements!P12/1000</f>
        <v>150</v>
      </c>
      <c r="H53" s="27"/>
      <c r="I53" s="13"/>
    </row>
    <row r="54" customFormat="false" ht="15" hidden="false" customHeight="false" outlineLevel="0" collapsed="false">
      <c r="A54" s="13" t="s">
        <v>617</v>
      </c>
      <c r="B54" s="967" t="n">
        <f aca="false">PGL_Supplies!M7/1000</f>
        <v>0</v>
      </c>
      <c r="C54" s="967" t="n">
        <f aca="false">PGL_Supplies!M8/1000</f>
        <v>0</v>
      </c>
      <c r="D54" s="967" t="n">
        <f aca="false">PGL_Supplies!M9/1000</f>
        <v>0</v>
      </c>
      <c r="E54" s="967" t="n">
        <f aca="false">PGL_Supplies!M10/1000</f>
        <v>0</v>
      </c>
      <c r="F54" s="967" t="n">
        <f aca="false">PGL_Supplies!M11/1000</f>
        <v>0</v>
      </c>
      <c r="G54" s="967" t="n">
        <f aca="false">PGL_Supplies!M12/1000</f>
        <v>0</v>
      </c>
      <c r="H54" s="27"/>
      <c r="I54" s="13"/>
    </row>
    <row r="56" customFormat="false" ht="15.75" hidden="false" customHeight="false" outlineLevel="0" collapsed="false">
      <c r="A56" s="972" t="s">
        <v>618</v>
      </c>
    </row>
    <row r="57" customFormat="false" ht="15.75" hidden="false" customHeight="false" outlineLevel="0" collapsed="false">
      <c r="A57" s="936" t="s">
        <v>619</v>
      </c>
    </row>
    <row r="58" customFormat="false" ht="15.75" hidden="false" customHeight="false" outlineLevel="0" collapsed="false">
      <c r="A58" s="936" t="s">
        <v>620</v>
      </c>
      <c r="G58" s="973"/>
    </row>
    <row r="59" customFormat="false" ht="15.75" hidden="false" customHeight="false" outlineLevel="0" collapsed="false">
      <c r="A59" s="936" t="s">
        <v>621</v>
      </c>
    </row>
    <row r="60" customFormat="false" ht="15.75" hidden="false" customHeight="false" outlineLevel="0" collapsed="false">
      <c r="A60" s="936" t="s">
        <v>622</v>
      </c>
    </row>
  </sheetData>
  <mergeCells count="2">
    <mergeCell ref="D4:E4"/>
    <mergeCell ref="F4:G4"/>
  </mergeCells>
  <printOptions headings="false" gridLines="false" gridLinesSet="true" horizontalCentered="false" verticalCentered="false"/>
  <pageMargins left="0.8" right="0.25" top="0.25" bottom="0.5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H3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15.77"/>
    <col collapsed="false" customWidth="true" hidden="false" outlineLevel="0" max="2" min="2" style="0" width="10.32"/>
    <col collapsed="false" customWidth="true" hidden="false" outlineLevel="0" max="4" min="3" style="0" width="10.21"/>
    <col collapsed="false" customWidth="true" hidden="false" outlineLevel="0" max="5" min="5" style="0" width="10.99"/>
    <col collapsed="false" customWidth="true" hidden="false" outlineLevel="0" max="6" min="6" style="0" width="10.77"/>
  </cols>
  <sheetData>
    <row r="1" customFormat="false" ht="15.75" hidden="false" customHeight="false" outlineLevel="0" collapsed="false">
      <c r="A1" s="974" t="s">
        <v>1</v>
      </c>
      <c r="B1" s="974"/>
      <c r="C1" s="975" t="s">
        <v>1</v>
      </c>
      <c r="D1" s="975"/>
      <c r="E1" s="975"/>
      <c r="F1" s="975"/>
    </row>
    <row r="2" customFormat="false" ht="15.75" hidden="false" customHeight="false" outlineLevel="0" collapsed="false">
      <c r="A2" s="0" t="s">
        <v>1</v>
      </c>
      <c r="C2" s="976"/>
      <c r="D2" s="976"/>
      <c r="E2" s="976"/>
      <c r="F2" s="977"/>
    </row>
    <row r="3" customFormat="false" ht="15.75" hidden="false" customHeight="false" outlineLevel="0" collapsed="false">
      <c r="A3" s="109" t="s">
        <v>623</v>
      </c>
    </row>
    <row r="4" customFormat="false" ht="15" hidden="false" customHeight="false" outlineLevel="0" collapsed="false">
      <c r="A4" s="978"/>
      <c r="B4" s="979" t="str">
        <f aca="false">Six_Day_Summary!A10</f>
        <v>Thursday</v>
      </c>
      <c r="C4" s="980" t="str">
        <f aca="false">Six_Day_Summary!A15</f>
        <v>Friday</v>
      </c>
      <c r="D4" s="980" t="str">
        <f aca="false">Six_Day_Summary!A20</f>
        <v>Saturday</v>
      </c>
      <c r="E4" s="980" t="str">
        <f aca="false">Six_Day_Summary!A25</f>
        <v>Sunday</v>
      </c>
      <c r="F4" s="981" t="str">
        <f aca="false">Six_Day_Summary!A30</f>
        <v>Monday</v>
      </c>
      <c r="G4" s="982"/>
    </row>
    <row r="5" customFormat="false" ht="15" hidden="false" customHeight="false" outlineLevel="0" collapsed="false">
      <c r="A5" s="983" t="s">
        <v>624</v>
      </c>
      <c r="B5" s="984" t="n">
        <f aca="false">Weather_Input!A6</f>
        <v>37035</v>
      </c>
      <c r="C5" s="985" t="n">
        <f aca="false">Weather_Input!A7</f>
        <v>37036</v>
      </c>
      <c r="D5" s="985" t="n">
        <f aca="false">Weather_Input!A8</f>
        <v>37037</v>
      </c>
      <c r="E5" s="985" t="n">
        <f aca="false">Weather_Input!A9</f>
        <v>37038</v>
      </c>
      <c r="F5" s="986" t="n">
        <f aca="false">Weather_Input!A10</f>
        <v>37039</v>
      </c>
      <c r="G5" s="982"/>
    </row>
    <row r="6" customFormat="false" ht="15" hidden="false" customHeight="false" outlineLevel="0" collapsed="false">
      <c r="A6" s="982" t="s">
        <v>625</v>
      </c>
      <c r="B6" s="987" t="n">
        <f aca="false">PGL_Supplies!AC8/1000+PGL_Supplies!L8/1000-PGL_Requirements!O8/1000-PGL_Requirements!T8/1000+B8</f>
        <v>77.148</v>
      </c>
      <c r="C6" s="987" t="n">
        <f aca="false">PGL_Supplies!AC9/1000+PGL_Supplies!L9/1000-PGL_Requirements!O9/1000+C15-PGL_Requirements!T9/1000</f>
        <v>77.148</v>
      </c>
      <c r="D6" s="987" t="n">
        <f aca="false">PGL_Supplies!AC10/1000+PGL_Supplies!L10/1000-PGL_Requirements!O10/1000+D15-PGL_Requirements!T10/1000</f>
        <v>77.148</v>
      </c>
      <c r="E6" s="987" t="n">
        <f aca="false">PGL_Supplies!AC11/1000+PGL_Supplies!L11/1000-PGL_Requirements!O11/1000+E15-PGL_Requirements!T11/1000</f>
        <v>77.148</v>
      </c>
      <c r="F6" s="988" t="n">
        <f aca="false">PGL_Supplies!AC12/1000+PGL_Supplies!L12/1000-PGL_Requirements!O12/1000+F15-PGL_Requirements!T12/1000</f>
        <v>77.148</v>
      </c>
      <c r="G6" s="982"/>
      <c r="H6" s="0" t="s">
        <v>1</v>
      </c>
    </row>
    <row r="7" customFormat="false" ht="15" hidden="false" customHeight="false" outlineLevel="0" collapsed="false">
      <c r="A7" s="982" t="s">
        <v>626</v>
      </c>
      <c r="B7" s="987" t="n">
        <f aca="false">PGL_Supplies!N8/1000</f>
        <v>0</v>
      </c>
      <c r="C7" s="987" t="n">
        <f aca="false">PGL_Supplies!N9/1000</f>
        <v>0</v>
      </c>
      <c r="D7" s="987" t="n">
        <f aca="false">PGL_Supplies!N10/1000</f>
        <v>0</v>
      </c>
      <c r="E7" s="987" t="n">
        <f aca="false">PGL_Supplies!N11/1000</f>
        <v>0</v>
      </c>
      <c r="F7" s="989" t="n">
        <f aca="false">PGL_Supplies!N12/1000</f>
        <v>0</v>
      </c>
      <c r="G7" s="982"/>
    </row>
    <row r="8" customFormat="false" ht="15" hidden="false" customHeight="false" outlineLevel="0" collapsed="false">
      <c r="A8" s="982" t="s">
        <v>627</v>
      </c>
      <c r="B8" s="987" t="n">
        <f aca="false">PGL_Supplies!O8/1000</f>
        <v>0</v>
      </c>
      <c r="C8" s="987" t="n">
        <f aca="false">PGL_Supplies!O9/1000</f>
        <v>0</v>
      </c>
      <c r="D8" s="987" t="n">
        <f aca="false">PGL_Supplies!O10/1000</f>
        <v>0</v>
      </c>
      <c r="E8" s="987" t="n">
        <f aca="false">PGL_Supplies!O11/1000</f>
        <v>0</v>
      </c>
      <c r="F8" s="989" t="n">
        <f aca="false">PGL_Supplies!O12/1000</f>
        <v>0</v>
      </c>
      <c r="G8" s="982"/>
    </row>
    <row r="9" customFormat="false" ht="15" hidden="false" customHeight="false" outlineLevel="0" collapsed="false">
      <c r="A9" s="982" t="s">
        <v>628</v>
      </c>
      <c r="B9" s="987" t="n">
        <v>0</v>
      </c>
      <c r="C9" s="987" t="n">
        <v>0</v>
      </c>
      <c r="D9" s="987" t="n">
        <v>0</v>
      </c>
      <c r="E9" s="987" t="n">
        <v>0</v>
      </c>
      <c r="F9" s="989" t="n">
        <v>0</v>
      </c>
      <c r="G9" s="982"/>
    </row>
    <row r="10" customFormat="false" ht="15" hidden="false" customHeight="false" outlineLevel="0" collapsed="false">
      <c r="A10" s="990"/>
      <c r="B10" s="991"/>
      <c r="C10" s="991"/>
      <c r="D10" s="991"/>
      <c r="E10" s="991"/>
      <c r="F10" s="992"/>
      <c r="G10" s="982"/>
    </row>
    <row r="11" customFormat="false" ht="15" hidden="false" customHeight="false" outlineLevel="0" collapsed="false">
      <c r="A11" s="982" t="s">
        <v>629</v>
      </c>
      <c r="B11" s="987" t="n">
        <v>0</v>
      </c>
      <c r="C11" s="987" t="n">
        <v>0</v>
      </c>
      <c r="D11" s="987" t="n">
        <v>0</v>
      </c>
      <c r="E11" s="987" t="n">
        <v>0</v>
      </c>
      <c r="F11" s="989" t="n">
        <v>0</v>
      </c>
      <c r="G11" s="982"/>
      <c r="H11" s="40" t="s">
        <v>1</v>
      </c>
    </row>
    <row r="12" customFormat="false" ht="15" hidden="false" customHeight="false" outlineLevel="0" collapsed="false">
      <c r="A12" s="982" t="s">
        <v>630</v>
      </c>
      <c r="B12" s="987" t="n">
        <f aca="false">PGL_Requirements!S8/1000</f>
        <v>0</v>
      </c>
      <c r="C12" s="987" t="n">
        <f aca="false">PGL_Requirements!S9/1000</f>
        <v>0</v>
      </c>
      <c r="D12" s="987" t="n">
        <f aca="false">PGL_Requirements!S10/1000</f>
        <v>0</v>
      </c>
      <c r="E12" s="987" t="n">
        <f aca="false">PGL_Requirements!S11/1000</f>
        <v>0</v>
      </c>
      <c r="F12" s="989" t="n">
        <f aca="false">PGL_Requirements!S12/1000</f>
        <v>0</v>
      </c>
      <c r="G12" s="982"/>
    </row>
    <row r="13" customFormat="false" ht="15" hidden="false" customHeight="false" outlineLevel="0" collapsed="false">
      <c r="A13" s="982" t="s">
        <v>631</v>
      </c>
      <c r="B13" s="987" t="n">
        <v>0</v>
      </c>
      <c r="C13" s="987" t="n">
        <v>0</v>
      </c>
      <c r="D13" s="987" t="n">
        <v>0</v>
      </c>
      <c r="E13" s="987" t="n">
        <v>0</v>
      </c>
      <c r="F13" s="989" t="n">
        <v>0</v>
      </c>
      <c r="G13" s="982"/>
    </row>
    <row r="14" customFormat="false" ht="15" hidden="false" customHeight="false" outlineLevel="0" collapsed="false">
      <c r="A14" s="982" t="s">
        <v>459</v>
      </c>
      <c r="B14" s="987" t="n">
        <v>0</v>
      </c>
      <c r="C14" s="993"/>
      <c r="D14" s="993"/>
      <c r="E14" s="993"/>
      <c r="F14" s="989"/>
      <c r="G14" s="982"/>
    </row>
    <row r="15" customFormat="false" ht="15" hidden="false" customHeight="false" outlineLevel="0" collapsed="false">
      <c r="A15" s="982" t="s">
        <v>632</v>
      </c>
      <c r="B15" s="994" t="n">
        <v>0</v>
      </c>
      <c r="C15" s="994" t="n">
        <v>0</v>
      </c>
      <c r="D15" s="994" t="n">
        <v>0</v>
      </c>
      <c r="E15" s="994" t="n">
        <v>0</v>
      </c>
      <c r="F15" s="995" t="n">
        <v>0</v>
      </c>
      <c r="G15" s="40"/>
    </row>
    <row r="16" customFormat="false" ht="15" hidden="false" customHeight="false" outlineLevel="0" collapsed="false">
      <c r="A16" s="982" t="s">
        <v>633</v>
      </c>
      <c r="B16" s="994" t="n">
        <v>0</v>
      </c>
      <c r="C16" s="993"/>
      <c r="D16" s="993"/>
      <c r="E16" s="993"/>
      <c r="F16" s="989"/>
      <c r="G16" s="982"/>
    </row>
    <row r="17" customFormat="false" ht="15.75" hidden="false" customHeight="false" outlineLevel="0" collapsed="false">
      <c r="A17" s="996" t="s">
        <v>634</v>
      </c>
      <c r="B17" s="997" t="n">
        <v>0</v>
      </c>
      <c r="C17" s="998"/>
      <c r="D17" s="998"/>
      <c r="E17" s="998"/>
      <c r="F17" s="999"/>
      <c r="G17" s="982"/>
    </row>
    <row r="20" customFormat="false" ht="15.75" hidden="false" customHeight="false" outlineLevel="0" collapsed="false">
      <c r="A20" s="1000" t="s">
        <v>635</v>
      </c>
      <c r="B20" s="926"/>
      <c r="C20" s="926"/>
      <c r="D20" s="926"/>
      <c r="E20" s="926"/>
      <c r="F20" s="926"/>
    </row>
    <row r="21" customFormat="false" ht="15" hidden="false" customHeight="false" outlineLevel="0" collapsed="false">
      <c r="A21" s="978"/>
      <c r="B21" s="1001" t="str">
        <f aca="false">B4</f>
        <v>Thursday</v>
      </c>
      <c r="C21" s="1001" t="str">
        <f aca="false">C4</f>
        <v>Friday</v>
      </c>
      <c r="D21" s="1001" t="str">
        <f aca="false">D4</f>
        <v>Saturday</v>
      </c>
      <c r="E21" s="1001" t="str">
        <f aca="false">E4</f>
        <v>Sunday</v>
      </c>
      <c r="F21" s="1002" t="str">
        <f aca="false">F4</f>
        <v>Monday</v>
      </c>
      <c r="G21" s="982"/>
    </row>
    <row r="22" customFormat="false" ht="15" hidden="false" customHeight="false" outlineLevel="0" collapsed="false">
      <c r="A22" s="1003" t="s">
        <v>624</v>
      </c>
      <c r="B22" s="1004" t="n">
        <f aca="false">B5</f>
        <v>37035</v>
      </c>
      <c r="C22" s="1004" t="n">
        <f aca="false">C5</f>
        <v>37036</v>
      </c>
      <c r="D22" s="1004" t="n">
        <f aca="false">D5</f>
        <v>37037</v>
      </c>
      <c r="E22" s="1004" t="n">
        <f aca="false">E5</f>
        <v>37038</v>
      </c>
      <c r="F22" s="1005" t="n">
        <f aca="false">F5</f>
        <v>37039</v>
      </c>
      <c r="G22" s="982"/>
    </row>
    <row r="23" customFormat="false" ht="15" hidden="false" customHeight="false" outlineLevel="0" collapsed="false">
      <c r="A23" s="982" t="s">
        <v>625</v>
      </c>
      <c r="B23" s="993" t="n">
        <f aca="false">NSG_Supplies!R8/1000+NSG_Supplies!F8/1000-NSG_Requirements!H8/1000</f>
        <v>37.498</v>
      </c>
      <c r="C23" s="993" t="n">
        <f aca="false">NSG_Supplies!R9/1000+NSG_Supplies!F9/1000-NSG_Requirements!H9/1000</f>
        <v>37.498</v>
      </c>
      <c r="D23" s="993" t="n">
        <f aca="false">NSG_Supplies!R10/1000+NSG_Supplies!F10/1000-NSG_Requirements!H10/1000</f>
        <v>37.498</v>
      </c>
      <c r="E23" s="993" t="n">
        <f aca="false">NSG_Supplies!R12/1000+NSG_Supplies!F11/1000-NSG_Requirements!H11/1000</f>
        <v>37.498</v>
      </c>
      <c r="F23" s="988" t="n">
        <f aca="false">NSG_Supplies!R12/1000+NSG_Supplies!F12/1000-NSG_Requirements!H12/1000</f>
        <v>37.498</v>
      </c>
      <c r="G23" s="982"/>
    </row>
    <row r="24" customFormat="false" ht="15" hidden="false" customHeight="false" outlineLevel="0" collapsed="false">
      <c r="A24" s="982" t="s">
        <v>636</v>
      </c>
      <c r="B24" s="993" t="n">
        <f aca="false">NSG_Supplies!H8/1000</f>
        <v>0</v>
      </c>
      <c r="C24" s="993" t="n">
        <f aca="false">NSG_Supplies!H9/1000</f>
        <v>0</v>
      </c>
      <c r="D24" s="993" t="n">
        <f aca="false">NSG_Supplies!H10/1000</f>
        <v>0</v>
      </c>
      <c r="E24" s="993" t="n">
        <f aca="false">NSG_Supplies!H11/1000</f>
        <v>0</v>
      </c>
      <c r="F24" s="989" t="n">
        <f aca="false">NSG_Supplies!H12/1000</f>
        <v>0</v>
      </c>
      <c r="G24" s="982"/>
    </row>
    <row r="25" customFormat="false" ht="15" hidden="false" customHeight="false" outlineLevel="0" collapsed="false">
      <c r="A25" s="982" t="s">
        <v>626</v>
      </c>
      <c r="B25" s="993" t="n">
        <f aca="false">NSG_Supplies!I8/1000</f>
        <v>0</v>
      </c>
      <c r="C25" s="993" t="n">
        <f aca="false">NSG_Supplies!I9/1000</f>
        <v>0</v>
      </c>
      <c r="D25" s="993" t="n">
        <f aca="false">NSG_Supplies!I10/1000</f>
        <v>0</v>
      </c>
      <c r="E25" s="993" t="n">
        <f aca="false">NSG_Supplies!I11/1000</f>
        <v>0</v>
      </c>
      <c r="F25" s="989" t="n">
        <f aca="false">NSG_Supplies!I12/1000</f>
        <v>0</v>
      </c>
      <c r="G25" s="982"/>
    </row>
    <row r="26" customFormat="false" ht="15" hidden="false" customHeight="false" outlineLevel="0" collapsed="false">
      <c r="A26" s="1006" t="s">
        <v>627</v>
      </c>
      <c r="B26" s="993" t="n">
        <f aca="false">NSG_Supplies!J8/1000</f>
        <v>0</v>
      </c>
      <c r="C26" s="993" t="n">
        <f aca="false">NSG_Supplies!J9/1000</f>
        <v>0</v>
      </c>
      <c r="D26" s="993" t="n">
        <f aca="false">NSG_Supplies!J10/1000</f>
        <v>0</v>
      </c>
      <c r="E26" s="993" t="n">
        <f aca="false">NSG_Supplies!J11/1000</f>
        <v>0</v>
      </c>
      <c r="F26" s="989" t="n">
        <f aca="false">NSG_Supplies!J12/1000</f>
        <v>0</v>
      </c>
      <c r="G26" s="982"/>
    </row>
    <row r="27" customFormat="false" ht="15" hidden="false" customHeight="false" outlineLevel="0" collapsed="false">
      <c r="A27" s="982" t="s">
        <v>628</v>
      </c>
      <c r="B27" s="993" t="n">
        <f aca="false">NSG_Supplies!K8/1000</f>
        <v>0</v>
      </c>
      <c r="C27" s="993" t="n">
        <f aca="false">NSG_Supplies!K9/1000</f>
        <v>0</v>
      </c>
      <c r="D27" s="993" t="n">
        <f aca="false">NSG_Supplies!K10/1000</f>
        <v>0</v>
      </c>
      <c r="E27" s="993" t="n">
        <f aca="false">NSG_Supplies!K11/1000</f>
        <v>0</v>
      </c>
      <c r="F27" s="989" t="n">
        <f aca="false">NSG_Supplies!K12/1000</f>
        <v>0</v>
      </c>
      <c r="G27" s="982"/>
    </row>
    <row r="28" customFormat="false" ht="15" hidden="false" customHeight="false" outlineLevel="0" collapsed="false">
      <c r="A28" s="982" t="s">
        <v>637</v>
      </c>
      <c r="B28" s="993" t="s">
        <v>1</v>
      </c>
      <c r="C28" s="993"/>
      <c r="D28" s="993"/>
      <c r="E28" s="993"/>
      <c r="F28" s="989"/>
      <c r="G28" s="982"/>
    </row>
    <row r="29" customFormat="false" ht="15" hidden="false" customHeight="false" outlineLevel="0" collapsed="false">
      <c r="A29" s="990"/>
      <c r="B29" s="991"/>
      <c r="C29" s="991"/>
      <c r="D29" s="991"/>
      <c r="E29" s="991"/>
      <c r="F29" s="992"/>
      <c r="G29" s="982"/>
    </row>
    <row r="30" customFormat="false" ht="15" hidden="false" customHeight="false" outlineLevel="0" collapsed="false">
      <c r="A30" s="982" t="s">
        <v>629</v>
      </c>
      <c r="B30" s="993" t="n">
        <f aca="false">NSG_Requirements!P8/1000</f>
        <v>0</v>
      </c>
      <c r="C30" s="993" t="n">
        <f aca="false">NSG_Requirements!P9/1000</f>
        <v>0</v>
      </c>
      <c r="D30" s="993" t="n">
        <f aca="false">NSG_Requirements!P10/1000</f>
        <v>0</v>
      </c>
      <c r="E30" s="993" t="n">
        <f aca="false">NSG_Requirements!P11/1000</f>
        <v>0</v>
      </c>
      <c r="F30" s="989" t="n">
        <f aca="false">NSG_Supplies!K12/1000</f>
        <v>0</v>
      </c>
      <c r="G30" s="982"/>
    </row>
    <row r="31" customFormat="false" ht="15" hidden="false" customHeight="false" outlineLevel="0" collapsed="false">
      <c r="A31" s="982" t="s">
        <v>630</v>
      </c>
      <c r="B31" s="993" t="n">
        <f aca="false">NSG_Requirements!R8/1000</f>
        <v>0</v>
      </c>
      <c r="C31" s="993" t="n">
        <f aca="false">NSG_Requirements!R9/1000</f>
        <v>0</v>
      </c>
      <c r="D31" s="993" t="n">
        <f aca="false">NSG_Requirements!R10/1000</f>
        <v>0</v>
      </c>
      <c r="E31" s="993" t="n">
        <f aca="false">NSG_Requirements!R11/1000</f>
        <v>0</v>
      </c>
      <c r="F31" s="989" t="n">
        <f aca="false">NSG_Supplies!M12/1000</f>
        <v>0</v>
      </c>
      <c r="G31" s="982"/>
    </row>
    <row r="32" customFormat="false" ht="15" hidden="false" customHeight="false" outlineLevel="0" collapsed="false">
      <c r="A32" s="982" t="s">
        <v>631</v>
      </c>
      <c r="B32" s="993" t="n">
        <f aca="false">NSG_Requirements!Q8/1000</f>
        <v>0</v>
      </c>
      <c r="C32" s="993" t="n">
        <f aca="false">NSG_Requirements!Q9/1000</f>
        <v>0</v>
      </c>
      <c r="D32" s="993" t="n">
        <f aca="false">NSG_Requirements!Q10/1000</f>
        <v>0</v>
      </c>
      <c r="E32" s="993" t="n">
        <f aca="false">NSG_Requirements!Q11/1000</f>
        <v>0</v>
      </c>
      <c r="F32" s="989" t="n">
        <f aca="false">NSG_Requirements!Q12/1000</f>
        <v>0</v>
      </c>
      <c r="G32" s="982"/>
    </row>
    <row r="33" customFormat="false" ht="15.75" hidden="false" customHeight="false" outlineLevel="0" collapsed="false">
      <c r="A33" s="996" t="s">
        <v>638</v>
      </c>
      <c r="B33" s="998" t="n">
        <f aca="false">NSG_Requirements!L8/1000</f>
        <v>0</v>
      </c>
      <c r="C33" s="998" t="n">
        <f aca="false">NSG_Requirements!L9/1000</f>
        <v>0</v>
      </c>
      <c r="D33" s="998" t="n">
        <f aca="false">NSG_Requirements!L10/1000</f>
        <v>0</v>
      </c>
      <c r="E33" s="998" t="n">
        <f aca="false">NSG_Requirements!L11/1000</f>
        <v>0</v>
      </c>
      <c r="F33" s="999" t="n">
        <f aca="false">NSG_Requirements!L12/1000</f>
        <v>0</v>
      </c>
      <c r="G33" s="982"/>
    </row>
    <row r="37" customFormat="false" ht="15" hidden="false" customHeight="false" outlineLevel="0" collapsed="false">
      <c r="A37" s="9"/>
      <c r="B37" s="9"/>
      <c r="C37" s="9"/>
      <c r="D37" s="9"/>
      <c r="E37" s="9"/>
      <c r="F37" s="9"/>
    </row>
  </sheetData>
  <mergeCells count="2">
    <mergeCell ref="A1:B1"/>
    <mergeCell ref="C1:F1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K5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20.77"/>
    <col collapsed="false" customWidth="true" hidden="false" outlineLevel="0" max="5" min="3" style="0" width="8.77"/>
    <col collapsed="false" customWidth="true" hidden="false" outlineLevel="0" max="6" min="6" style="0" width="22.77"/>
    <col collapsed="false" customWidth="true" hidden="false" outlineLevel="0" max="7" min="7" style="0" width="11.44"/>
  </cols>
  <sheetData>
    <row r="1" customFormat="false" ht="24" hidden="false" customHeight="false" outlineLevel="0" collapsed="false">
      <c r="A1" s="5"/>
      <c r="B1" s="1007" t="s">
        <v>639</v>
      </c>
      <c r="C1" s="1008" t="n">
        <f aca="false">Weather_Input!A6</f>
        <v>37035</v>
      </c>
      <c r="D1" s="1009" t="s">
        <v>640</v>
      </c>
      <c r="E1" s="1010"/>
      <c r="F1" s="1011"/>
      <c r="G1" s="470"/>
      <c r="H1" s="470"/>
      <c r="I1" s="408"/>
    </row>
    <row r="2" customFormat="false" ht="15.75" hidden="false" customHeight="true" outlineLevel="0" collapsed="false">
      <c r="A2" s="34"/>
      <c r="B2" s="1012" t="s">
        <v>641</v>
      </c>
      <c r="E2" s="430"/>
      <c r="I2" s="430"/>
    </row>
    <row r="3" customFormat="false" ht="15.75" hidden="false" customHeight="true" outlineLevel="0" collapsed="false">
      <c r="B3" s="1013" t="s">
        <v>164</v>
      </c>
      <c r="C3" s="1014" t="n">
        <f aca="false">NSG_Supplies!Q8/1000</f>
        <v>20</v>
      </c>
      <c r="E3" s="430"/>
      <c r="F3" s="1015" t="s">
        <v>260</v>
      </c>
      <c r="G3" s="513"/>
      <c r="H3" s="1016" t="s">
        <v>642</v>
      </c>
      <c r="I3" s="1017" t="s">
        <v>643</v>
      </c>
    </row>
    <row r="4" customFormat="false" ht="15.75" hidden="false" customHeight="true" outlineLevel="0" collapsed="false">
      <c r="A4" s="0" t="s">
        <v>1</v>
      </c>
      <c r="B4" s="982" t="s">
        <v>644</v>
      </c>
      <c r="C4" s="429" t="n">
        <f aca="false">NSG_Supplies!E8/1000</f>
        <v>0</v>
      </c>
      <c r="D4" s="888" t="n">
        <f aca="false">NSG_Requirements!J8/1000</f>
        <v>0</v>
      </c>
      <c r="E4" s="1018"/>
      <c r="F4" s="1013" t="s">
        <v>645</v>
      </c>
      <c r="G4" s="74"/>
      <c r="H4" s="1019" t="n">
        <f aca="false">PGL_Requirements!P8/1000</f>
        <v>150</v>
      </c>
      <c r="I4" s="1020" t="n">
        <f aca="false">AVERAGE(H4/1.025)</f>
        <v>146.341463414634</v>
      </c>
      <c r="J4" s="0" t="s">
        <v>1</v>
      </c>
    </row>
    <row r="5" customFormat="false" ht="15.75" hidden="false" customHeight="true" outlineLevel="0" collapsed="false">
      <c r="B5" s="1021" t="s">
        <v>646</v>
      </c>
      <c r="C5" s="1022" t="n">
        <f aca="false">C3+C4-D4</f>
        <v>20</v>
      </c>
      <c r="D5" s="1023"/>
      <c r="E5" s="1024" t="n">
        <f aca="false">AVERAGE(C5/24)</f>
        <v>0.833333333333333</v>
      </c>
      <c r="F5" s="1025" t="s">
        <v>322</v>
      </c>
      <c r="G5" s="1026" t="n">
        <f aca="false">PGL_Supplies!M8/1000</f>
        <v>0</v>
      </c>
      <c r="H5" s="1027"/>
      <c r="I5" s="1028" t="n">
        <f aca="false">AVERAGE(G5/1.025)</f>
        <v>0</v>
      </c>
      <c r="K5" s="0" t="s">
        <v>1</v>
      </c>
    </row>
    <row r="6" customFormat="false" ht="15.75" hidden="false" customHeight="true" outlineLevel="0" collapsed="false">
      <c r="B6" s="1029" t="s">
        <v>647</v>
      </c>
      <c r="C6" s="1030"/>
      <c r="D6" s="40"/>
      <c r="E6" s="1031"/>
      <c r="F6" s="0" t="s">
        <v>648</v>
      </c>
      <c r="G6" s="1030" t="n">
        <f aca="false">AVERAGE(H4/24)</f>
        <v>6.25</v>
      </c>
      <c r="H6" s="470"/>
      <c r="I6" s="408"/>
    </row>
    <row r="7" customFormat="false" ht="15.75" hidden="false" customHeight="true" outlineLevel="0" collapsed="false">
      <c r="B7" s="1013" t="s">
        <v>649</v>
      </c>
      <c r="C7" s="1019" t="n">
        <f aca="false">NSG_Supplies!L8/1000</f>
        <v>0</v>
      </c>
      <c r="D7" s="74"/>
      <c r="E7" s="1032"/>
      <c r="F7" s="1012" t="s">
        <v>650</v>
      </c>
      <c r="G7" s="1033"/>
      <c r="H7" s="74"/>
      <c r="I7" s="430"/>
    </row>
    <row r="8" customFormat="false" ht="15.75" hidden="false" customHeight="true" outlineLevel="0" collapsed="false">
      <c r="B8" s="1013" t="s">
        <v>651</v>
      </c>
      <c r="C8" s="1019" t="n">
        <f aca="false">PGL_Requirements!V8/1000</f>
        <v>0</v>
      </c>
      <c r="D8" s="74"/>
      <c r="E8" s="1032"/>
      <c r="F8" s="1013" t="s">
        <v>652</v>
      </c>
      <c r="G8" s="1019" t="n">
        <f aca="false">PGL_Supplies!T8/1000*0.5</f>
        <v>3.5</v>
      </c>
      <c r="H8" s="74"/>
      <c r="I8" s="430"/>
    </row>
    <row r="9" customFormat="false" ht="15.75" hidden="false" customHeight="true" outlineLevel="0" collapsed="false">
      <c r="B9" s="1013" t="s">
        <v>653</v>
      </c>
      <c r="C9" s="1019" t="n">
        <f aca="false">NSG_Requirements!B8/1000</f>
        <v>0</v>
      </c>
      <c r="D9" s="74"/>
      <c r="E9" s="1032"/>
      <c r="F9" s="29" t="s">
        <v>654</v>
      </c>
      <c r="G9" s="1019" t="n">
        <f aca="false">PGL_Supplies!U8/1000</f>
        <v>0</v>
      </c>
      <c r="I9" s="430"/>
    </row>
    <row r="10" customFormat="false" ht="15.75" hidden="false" customHeight="true" outlineLevel="0" collapsed="false">
      <c r="B10" s="1021" t="s">
        <v>655</v>
      </c>
      <c r="C10" s="1022" t="n">
        <f aca="false">C7+C8-C9</f>
        <v>0</v>
      </c>
      <c r="D10" s="1023"/>
      <c r="E10" s="1024" t="n">
        <f aca="false">AVERAGE(C10/24)</f>
        <v>0</v>
      </c>
      <c r="F10" s="1013" t="s">
        <v>549</v>
      </c>
      <c r="G10" s="1019" t="n">
        <f aca="false">PGL_Supplies!AB8/1000</f>
        <v>233.529</v>
      </c>
      <c r="H10" s="1019" t="s">
        <v>1</v>
      </c>
      <c r="I10" s="430"/>
    </row>
    <row r="11" customFormat="false" ht="15.75" hidden="false" customHeight="true" outlineLevel="0" collapsed="false">
      <c r="A11" s="0" t="s">
        <v>1</v>
      </c>
      <c r="B11" s="1034" t="s">
        <v>656</v>
      </c>
      <c r="C11" s="1019" t="n">
        <f aca="false">PGL_Supplies!Y8/1000</f>
        <v>151.785</v>
      </c>
      <c r="D11" s="513"/>
      <c r="E11" s="1035"/>
      <c r="F11" s="1036" t="s">
        <v>657</v>
      </c>
      <c r="G11" s="1037" t="n">
        <f aca="false">G8+G10</f>
        <v>237.029</v>
      </c>
      <c r="H11" s="314"/>
      <c r="I11" s="384"/>
    </row>
    <row r="12" customFormat="false" ht="15.75" hidden="false" customHeight="true" outlineLevel="0" collapsed="false">
      <c r="B12" s="262" t="s">
        <v>658</v>
      </c>
      <c r="C12" s="1019" t="n">
        <v>0</v>
      </c>
      <c r="D12" s="40"/>
      <c r="E12" s="430"/>
      <c r="F12" s="1038" t="s">
        <v>659</v>
      </c>
      <c r="G12" s="1019" t="n">
        <f aca="false">PGL_Supplies!E8/1000</f>
        <v>0</v>
      </c>
      <c r="H12" s="74"/>
      <c r="I12" s="1032"/>
    </row>
    <row r="13" customFormat="false" ht="15.75" hidden="false" customHeight="true" outlineLevel="0" collapsed="false">
      <c r="B13" s="262" t="s">
        <v>660</v>
      </c>
      <c r="C13" s="40"/>
      <c r="D13" s="1019" t="n">
        <f aca="false">PGL_Requirements!J8/1000</f>
        <v>0</v>
      </c>
      <c r="E13" s="430"/>
      <c r="F13" s="1038" t="s">
        <v>661</v>
      </c>
      <c r="G13" s="74"/>
      <c r="H13" s="1019" t="n">
        <f aca="false">PGL_Requirements!E8/1000</f>
        <v>0</v>
      </c>
      <c r="I13" s="430"/>
    </row>
    <row r="14" customFormat="false" ht="15.75" hidden="false" customHeight="true" outlineLevel="0" collapsed="false">
      <c r="B14" s="1039" t="s">
        <v>662</v>
      </c>
      <c r="C14" s="1022" t="n">
        <f aca="false">C11-C12</f>
        <v>151.785</v>
      </c>
      <c r="D14" s="1023"/>
      <c r="E14" s="1024" t="n">
        <f aca="false">AVERAGE(C14/24)</f>
        <v>6.324375</v>
      </c>
      <c r="F14" s="1040" t="s">
        <v>663</v>
      </c>
      <c r="G14" s="1022" t="n">
        <v>0</v>
      </c>
      <c r="H14" s="1023"/>
      <c r="I14" s="1024" t="n">
        <f aca="false">AVERAGE(G14/24)</f>
        <v>0</v>
      </c>
    </row>
    <row r="15" customFormat="false" ht="15.75" hidden="false" customHeight="true" outlineLevel="0" collapsed="false">
      <c r="B15" s="1013" t="s">
        <v>664</v>
      </c>
      <c r="C15" s="1019" t="n">
        <f aca="false">PGL_Supplies!Z8/1000</f>
        <v>40.2</v>
      </c>
      <c r="D15" s="74"/>
      <c r="E15" s="430"/>
      <c r="F15" s="1040" t="s">
        <v>665</v>
      </c>
      <c r="G15" s="1037" t="n">
        <f aca="false">SUM(G11)-G16-G17</f>
        <v>217.029</v>
      </c>
      <c r="H15" s="1023" t="s">
        <v>1</v>
      </c>
      <c r="I15" s="1024" t="n">
        <f aca="false">AVERAGE(G15/24)</f>
        <v>9.042875</v>
      </c>
    </row>
    <row r="16" customFormat="false" ht="15.75" hidden="false" customHeight="true" outlineLevel="0" collapsed="false">
      <c r="B16" s="1013" t="s">
        <v>666</v>
      </c>
      <c r="C16" s="1019" t="n">
        <f aca="false">PGL_Supplies!R8/1000</f>
        <v>0</v>
      </c>
      <c r="D16" s="1019" t="n">
        <f aca="false">PGL_Requirements!U8/1000</f>
        <v>40.2</v>
      </c>
      <c r="E16" s="430"/>
      <c r="F16" s="1040" t="s">
        <v>667</v>
      </c>
      <c r="G16" s="1022" t="n">
        <f aca="false">PGL_Requirements!H8/1000</f>
        <v>20</v>
      </c>
      <c r="H16" s="1022" t="s">
        <v>1</v>
      </c>
      <c r="I16" s="1024" t="n">
        <f aca="false">AVERAGE(G16/24)</f>
        <v>0.833333333333333</v>
      </c>
    </row>
    <row r="17" customFormat="false" ht="15.75" hidden="false" customHeight="true" outlineLevel="0" collapsed="false">
      <c r="B17" s="1036" t="s">
        <v>657</v>
      </c>
      <c r="C17" s="1037" t="n">
        <f aca="false">SUM(C15:C16)-SUM(D15:D16)</f>
        <v>0</v>
      </c>
      <c r="D17" s="314"/>
      <c r="E17" s="384"/>
      <c r="F17" s="1041" t="s">
        <v>668</v>
      </c>
      <c r="G17" s="1042" t="n">
        <v>0</v>
      </c>
      <c r="H17" s="1043"/>
      <c r="I17" s="1044" t="n">
        <f aca="false">AVERAGE(G17/24)</f>
        <v>0</v>
      </c>
    </row>
    <row r="18" customFormat="false" ht="15.75" hidden="false" customHeight="true" outlineLevel="0" collapsed="false">
      <c r="B18" s="1013" t="s">
        <v>669</v>
      </c>
      <c r="C18" s="1019" t="n">
        <f aca="false">PGL_Supplies!C8/1000</f>
        <v>0</v>
      </c>
      <c r="D18" s="74"/>
      <c r="E18" s="430"/>
      <c r="F18" s="1045" t="s">
        <v>670</v>
      </c>
      <c r="G18" s="74" t="s">
        <v>1</v>
      </c>
      <c r="H18" s="74"/>
      <c r="I18" s="430"/>
    </row>
    <row r="19" customFormat="false" ht="15.75" hidden="false" customHeight="true" outlineLevel="0" collapsed="false">
      <c r="B19" s="1013" t="s">
        <v>671</v>
      </c>
      <c r="C19" s="74"/>
      <c r="D19" s="1019" t="n">
        <f aca="false">PGL_Requirements!C8/1000</f>
        <v>0</v>
      </c>
      <c r="E19" s="430"/>
      <c r="F19" s="1025" t="s">
        <v>672</v>
      </c>
      <c r="G19" s="1027"/>
      <c r="H19" s="1026" t="n">
        <v>0</v>
      </c>
      <c r="I19" s="1046"/>
    </row>
    <row r="20" customFormat="false" ht="15.75" hidden="false" customHeight="true" outlineLevel="0" collapsed="false">
      <c r="B20" s="1021" t="s">
        <v>673</v>
      </c>
      <c r="C20" s="1022" t="n">
        <f aca="false">C17+C18-D19</f>
        <v>0</v>
      </c>
      <c r="D20" s="1047" t="s">
        <v>1</v>
      </c>
      <c r="E20" s="1024" t="n">
        <f aca="false">AVERAGE(C20/24)</f>
        <v>0</v>
      </c>
      <c r="F20" s="1048" t="s">
        <v>453</v>
      </c>
      <c r="G20" s="74" t="n">
        <v>0</v>
      </c>
      <c r="H20" s="1019" t="s">
        <v>1</v>
      </c>
      <c r="I20" s="430"/>
    </row>
    <row r="21" customFormat="false" ht="15.75" hidden="false" customHeight="true" outlineLevel="0" collapsed="false">
      <c r="B21" s="1013" t="s">
        <v>674</v>
      </c>
      <c r="C21" s="1019" t="n">
        <f aca="false">PGL_Supplies!AA8/1000</f>
        <v>0</v>
      </c>
      <c r="D21" s="1019" t="s">
        <v>1</v>
      </c>
      <c r="E21" s="430"/>
      <c r="F21" s="1013" t="s">
        <v>164</v>
      </c>
      <c r="G21" s="1019" t="n">
        <f aca="false">PGL_Supplies!AD8/1000</f>
        <v>16.5</v>
      </c>
      <c r="H21" s="1019" t="s">
        <v>1</v>
      </c>
      <c r="I21" s="430"/>
    </row>
    <row r="22" customFormat="false" ht="15.75" hidden="false" customHeight="true" outlineLevel="0" collapsed="false">
      <c r="B22" s="1036" t="s">
        <v>657</v>
      </c>
      <c r="C22" s="1037" t="n">
        <f aca="false">SUM(C21)-SUM(D21)</f>
        <v>0</v>
      </c>
      <c r="D22" s="314"/>
      <c r="E22" s="384"/>
      <c r="F22" s="1036" t="s">
        <v>657</v>
      </c>
      <c r="G22" s="1037" t="n">
        <f aca="false">G21</f>
        <v>16.5</v>
      </c>
      <c r="H22" s="314"/>
      <c r="I22" s="384"/>
    </row>
    <row r="23" customFormat="false" ht="15.75" hidden="false" customHeight="true" outlineLevel="0" collapsed="false">
      <c r="B23" s="1013" t="s">
        <v>675</v>
      </c>
      <c r="C23" s="1019" t="n">
        <f aca="false">PGL_Supplies!D8/1000</f>
        <v>0</v>
      </c>
      <c r="D23" s="74"/>
      <c r="E23" s="430"/>
      <c r="F23" s="1013" t="s">
        <v>676</v>
      </c>
      <c r="G23" s="1019" t="n">
        <f aca="false">PGL_Supplies!G8/1000</f>
        <v>0</v>
      </c>
      <c r="H23" s="74"/>
      <c r="I23" s="430"/>
    </row>
    <row r="24" customFormat="false" ht="15.75" hidden="false" customHeight="true" outlineLevel="0" collapsed="false">
      <c r="B24" s="1013" t="s">
        <v>677</v>
      </c>
      <c r="C24" s="74" t="n">
        <v>0</v>
      </c>
      <c r="D24" s="1019" t="n">
        <f aca="false">PGL_Requirements!D8/1000</f>
        <v>0</v>
      </c>
      <c r="E24" s="430"/>
      <c r="F24" s="1013" t="s">
        <v>678</v>
      </c>
      <c r="G24" s="74"/>
      <c r="H24" s="1019" t="n">
        <f aca="false">PGL_Requirements!F8/1000</f>
        <v>0</v>
      </c>
      <c r="I24" s="430"/>
    </row>
    <row r="25" customFormat="false" ht="15.75" hidden="false" customHeight="true" outlineLevel="0" collapsed="false">
      <c r="B25" s="1021" t="s">
        <v>679</v>
      </c>
      <c r="C25" s="1022" t="n">
        <f aca="false">C22+C23-D24</f>
        <v>0</v>
      </c>
      <c r="D25" s="1023"/>
      <c r="E25" s="1024" t="n">
        <f aca="false">AVERAGE(C25/24)</f>
        <v>0</v>
      </c>
      <c r="F25" s="407" t="s">
        <v>680</v>
      </c>
      <c r="G25" s="1049" t="n">
        <f aca="false">G22+G23-H24+G20</f>
        <v>16.5</v>
      </c>
      <c r="H25" s="470"/>
      <c r="I25" s="1050" t="n">
        <f aca="false">AVERAGE(G25/24)</f>
        <v>0.6875</v>
      </c>
    </row>
    <row r="26" customFormat="false" ht="15.75" hidden="false" customHeight="true" outlineLevel="0" collapsed="false">
      <c r="B26" s="0" t="s">
        <v>681</v>
      </c>
    </row>
    <row r="27" customFormat="false" ht="15.75" hidden="false" customHeight="true" outlineLevel="0" collapsed="false">
      <c r="B27" s="0" t="s">
        <v>682</v>
      </c>
    </row>
    <row r="28" customFormat="false" ht="15.75" hidden="false" customHeight="true" outlineLevel="0" collapsed="false">
      <c r="A28" s="0" t="s">
        <v>1</v>
      </c>
    </row>
    <row r="29" customFormat="false" ht="15.75" hidden="false" customHeight="true" outlineLevel="0" collapsed="false"/>
    <row r="30" customFormat="false" ht="15.75" hidden="false" customHeight="true" outlineLevel="0" collapsed="false"/>
    <row r="31" customFormat="false" ht="15.75" hidden="false" customHeight="true" outlineLevel="0" collapsed="false"/>
    <row r="32" customFormat="false" ht="15.75" hidden="false" customHeight="true" outlineLevel="0" collapsed="false"/>
    <row r="33" customFormat="false" ht="15.75" hidden="false" customHeight="true" outlineLevel="0" collapsed="false"/>
    <row r="34" customFormat="false" ht="15.75" hidden="false" customHeight="true" outlineLevel="0" collapsed="false"/>
    <row r="35" customFormat="false" ht="15.75" hidden="false" customHeight="true" outlineLevel="0" collapsed="false"/>
    <row r="36" customFormat="false" ht="15.75" hidden="false" customHeight="true" outlineLevel="0" collapsed="false"/>
    <row r="37" customFormat="false" ht="15.75" hidden="false" customHeight="true" outlineLevel="0" collapsed="false"/>
    <row r="38" customFormat="false" ht="15.75" hidden="false" customHeight="true" outlineLevel="0" collapsed="false"/>
    <row r="42" customFormat="false" ht="15" hidden="false" customHeight="false" outlineLevel="0" collapsed="false">
      <c r="K42" s="0" t="s">
        <v>683</v>
      </c>
    </row>
    <row r="54" customFormat="false" ht="15" hidden="false" customHeight="false" outlineLevel="0" collapsed="false">
      <c r="A54" s="0" t="s">
        <v>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V5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:N49"/>
    </sheetView>
  </sheetViews>
  <sheetFormatPr defaultColWidth="8.8828125" defaultRowHeight="11.25" customHeight="true" zeroHeight="false" outlineLevelRow="0" outlineLevelCol="0"/>
  <cols>
    <col collapsed="false" customWidth="true" hidden="false" outlineLevel="0" max="1" min="1" style="1051" width="8.65"/>
    <col collapsed="false" customWidth="true" hidden="false" outlineLevel="0" max="2" min="2" style="1051" width="8.1"/>
    <col collapsed="false" customWidth="true" hidden="false" outlineLevel="0" max="3" min="3" style="1051" width="7.88"/>
    <col collapsed="false" customWidth="true" hidden="false" outlineLevel="0" max="4" min="4" style="1051" width="5.88"/>
    <col collapsed="false" customWidth="true" hidden="false" outlineLevel="0" max="5" min="5" style="1051" width="4.44"/>
    <col collapsed="false" customWidth="true" hidden="false" outlineLevel="0" max="6" min="6" style="1051" width="5.21"/>
    <col collapsed="false" customWidth="true" hidden="false" outlineLevel="0" max="7" min="7" style="1051" width="8.99"/>
    <col collapsed="false" customWidth="false" hidden="false" outlineLevel="0" max="11" min="8" style="1051" width="8.88"/>
    <col collapsed="false" customWidth="true" hidden="false" outlineLevel="0" max="12" min="12" style="1051" width="14.88"/>
    <col collapsed="false" customWidth="true" hidden="false" outlineLevel="0" max="13" min="13" style="1051" width="5.65"/>
    <col collapsed="false" customWidth="false" hidden="false" outlineLevel="0" max="257" min="14" style="1051" width="8.88"/>
  </cols>
  <sheetData>
    <row r="1" customFormat="false" ht="22.5" hidden="false" customHeight="false" outlineLevel="0" collapsed="false">
      <c r="A1" s="1052"/>
      <c r="B1" s="1053"/>
      <c r="C1" s="1054" t="s">
        <v>684</v>
      </c>
      <c r="D1" s="1055"/>
      <c r="E1" s="1055" t="s">
        <v>685</v>
      </c>
      <c r="F1" s="1055"/>
      <c r="G1" s="1056" t="s">
        <v>686</v>
      </c>
      <c r="H1" s="1057" t="n">
        <f aca="false">Weather_Input!A6</f>
        <v>37035</v>
      </c>
      <c r="I1" s="1058"/>
      <c r="J1" s="1059"/>
      <c r="K1" s="1059"/>
    </row>
    <row r="2" customFormat="false" ht="16.5" hidden="false" customHeight="true" outlineLevel="0" collapsed="false">
      <c r="A2" s="1060" t="s">
        <v>687</v>
      </c>
      <c r="C2" s="1061" t="n">
        <v>369</v>
      </c>
      <c r="F2" s="1062" t="n">
        <v>371</v>
      </c>
      <c r="H2" s="1059"/>
      <c r="I2" s="1058" t="s">
        <v>688</v>
      </c>
      <c r="J2" s="1063" t="n">
        <f aca="false">NSG_Supplies!Q8/1000</f>
        <v>20</v>
      </c>
    </row>
    <row r="3" customFormat="false" ht="16.5" hidden="false" customHeight="true" outlineLevel="0" collapsed="false">
      <c r="A3" s="1064" t="n">
        <f aca="false">PGL_Supplies!J8/1000</f>
        <v>0</v>
      </c>
      <c r="C3" s="1051" t="s">
        <v>1</v>
      </c>
      <c r="G3" s="1058"/>
      <c r="H3" s="1059"/>
    </row>
    <row r="4" customFormat="false" ht="16.5" hidden="false" customHeight="true" outlineLevel="0" collapsed="false">
      <c r="A4" s="1065" t="s">
        <v>689</v>
      </c>
      <c r="G4" s="1066"/>
      <c r="H4" s="1059"/>
      <c r="I4" s="1058"/>
      <c r="J4" s="1058" t="s">
        <v>690</v>
      </c>
      <c r="K4" s="1063" t="n">
        <f aca="false">Billy_Sheet!C5</f>
        <v>20</v>
      </c>
      <c r="N4" s="1063"/>
    </row>
    <row r="5" customFormat="false" ht="16.5" hidden="false" customHeight="true" outlineLevel="0" collapsed="false">
      <c r="A5" s="1067" t="n">
        <f aca="false">PGL_Supplies!K7/1000</f>
        <v>0</v>
      </c>
      <c r="B5" s="1068"/>
      <c r="G5" s="1053"/>
      <c r="H5" s="1063"/>
      <c r="U5" s="1059"/>
      <c r="V5" s="1059"/>
    </row>
    <row r="6" customFormat="false" ht="16.5" hidden="false" customHeight="true" outlineLevel="0" collapsed="false">
      <c r="A6" s="1069" t="s">
        <v>691</v>
      </c>
      <c r="G6" s="1053"/>
      <c r="H6" s="1063"/>
      <c r="U6" s="1059"/>
      <c r="V6" s="1063"/>
    </row>
    <row r="7" customFormat="false" ht="18.75" hidden="false" customHeight="true" outlineLevel="0" collapsed="false">
      <c r="A7" s="1063" t="n">
        <f aca="false">Billy_Sheet!G14</f>
        <v>0</v>
      </c>
      <c r="G7" s="1053"/>
      <c r="H7" s="1070"/>
      <c r="U7" s="1059"/>
      <c r="V7" s="1070"/>
    </row>
    <row r="8" customFormat="false" ht="14.45" hidden="false" customHeight="true" outlineLevel="0" collapsed="false">
      <c r="A8" s="1058" t="s">
        <v>94</v>
      </c>
      <c r="G8" s="1053"/>
      <c r="H8" s="1058" t="s">
        <v>448</v>
      </c>
      <c r="I8" s="1058"/>
      <c r="K8" s="1058"/>
      <c r="L8" s="1058"/>
      <c r="N8" s="1058"/>
      <c r="O8" s="1058"/>
      <c r="U8" s="1059"/>
      <c r="V8" s="1063"/>
    </row>
    <row r="9" customFormat="false" ht="14.45" hidden="false" customHeight="true" outlineLevel="0" collapsed="false">
      <c r="A9" s="1063" t="n">
        <f aca="false">PGL_Supplies!I8/1000</f>
        <v>15</v>
      </c>
      <c r="H9" s="1063" t="n">
        <v>0</v>
      </c>
      <c r="I9" s="1071"/>
      <c r="K9" s="1058" t="s">
        <v>692</v>
      </c>
      <c r="L9" s="1063" t="n">
        <f aca="false">NSG_Deliveries!C6/1000</f>
        <v>62</v>
      </c>
      <c r="N9" s="1058"/>
      <c r="O9" s="1063"/>
      <c r="U9" s="1059"/>
      <c r="V9" s="1063"/>
    </row>
    <row r="10" customFormat="false" ht="18" hidden="false" customHeight="true" outlineLevel="0" collapsed="false">
      <c r="A10" s="1058" t="s">
        <v>85</v>
      </c>
      <c r="H10" s="1072" t="s">
        <v>693</v>
      </c>
      <c r="U10" s="1059"/>
      <c r="V10" s="1063"/>
    </row>
    <row r="11" customFormat="false" ht="14.45" hidden="false" customHeight="true" outlineLevel="0" collapsed="false">
      <c r="A11" s="1063" t="n">
        <f aca="false">Billy_Sheet!C20</f>
        <v>0</v>
      </c>
      <c r="B11" s="1071"/>
      <c r="H11" s="1063" t="n">
        <f aca="false">NSG_Supplies!U8/1000</f>
        <v>0</v>
      </c>
      <c r="K11" s="1053" t="s">
        <v>694</v>
      </c>
      <c r="L11" s="1066" t="n">
        <f aca="false">SUM(K4+K17+K19+H11+H9-L9)</f>
        <v>-4.502</v>
      </c>
      <c r="N11" s="1053"/>
      <c r="O11" s="1066"/>
      <c r="U11" s="1059"/>
      <c r="V11" s="1073"/>
    </row>
    <row r="12" customFormat="false" ht="14.45" hidden="false" customHeight="true" outlineLevel="0" collapsed="false">
      <c r="A12" s="1058" t="s">
        <v>695</v>
      </c>
      <c r="H12" s="1063"/>
      <c r="U12" s="1059"/>
      <c r="V12" s="1063"/>
    </row>
    <row r="13" customFormat="false" ht="14.45" hidden="false" customHeight="true" outlineLevel="0" collapsed="false">
      <c r="A13" s="1067" t="n">
        <f aca="false">PGL_Supplies!Y8/1000</f>
        <v>151.785</v>
      </c>
      <c r="H13" s="1063"/>
      <c r="U13" s="1059"/>
      <c r="V13" s="1063"/>
    </row>
    <row r="14" customFormat="false" ht="14.45" hidden="false" customHeight="true" outlineLevel="0" collapsed="false">
      <c r="H14" s="1063"/>
      <c r="U14" s="1059"/>
      <c r="V14" s="1063"/>
    </row>
    <row r="15" customFormat="false" ht="15.6" hidden="false" customHeight="true" outlineLevel="0" collapsed="false">
      <c r="B15" s="1051" t="s">
        <v>1</v>
      </c>
      <c r="C15" s="1074" t="n">
        <v>375</v>
      </c>
      <c r="F15" s="1074" t="n">
        <v>375</v>
      </c>
      <c r="H15" s="1066"/>
      <c r="U15" s="1075"/>
      <c r="V15" s="1066"/>
    </row>
    <row r="16" customFormat="false" ht="42.75" hidden="false" customHeight="true" outlineLevel="0" collapsed="false">
      <c r="A16" s="1076"/>
      <c r="B16" s="1066"/>
      <c r="C16" s="1077"/>
      <c r="D16" s="1078"/>
      <c r="E16" s="1078"/>
      <c r="F16" s="1077"/>
    </row>
    <row r="17" customFormat="false" ht="38.25" hidden="false" customHeight="true" outlineLevel="0" collapsed="false">
      <c r="B17" s="1078"/>
      <c r="C17" s="1078"/>
      <c r="D17" s="1079"/>
      <c r="E17" s="1078"/>
      <c r="F17" s="1078"/>
      <c r="G17" s="1078"/>
      <c r="J17" s="1058" t="s">
        <v>696</v>
      </c>
      <c r="K17" s="1063" t="n">
        <f aca="false">NSG_Supplies!L8/1000</f>
        <v>0</v>
      </c>
      <c r="N17" s="1063"/>
    </row>
    <row r="18" customFormat="false" ht="15" hidden="false" customHeight="true" outlineLevel="0" collapsed="false">
      <c r="A18" s="1080"/>
      <c r="C18" s="1074" t="n">
        <v>484</v>
      </c>
      <c r="D18" s="1078"/>
      <c r="E18" s="1078"/>
      <c r="F18" s="1062" t="n">
        <v>798</v>
      </c>
    </row>
    <row r="19" customFormat="false" ht="11.25" hidden="false" customHeight="false" outlineLevel="0" collapsed="false">
      <c r="A19" s="1069" t="s">
        <v>697</v>
      </c>
      <c r="C19" s="1051" t="s">
        <v>1</v>
      </c>
      <c r="J19" s="1058" t="s">
        <v>698</v>
      </c>
      <c r="K19" s="1063" t="n">
        <f aca="false">NSG_Supplies!R8/1000+NSG_Supplies!F8/1000-NSG_Requirements!H8/1000</f>
        <v>37.498</v>
      </c>
      <c r="N19" s="1081"/>
    </row>
    <row r="20" customFormat="false" ht="17.25" hidden="false" customHeight="true" outlineLevel="0" collapsed="false">
      <c r="A20" s="1063" t="n">
        <f aca="false">Billy_Sheet!G15</f>
        <v>217.029</v>
      </c>
      <c r="G20" s="34"/>
      <c r="J20" s="1058"/>
    </row>
    <row r="21" customFormat="false" ht="11.25" hidden="false" customHeight="true" outlineLevel="0" collapsed="false">
      <c r="G21" s="1070"/>
      <c r="H21" s="1070"/>
      <c r="I21" s="1053"/>
      <c r="J21" s="1066"/>
    </row>
    <row r="22" customFormat="false" ht="11.25" hidden="false" customHeight="false" outlineLevel="0" collapsed="false">
      <c r="A22" s="1059" t="s">
        <v>451</v>
      </c>
      <c r="G22" s="1058"/>
      <c r="I22" s="1053"/>
      <c r="J22" s="1058"/>
      <c r="M22" s="1053"/>
      <c r="N22" s="1066"/>
    </row>
    <row r="23" customFormat="false" ht="11.25" hidden="false" customHeight="false" outlineLevel="0" collapsed="false">
      <c r="A23" s="1063" t="n">
        <f aca="false">Billy_Sheet!C25</f>
        <v>0</v>
      </c>
      <c r="G23" s="1058" t="s">
        <v>699</v>
      </c>
      <c r="H23" s="1059"/>
      <c r="I23" s="1053"/>
      <c r="J23" s="1066"/>
      <c r="M23" s="1058"/>
      <c r="N23" s="1066"/>
      <c r="Q23" s="1082"/>
    </row>
    <row r="24" customFormat="false" ht="9" hidden="false" customHeight="true" outlineLevel="0" collapsed="false">
      <c r="G24" s="1063" t="n">
        <f aca="false">PGL_Requirements!K7/1000</f>
        <v>9</v>
      </c>
      <c r="H24" s="1053"/>
      <c r="I24" s="1053"/>
      <c r="J24" s="1053"/>
    </row>
    <row r="25" customFormat="false" ht="10.5" hidden="false" customHeight="true" outlineLevel="0" collapsed="false">
      <c r="A25" s="1059" t="s">
        <v>453</v>
      </c>
      <c r="B25" s="1059"/>
      <c r="C25" s="1059"/>
      <c r="D25" s="1059"/>
      <c r="F25" s="1059"/>
      <c r="G25" s="1058" t="s">
        <v>700</v>
      </c>
      <c r="H25" s="1053"/>
      <c r="I25" s="1053"/>
      <c r="J25" s="1053"/>
    </row>
    <row r="26" customFormat="false" ht="14.25" hidden="false" customHeight="true" outlineLevel="0" collapsed="false">
      <c r="A26" s="1063" t="n">
        <f aca="false">Billy_Sheet!G25</f>
        <v>16.5</v>
      </c>
      <c r="B26" s="1059"/>
      <c r="C26" s="1053"/>
      <c r="D26" s="1053"/>
      <c r="F26" s="1053"/>
      <c r="G26" s="1083" t="n">
        <v>0</v>
      </c>
      <c r="H26" s="1053"/>
      <c r="I26" s="1053"/>
      <c r="J26" s="1053" t="s">
        <v>701</v>
      </c>
      <c r="K26" s="1084" t="n">
        <f aca="false">PGL_Deliveries!C6/1000</f>
        <v>310</v>
      </c>
      <c r="L26" s="1058" t="s">
        <v>692</v>
      </c>
      <c r="M26" s="1063" t="n">
        <f aca="false">NSG_Deliveries!C6/1000</f>
        <v>62</v>
      </c>
      <c r="N26" s="1063"/>
    </row>
    <row r="27" customFormat="false" ht="8.25" hidden="false" customHeight="true" outlineLevel="0" collapsed="false">
      <c r="A27" s="1053"/>
      <c r="B27" s="1085"/>
      <c r="C27" s="1053"/>
      <c r="D27" s="1053"/>
      <c r="F27" s="1053"/>
      <c r="G27" s="1053"/>
      <c r="H27" s="1086"/>
      <c r="I27" s="1053"/>
      <c r="J27" s="1086"/>
    </row>
    <row r="28" customFormat="false" ht="12.75" hidden="false" customHeight="true" outlineLevel="0" collapsed="false">
      <c r="A28" s="1055" t="s">
        <v>702</v>
      </c>
      <c r="B28" s="1063"/>
      <c r="C28" s="1059"/>
      <c r="D28" s="1053"/>
      <c r="F28" s="1058"/>
      <c r="G28" s="1075" t="s">
        <v>703</v>
      </c>
      <c r="H28" s="34"/>
      <c r="J28" s="1053" t="s">
        <v>704</v>
      </c>
      <c r="K28" s="1066" t="n">
        <f aca="false">SUM(A42)</f>
        <v>231.314</v>
      </c>
      <c r="L28" s="1053" t="s">
        <v>705</v>
      </c>
      <c r="M28" s="1066" t="n">
        <f aca="false">SUM(J2+K17+K19+H11+H9-M26)</f>
        <v>-4.502</v>
      </c>
      <c r="N28" s="1066"/>
    </row>
    <row r="29" customFormat="false" ht="11.25" hidden="false" customHeight="false" outlineLevel="0" collapsed="false">
      <c r="A29" s="1063" t="n">
        <f aca="false">PGL_Supplies!M8/1000</f>
        <v>0</v>
      </c>
      <c r="B29" s="1063"/>
      <c r="C29" s="1053"/>
      <c r="D29" s="1087"/>
      <c r="F29" s="1088" t="n">
        <f aca="false">PGL_Requirements!A7</f>
        <v>37034</v>
      </c>
      <c r="G29" s="1063" t="n">
        <f aca="false">PGL_Requirements!H7/1000</f>
        <v>3.4</v>
      </c>
      <c r="H29" s="1070"/>
      <c r="J29" s="1053" t="s">
        <v>706</v>
      </c>
      <c r="K29" s="1063" t="n">
        <f aca="false">PGL_Supplies!AC8/1000+PGL_Supplies!L8/1000-PGL_Requirements!O8/1000</f>
        <v>77.148</v>
      </c>
    </row>
    <row r="30" customFormat="false" ht="10.5" hidden="false" customHeight="true" outlineLevel="0" collapsed="false">
      <c r="A30" s="1089"/>
      <c r="B30" s="1063"/>
      <c r="C30" s="1053"/>
      <c r="D30" s="1063"/>
      <c r="F30" s="1088" t="n">
        <f aca="false">PGL_Requirements!A8</f>
        <v>37035</v>
      </c>
      <c r="G30" s="1063" t="n">
        <f aca="false">PGL_Requirements!H8/1000</f>
        <v>20</v>
      </c>
    </row>
    <row r="31" customFormat="false" ht="17.25" hidden="false" customHeight="true" outlineLevel="0" collapsed="false">
      <c r="A31" s="1055" t="s">
        <v>707</v>
      </c>
      <c r="B31" s="1090"/>
      <c r="C31" s="1091"/>
      <c r="D31" s="1066"/>
      <c r="G31" s="1075" t="s">
        <v>708</v>
      </c>
      <c r="H31" s="1066"/>
      <c r="J31" s="1053" t="s">
        <v>694</v>
      </c>
      <c r="K31" s="1066" t="n">
        <f aca="false">SUM(K28+K29-K26)</f>
        <v>-1.53800000000001</v>
      </c>
    </row>
    <row r="32" customFormat="false" ht="11.25" hidden="false" customHeight="false" outlineLevel="0" collapsed="false">
      <c r="A32" s="1063" t="n">
        <f aca="false">PGL_Supplies!H8/1000</f>
        <v>1</v>
      </c>
      <c r="G32" s="1063" t="n">
        <f aca="false">PGL_Requirements!P8/1000</f>
        <v>150</v>
      </c>
    </row>
    <row r="33" customFormat="false" ht="6.75" hidden="false" customHeight="true" outlineLevel="0" collapsed="false"/>
    <row r="34" customFormat="false" ht="11.25" hidden="false" customHeight="false" outlineLevel="0" collapsed="false">
      <c r="A34" s="1058" t="s">
        <v>709</v>
      </c>
      <c r="G34" s="1053" t="s">
        <v>710</v>
      </c>
    </row>
    <row r="35" customFormat="false" ht="11.25" hidden="false" customHeight="false" outlineLevel="0" collapsed="false">
      <c r="A35" s="1083" t="n">
        <v>0</v>
      </c>
      <c r="G35" s="1063" t="n">
        <f aca="false">PGL_Requirements!B8/1000</f>
        <v>0</v>
      </c>
    </row>
    <row r="36" customFormat="false" ht="11.25" hidden="false" customHeight="false" outlineLevel="0" collapsed="false">
      <c r="G36" s="1063"/>
    </row>
    <row r="37" customFormat="false" ht="11.25" hidden="false" customHeight="false" outlineLevel="0" collapsed="false">
      <c r="C37" s="1058" t="s">
        <v>711</v>
      </c>
      <c r="F37" s="1058" t="s">
        <v>712</v>
      </c>
      <c r="G37" s="1063"/>
    </row>
    <row r="38" customFormat="false" ht="11.25" hidden="false" customHeight="false" outlineLevel="0" collapsed="false">
      <c r="C38" s="1074" t="n">
        <v>489</v>
      </c>
      <c r="F38" s="1074" t="n">
        <v>753</v>
      </c>
    </row>
    <row r="39" customFormat="false" ht="11.25" hidden="false" customHeight="false" outlineLevel="0" collapsed="false">
      <c r="A39" s="1060" t="s">
        <v>713</v>
      </c>
      <c r="E39" s="1059" t="s">
        <v>714</v>
      </c>
      <c r="F39" s="1059"/>
    </row>
    <row r="40" customFormat="false" ht="11.25" hidden="false" customHeight="false" outlineLevel="0" collapsed="false">
      <c r="A40" s="1066" t="n">
        <f aca="false">SUM(A3:A35)</f>
        <v>401.314</v>
      </c>
      <c r="B40" s="1073"/>
      <c r="C40" s="1092"/>
      <c r="D40" s="1073"/>
      <c r="E40" s="1073"/>
      <c r="F40" s="1063"/>
      <c r="G40" s="1063" t="n">
        <f aca="false">SUM(G30:G35)</f>
        <v>170</v>
      </c>
      <c r="H40" s="1073"/>
      <c r="I40" s="1092"/>
    </row>
    <row r="41" customFormat="false" ht="11.25" hidden="false" customHeight="false" outlineLevel="0" collapsed="false">
      <c r="A41" s="1093" t="s">
        <v>715</v>
      </c>
      <c r="B41" s="1063"/>
      <c r="C41" s="1073"/>
      <c r="D41" s="1073"/>
      <c r="E41" s="1073"/>
      <c r="F41" s="1073"/>
      <c r="G41" s="1073"/>
      <c r="H41" s="1073"/>
      <c r="I41" s="1092"/>
    </row>
    <row r="42" customFormat="false" ht="11.25" hidden="false" customHeight="false" outlineLevel="0" collapsed="false">
      <c r="A42" s="1063" t="n">
        <f aca="false">SUM(A40-G40)</f>
        <v>231.314</v>
      </c>
      <c r="B42" s="1063"/>
      <c r="C42" s="1073"/>
      <c r="D42" s="1073"/>
      <c r="E42" s="1073"/>
      <c r="F42" s="1094"/>
      <c r="G42" s="1095" t="s">
        <v>716</v>
      </c>
      <c r="H42" s="1096"/>
      <c r="I42" s="1097"/>
      <c r="J42" s="1096"/>
      <c r="K42" s="1078"/>
    </row>
    <row r="43" customFormat="false" ht="14.25" hidden="false" customHeight="true" outlineLevel="0" collapsed="false">
      <c r="A43" s="1063"/>
      <c r="B43" s="1063"/>
      <c r="C43" s="1063"/>
      <c r="D43" s="1063"/>
      <c r="E43" s="1094"/>
      <c r="F43" s="1085" t="s">
        <v>717</v>
      </c>
      <c r="G43" s="1094" t="s">
        <v>718</v>
      </c>
      <c r="I43" s="1063"/>
    </row>
    <row r="44" customFormat="false" ht="12.75" hidden="false" customHeight="true" outlineLevel="0" collapsed="false">
      <c r="A44" s="1093" t="s">
        <v>719</v>
      </c>
      <c r="B44" s="1063" t="s">
        <v>720</v>
      </c>
      <c r="C44" s="1063" t="s">
        <v>721</v>
      </c>
      <c r="D44" s="1063" t="s">
        <v>722</v>
      </c>
      <c r="E44" s="1098"/>
      <c r="F44" s="1098" t="s">
        <v>723</v>
      </c>
      <c r="G44" s="1073" t="s">
        <v>724</v>
      </c>
      <c r="H44" s="1059" t="s">
        <v>725</v>
      </c>
      <c r="I44" s="1063"/>
      <c r="K44" s="1059"/>
    </row>
    <row r="45" customFormat="false" ht="11.25" hidden="false" customHeight="false" outlineLevel="0" collapsed="false">
      <c r="A45" s="1093" t="s">
        <v>726</v>
      </c>
      <c r="B45" s="1099" t="n">
        <v>250</v>
      </c>
      <c r="C45" s="1099" t="n">
        <v>410</v>
      </c>
      <c r="D45" s="1100" t="n">
        <f aca="false">SUM(F2+F15)/2</f>
        <v>373</v>
      </c>
      <c r="E45" s="1101"/>
      <c r="F45" s="1102" t="n">
        <v>0.067</v>
      </c>
      <c r="G45" s="1103" t="n">
        <f aca="false">(C45-D45)*F45</f>
        <v>2.479</v>
      </c>
      <c r="H45" s="1103" t="n">
        <f aca="false">(D45-B45)*F45</f>
        <v>8.241</v>
      </c>
      <c r="I45" s="1063"/>
      <c r="J45" s="1104"/>
    </row>
    <row r="46" customFormat="false" ht="11.25" hidden="false" customHeight="false" outlineLevel="0" collapsed="false">
      <c r="A46" s="1059" t="s">
        <v>727</v>
      </c>
      <c r="B46" s="1105" t="n">
        <v>797</v>
      </c>
      <c r="C46" s="1099" t="n">
        <v>797</v>
      </c>
      <c r="D46" s="1100" t="n">
        <v>797</v>
      </c>
      <c r="E46" s="1101"/>
      <c r="F46" s="1102" t="n">
        <v>0.139</v>
      </c>
      <c r="G46" s="1103" t="n">
        <f aca="false">(C46-D46)*F46</f>
        <v>0</v>
      </c>
      <c r="H46" s="1103" t="n">
        <f aca="false">(D46-B46)*F46</f>
        <v>0</v>
      </c>
      <c r="I46" s="1063"/>
    </row>
    <row r="47" customFormat="false" ht="11.25" hidden="false" customHeight="false" outlineLevel="0" collapsed="false">
      <c r="A47" s="1059" t="s">
        <v>728</v>
      </c>
      <c r="B47" s="1105" t="n">
        <v>250</v>
      </c>
      <c r="C47" s="1099" t="n">
        <v>410</v>
      </c>
      <c r="D47" s="1100" t="n">
        <f aca="false">SUM(C2+C15)/2</f>
        <v>372</v>
      </c>
      <c r="E47" s="1101"/>
      <c r="F47" s="1102" t="n">
        <v>0.141</v>
      </c>
      <c r="G47" s="1103" t="n">
        <f aca="false">(C47-D47)*F47</f>
        <v>5.358</v>
      </c>
      <c r="H47" s="1103" t="n">
        <f aca="false">(D47-B47)*F47</f>
        <v>17.202</v>
      </c>
      <c r="I47" s="1063"/>
    </row>
    <row r="48" customFormat="false" ht="11.25" hidden="false" customHeight="false" outlineLevel="0" collapsed="false">
      <c r="A48" s="1059" t="s">
        <v>729</v>
      </c>
      <c r="B48" s="1105" t="n">
        <v>285</v>
      </c>
      <c r="C48" s="1099" t="n">
        <v>750</v>
      </c>
      <c r="D48" s="1100" t="n">
        <f aca="false">SUM(C18+C38)/2</f>
        <v>486.5</v>
      </c>
      <c r="E48" s="1101"/>
      <c r="F48" s="1102" t="n">
        <v>0.161</v>
      </c>
      <c r="G48" s="1103" t="n">
        <f aca="false">(C48-D48)*F48</f>
        <v>42.4235</v>
      </c>
      <c r="H48" s="1103" t="n">
        <f aca="false">(D48-B48)*F48</f>
        <v>32.4415</v>
      </c>
    </row>
    <row r="49" customFormat="false" ht="11.25" hidden="false" customHeight="false" outlineLevel="0" collapsed="false">
      <c r="B49" s="1071"/>
      <c r="C49" s="1071"/>
      <c r="D49" s="1071"/>
      <c r="E49" s="1071"/>
      <c r="F49" s="1106" t="s">
        <v>730</v>
      </c>
      <c r="G49" s="1103" t="n">
        <f aca="false">SUM(G45:G48)</f>
        <v>50.2605</v>
      </c>
      <c r="H49" s="1103" t="n">
        <f aca="false">SUM(H45:H48)</f>
        <v>57.8845</v>
      </c>
    </row>
    <row r="55" customFormat="false" ht="11.25" hidden="false" customHeight="false" outlineLevel="0" collapsed="false">
      <c r="A55" s="1107"/>
      <c r="G55" s="110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  <colBreaks count="1" manualBreakCount="1">
    <brk id="14" man="true" max="65535" min="0"/>
  </col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H1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3.8828125" defaultRowHeight="12.75" customHeight="true" zeroHeight="false" outlineLevelRow="0" outlineLevelCol="0"/>
  <cols>
    <col collapsed="false" customWidth="true" hidden="false" outlineLevel="0" max="1" min="1" style="13" width="7.99"/>
    <col collapsed="false" customWidth="true" hidden="false" outlineLevel="0" max="2" min="2" style="13" width="3.77"/>
    <col collapsed="false" customWidth="true" hidden="false" outlineLevel="0" max="3" min="3" style="13" width="3.55"/>
    <col collapsed="false" customWidth="true" hidden="false" outlineLevel="0" max="4" min="4" style="13" width="8.65"/>
    <col collapsed="false" customWidth="true" hidden="false" outlineLevel="0" max="5" min="5" style="13" width="6.21"/>
    <col collapsed="false" customWidth="true" hidden="false" outlineLevel="0" max="6" min="6" style="13" width="8.32"/>
    <col collapsed="false" customWidth="true" hidden="false" outlineLevel="0" max="7" min="7" style="13" width="6.77"/>
    <col collapsed="false" customWidth="true" hidden="false" outlineLevel="0" max="8" min="8" style="13" width="5.32"/>
    <col collapsed="false" customWidth="true" hidden="false" outlineLevel="0" max="9" min="9" style="13" width="56.55"/>
    <col collapsed="false" customWidth="true" hidden="false" outlineLevel="0" max="10" min="10" style="13" width="58.1"/>
    <col collapsed="false" customWidth="true" hidden="true" outlineLevel="0" max="11" min="11" style="13" width="3.65"/>
    <col collapsed="false" customWidth="true" hidden="false" outlineLevel="0" max="12" min="12" style="13" width="8.99"/>
    <col collapsed="false" customWidth="false" hidden="false" outlineLevel="0" max="33" min="13" style="13" width="3.88"/>
    <col collapsed="false" customWidth="true" hidden="false" outlineLevel="0" max="34" min="34" style="13" width="7.11"/>
    <col collapsed="false" customWidth="false" hidden="false" outlineLevel="0" max="257" min="35" style="13" width="3.88"/>
  </cols>
  <sheetData>
    <row r="1" customFormat="false" ht="12.75" hidden="false" customHeight="false" outlineLevel="0" collapsed="false">
      <c r="A1" s="14" t="s">
        <v>7</v>
      </c>
      <c r="AH1" s="13" t="s">
        <v>8</v>
      </c>
    </row>
    <row r="2" customFormat="false" ht="12.75" hidden="false" customHeight="false" outlineLevel="0" collapsed="false">
      <c r="E2" s="15" t="s">
        <v>9</v>
      </c>
      <c r="F2" s="15" t="s">
        <v>9</v>
      </c>
      <c r="G2" s="15" t="s">
        <v>9</v>
      </c>
      <c r="H2" s="15"/>
      <c r="L2" s="15"/>
      <c r="AH2" s="13" t="s">
        <v>10</v>
      </c>
    </row>
    <row r="3" customFormat="false" ht="12.75" hidden="false" customHeight="false" outlineLevel="0" collapsed="false">
      <c r="B3" s="15"/>
      <c r="C3" s="15"/>
      <c r="D3" s="15" t="s">
        <v>11</v>
      </c>
      <c r="E3" s="15" t="s">
        <v>11</v>
      </c>
      <c r="F3" s="15" t="s">
        <v>12</v>
      </c>
      <c r="G3" s="15" t="s">
        <v>13</v>
      </c>
      <c r="H3" s="15" t="s">
        <v>14</v>
      </c>
      <c r="L3" s="15" t="s">
        <v>15</v>
      </c>
      <c r="AH3" s="13" t="s">
        <v>16</v>
      </c>
    </row>
    <row r="4" customFormat="false" ht="12.75" hidden="false" customHeight="false" outlineLevel="0" collapsed="false">
      <c r="A4" s="16"/>
      <c r="B4" s="15" t="s">
        <v>17</v>
      </c>
      <c r="C4" s="15" t="s">
        <v>18</v>
      </c>
      <c r="D4" s="15" t="s">
        <v>19</v>
      </c>
      <c r="E4" s="15" t="s">
        <v>20</v>
      </c>
      <c r="F4" s="15" t="s">
        <v>21</v>
      </c>
      <c r="G4" s="15" t="s">
        <v>14</v>
      </c>
      <c r="H4" s="15" t="s">
        <v>22</v>
      </c>
      <c r="I4" s="15" t="s">
        <v>23</v>
      </c>
      <c r="J4" s="15" t="s">
        <v>24</v>
      </c>
      <c r="K4" s="15" t="s">
        <v>25</v>
      </c>
      <c r="L4" s="15" t="s">
        <v>26</v>
      </c>
      <c r="AH4" s="13" t="s">
        <v>27</v>
      </c>
    </row>
    <row r="5" customFormat="false" ht="16.5" hidden="false" customHeight="true" outlineLevel="0" collapsed="false">
      <c r="A5" s="17" t="n">
        <v>37034</v>
      </c>
      <c r="B5" s="18" t="n">
        <v>62</v>
      </c>
      <c r="C5" s="19" t="n">
        <v>44</v>
      </c>
      <c r="D5" s="19" t="n">
        <v>12</v>
      </c>
      <c r="E5" s="18" t="s">
        <v>28</v>
      </c>
      <c r="F5" s="18" t="n">
        <v>108</v>
      </c>
      <c r="G5" s="18" t="n">
        <v>6515</v>
      </c>
      <c r="H5" s="18" t="n">
        <v>11</v>
      </c>
      <c r="I5" s="20" t="s">
        <v>29</v>
      </c>
      <c r="J5" s="20" t="s">
        <v>30</v>
      </c>
      <c r="K5" s="18" t="n">
        <v>2</v>
      </c>
      <c r="L5" s="18" t="n">
        <v>1</v>
      </c>
      <c r="N5" s="13" t="str">
        <f aca="false">I5&amp;" "&amp;I5</f>
        <v>CLOUDY AND COOL WITH SHOWERS DEVELOPING THIS A.M. T'STORMS LIKELY. S.W. CLOUDY AND COOL WITH SHOWERS DEVELOPING THIS A.M. T'STORMS LIKELY. S.W.</v>
      </c>
      <c r="AE5" s="13" t="n">
        <v>1</v>
      </c>
      <c r="AH5" s="13" t="s">
        <v>31</v>
      </c>
    </row>
    <row r="6" customFormat="false" ht="16.5" hidden="false" customHeight="true" outlineLevel="0" collapsed="false">
      <c r="A6" s="17" t="n">
        <f aca="false">A5+1</f>
        <v>37035</v>
      </c>
      <c r="B6" s="18" t="n">
        <v>59</v>
      </c>
      <c r="C6" s="19" t="n">
        <v>44</v>
      </c>
      <c r="D6" s="19" t="n">
        <v>10</v>
      </c>
      <c r="E6" s="18" t="s">
        <v>1</v>
      </c>
      <c r="F6" s="18" t="s">
        <v>1</v>
      </c>
      <c r="G6" s="18"/>
      <c r="H6" s="18" t="s">
        <v>1</v>
      </c>
      <c r="I6" s="20" t="s">
        <v>32</v>
      </c>
      <c r="J6" s="20" t="s">
        <v>33</v>
      </c>
      <c r="K6" s="18" t="n">
        <v>6</v>
      </c>
      <c r="L6" s="18" t="s">
        <v>34</v>
      </c>
      <c r="N6" s="13" t="str">
        <f aca="false">I6&amp;" "&amp;J6</f>
        <v>CLOUDY WITH SHOWERS AND A FEW T'STORMS LIKELY. CHANCE OF RAIN 70%. OVER NIGHT…MOSTLY CLOUDY WITH A 50% CHANCE OF SHOWERS.</v>
      </c>
      <c r="AE6" s="13" t="n">
        <v>1</v>
      </c>
      <c r="AH6" s="13" t="s">
        <v>35</v>
      </c>
    </row>
    <row r="7" customFormat="false" ht="16.5" hidden="false" customHeight="true" outlineLevel="0" collapsed="false">
      <c r="A7" s="17" t="n">
        <f aca="false">A6+1</f>
        <v>37036</v>
      </c>
      <c r="B7" s="18" t="n">
        <v>60</v>
      </c>
      <c r="C7" s="19" t="n">
        <v>44</v>
      </c>
      <c r="D7" s="19" t="n">
        <v>12</v>
      </c>
      <c r="E7" s="18" t="s">
        <v>1</v>
      </c>
      <c r="F7" s="18" t="s">
        <v>1</v>
      </c>
      <c r="G7" s="18"/>
      <c r="H7" s="18" t="s">
        <v>1</v>
      </c>
      <c r="I7" s="20" t="s">
        <v>36</v>
      </c>
      <c r="J7" s="20" t="s">
        <v>1</v>
      </c>
      <c r="K7" s="18" t="n">
        <v>6</v>
      </c>
      <c r="L7" s="18" t="s">
        <v>16</v>
      </c>
      <c r="N7" s="13" t="str">
        <f aca="false">I7&amp;" "&amp;J7</f>
        <v>SHOWERS LIKELY.  </v>
      </c>
    </row>
    <row r="8" customFormat="false" ht="16.5" hidden="false" customHeight="true" outlineLevel="0" collapsed="false">
      <c r="A8" s="17" t="n">
        <f aca="false">A7+1</f>
        <v>37037</v>
      </c>
      <c r="B8" s="18" t="n">
        <v>62</v>
      </c>
      <c r="C8" s="19" t="n">
        <v>45</v>
      </c>
      <c r="D8" s="19" t="n">
        <v>12</v>
      </c>
      <c r="E8" s="18" t="s">
        <v>1</v>
      </c>
      <c r="F8" s="18" t="s">
        <v>1</v>
      </c>
      <c r="G8" s="18"/>
      <c r="H8" s="18" t="s">
        <v>1</v>
      </c>
      <c r="I8" s="20" t="s">
        <v>37</v>
      </c>
      <c r="J8" s="20" t="s">
        <v>1</v>
      </c>
      <c r="K8" s="18" t="n">
        <v>5</v>
      </c>
      <c r="L8" s="18"/>
      <c r="N8" s="13" t="str">
        <f aca="false">I8&amp;" "&amp;J8</f>
        <v>A CHANCE OF SHOWERS.  </v>
      </c>
    </row>
    <row r="9" customFormat="false" ht="16.5" hidden="false" customHeight="true" outlineLevel="0" collapsed="false">
      <c r="A9" s="17" t="n">
        <f aca="false">A8+1</f>
        <v>37038</v>
      </c>
      <c r="B9" s="18" t="n">
        <v>65</v>
      </c>
      <c r="C9" s="19" t="n">
        <v>48</v>
      </c>
      <c r="D9" s="19" t="n">
        <v>12</v>
      </c>
      <c r="E9" s="18" t="s">
        <v>1</v>
      </c>
      <c r="F9" s="18" t="s">
        <v>1</v>
      </c>
      <c r="G9" s="18"/>
      <c r="H9" s="18" t="s">
        <v>1</v>
      </c>
      <c r="I9" s="20" t="s">
        <v>37</v>
      </c>
      <c r="J9" s="20" t="s">
        <v>1</v>
      </c>
      <c r="K9" s="18" t="n">
        <v>5</v>
      </c>
      <c r="L9" s="18" t="n">
        <v>0</v>
      </c>
      <c r="M9" s="21"/>
      <c r="N9" s="13" t="str">
        <f aca="false">I10&amp;" "&amp;J9</f>
        <v>A CHANCE OF SHOWERS.  </v>
      </c>
    </row>
    <row r="10" customFormat="false" ht="16.5" hidden="false" customHeight="true" outlineLevel="0" collapsed="false">
      <c r="A10" s="17" t="n">
        <f aca="false">A9+1</f>
        <v>37039</v>
      </c>
      <c r="B10" s="18" t="n">
        <v>65</v>
      </c>
      <c r="C10" s="19" t="n">
        <v>48</v>
      </c>
      <c r="D10" s="19" t="n">
        <v>12</v>
      </c>
      <c r="E10" s="18" t="s">
        <v>1</v>
      </c>
      <c r="F10" s="18" t="s">
        <v>1</v>
      </c>
      <c r="G10" s="18"/>
      <c r="H10" s="18" t="s">
        <v>1</v>
      </c>
      <c r="I10" s="20" t="s">
        <v>37</v>
      </c>
      <c r="J10" s="20" t="s">
        <v>1</v>
      </c>
      <c r="K10" s="18" t="n">
        <v>5</v>
      </c>
      <c r="L10" s="18" t="s">
        <v>38</v>
      </c>
    </row>
    <row r="11" customFormat="false" ht="16.5" hidden="false" customHeight="true" outlineLevel="0" collapsed="false">
      <c r="G11" s="0"/>
    </row>
    <row r="12" customFormat="false" ht="15.75" hidden="false" customHeight="false" outlineLevel="0" collapsed="false">
      <c r="E12" s="22"/>
      <c r="F12" s="22"/>
      <c r="G12" s="23"/>
      <c r="H12" s="22"/>
      <c r="I12" s="22"/>
      <c r="J12" s="22"/>
    </row>
    <row r="13" customFormat="false" ht="15" hidden="false" customHeight="false" outlineLevel="0" collapsed="false">
      <c r="E13" s="22"/>
      <c r="F13" s="22"/>
      <c r="G13" s="24" t="s">
        <v>1</v>
      </c>
      <c r="H13" s="22"/>
      <c r="I13" s="22"/>
      <c r="J13" s="22"/>
    </row>
    <row r="14" customFormat="false" ht="15" hidden="false" customHeight="false" outlineLevel="0" collapsed="false">
      <c r="E14" s="22"/>
      <c r="F14" s="22"/>
      <c r="G14" s="25"/>
      <c r="H14" s="22"/>
      <c r="I14" s="22"/>
      <c r="J14" s="22"/>
    </row>
    <row r="15" customFormat="false" ht="12.75" hidden="false" customHeight="false" outlineLevel="0" collapsed="false">
      <c r="E15" s="22"/>
      <c r="F15" s="22"/>
      <c r="G15" s="26" t="s">
        <v>1</v>
      </c>
      <c r="H15" s="22"/>
      <c r="I15" s="22"/>
      <c r="J15" s="22"/>
    </row>
    <row r="16" customFormat="false" ht="12.75" hidden="false" customHeight="false" outlineLevel="0" collapsed="false">
      <c r="E16" s="22"/>
      <c r="F16" s="22"/>
      <c r="G16" s="18"/>
      <c r="H16" s="22"/>
      <c r="I16" s="22"/>
      <c r="J16" s="22"/>
    </row>
    <row r="17" customFormat="false" ht="15" hidden="false" customHeight="false" outlineLevel="0" collapsed="false">
      <c r="F17" s="27"/>
      <c r="G17" s="27"/>
    </row>
  </sheetData>
  <sheetProtection sheet="true" objects="true" scenarios="true"/>
  <printOptions headings="false" gridLines="true" gridLinesSet="true" horizontalCentered="false" verticalCentered="false"/>
  <pageMargins left="0.747916666666667" right="0.747916666666667" top="5" bottom="0.984027777777778" header="0.5" footer="0.5"/>
  <pageSetup paperSize="1" scale="94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M146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8828125" defaultRowHeight="12.75" customHeight="true" zeroHeight="false" outlineLevelRow="2" outlineLevelCol="0"/>
  <cols>
    <col collapsed="false" customWidth="true" hidden="false" outlineLevel="0" max="1" min="1" style="29" width="22.11"/>
    <col collapsed="false" customWidth="true" hidden="false" outlineLevel="0" max="2" min="2" style="29" width="9.55"/>
    <col collapsed="false" customWidth="true" hidden="false" outlineLevel="0" max="3" min="3" style="29" width="8.21"/>
    <col collapsed="false" customWidth="true" hidden="false" outlineLevel="0" max="4" min="4" style="29" width="20.88"/>
    <col collapsed="false" customWidth="true" hidden="false" outlineLevel="0" max="5" min="5" style="29" width="10.77"/>
    <col collapsed="false" customWidth="true" hidden="false" outlineLevel="0" max="6" min="6" style="29" width="8.32"/>
    <col collapsed="false" customWidth="true" hidden="false" outlineLevel="0" max="7" min="7" style="29" width="22.43"/>
    <col collapsed="false" customWidth="true" hidden="false" outlineLevel="0" max="8" min="8" style="29" width="21.1"/>
    <col collapsed="false" customWidth="false" hidden="false" outlineLevel="0" max="10" min="9" style="29" width="8.88"/>
    <col collapsed="false" customWidth="true" hidden="false" outlineLevel="0" max="11" min="11" style="29" width="23.1"/>
    <col collapsed="false" customWidth="false" hidden="false" outlineLevel="0" max="257" min="12" style="29" width="8.88"/>
  </cols>
  <sheetData>
    <row r="1" customFormat="false" ht="15" hidden="false" customHeight="false" outlineLevel="0" collapsed="false">
      <c r="A1" s="0"/>
      <c r="B1" s="0"/>
      <c r="D1" s="0"/>
      <c r="E1" s="0" t="s">
        <v>1</v>
      </c>
      <c r="H1" s="0"/>
      <c r="I1" s="0"/>
      <c r="J1" s="0"/>
      <c r="K1" s="0"/>
      <c r="L1" s="0"/>
      <c r="M1" s="0"/>
    </row>
    <row r="2" customFormat="false" ht="16.5" hidden="false" customHeight="false" outlineLevel="0" collapsed="false">
      <c r="A2" s="1108" t="s">
        <v>701</v>
      </c>
      <c r="B2" s="1109" t="n">
        <f aca="false">PGL_Deliveries!U5/1000</f>
        <v>4.287</v>
      </c>
      <c r="C2" s="74"/>
      <c r="D2" s="1110" t="s">
        <v>686</v>
      </c>
      <c r="E2" s="1111" t="n">
        <f aca="false">Weather_Input!A5</f>
        <v>37034</v>
      </c>
      <c r="F2" s="74"/>
      <c r="H2" s="0"/>
      <c r="I2" s="0"/>
      <c r="J2" s="0"/>
      <c r="K2" s="0"/>
      <c r="L2" s="0"/>
      <c r="M2" s="0"/>
    </row>
    <row r="3" customFormat="false" ht="15" hidden="false" customHeight="false" outlineLevel="0" collapsed="false">
      <c r="A3" s="978" t="s">
        <v>731</v>
      </c>
      <c r="B3" s="1112" t="n">
        <f aca="false">PGL_Supplies!J7/1000</f>
        <v>0</v>
      </c>
      <c r="C3" s="1113"/>
      <c r="D3" s="1114" t="s">
        <v>293</v>
      </c>
      <c r="E3" s="1115" t="n">
        <f aca="false">PGL_Deliveries!T5/1000</f>
        <v>0</v>
      </c>
      <c r="F3" s="1116"/>
      <c r="H3" s="0"/>
      <c r="I3" s="0"/>
      <c r="J3" s="0"/>
      <c r="K3" s="0"/>
      <c r="L3" s="0"/>
      <c r="M3" s="0"/>
    </row>
    <row r="4" customFormat="false" ht="15.75" hidden="false" customHeight="false" outlineLevel="0" collapsed="false">
      <c r="A4" s="996"/>
      <c r="B4" s="1117"/>
      <c r="C4" s="360"/>
      <c r="D4" s="1118"/>
      <c r="E4" s="1027"/>
      <c r="F4" s="1119"/>
      <c r="H4" s="0"/>
      <c r="I4" s="0"/>
      <c r="J4" s="0"/>
      <c r="K4" s="0"/>
      <c r="L4" s="0"/>
      <c r="M4" s="0"/>
    </row>
    <row r="5" customFormat="false" ht="15" hidden="false" customHeight="false" outlineLevel="0" collapsed="false">
      <c r="A5" s="1120" t="s">
        <v>732</v>
      </c>
      <c r="B5" s="1019" t="n">
        <f aca="false">PGL_Deliveries!D5/1000</f>
        <v>0</v>
      </c>
      <c r="C5" s="73"/>
      <c r="D5" s="76" t="s">
        <v>733</v>
      </c>
      <c r="E5" s="1019" t="n">
        <f aca="false">PGL_Deliveries!O5/1000</f>
        <v>0</v>
      </c>
      <c r="F5" s="1121"/>
      <c r="H5" s="0"/>
      <c r="I5" s="0"/>
      <c r="J5" s="0"/>
      <c r="K5" s="0"/>
      <c r="L5" s="0"/>
      <c r="M5" s="0"/>
    </row>
    <row r="6" customFormat="false" ht="15.75" hidden="false" customHeight="false" outlineLevel="0" collapsed="false">
      <c r="A6" s="1122" t="s">
        <v>530</v>
      </c>
      <c r="B6" s="1019" t="n">
        <f aca="false">PGL_Deliveries!I5/1000</f>
        <v>0</v>
      </c>
      <c r="C6" s="1123"/>
      <c r="D6" s="76" t="s">
        <v>734</v>
      </c>
      <c r="E6" s="1019" t="n">
        <f aca="false">PGL_Deliveries!P5/1000</f>
        <v>0</v>
      </c>
      <c r="F6" s="1121"/>
      <c r="H6" s="0"/>
      <c r="I6" s="0"/>
      <c r="J6" s="0"/>
      <c r="K6" s="0"/>
      <c r="L6" s="0"/>
      <c r="M6" s="0"/>
    </row>
    <row r="7" customFormat="false" ht="16.5" hidden="false" customHeight="false" outlineLevel="0" collapsed="false">
      <c r="A7" s="1124" t="s">
        <v>735</v>
      </c>
      <c r="B7" s="1125" t="n">
        <f aca="false">SUM(B5:B6)</f>
        <v>0</v>
      </c>
      <c r="C7" s="1123"/>
      <c r="D7" s="76" t="s">
        <v>479</v>
      </c>
      <c r="E7" s="1019" t="n">
        <f aca="false">PGL_Deliveries!E5/1000</f>
        <v>0</v>
      </c>
      <c r="F7" s="1121"/>
      <c r="H7" s="0"/>
      <c r="I7" s="0"/>
      <c r="J7" s="0"/>
      <c r="K7" s="0"/>
      <c r="L7" s="0"/>
      <c r="M7" s="0"/>
    </row>
    <row r="8" customFormat="false" ht="15" hidden="false" customHeight="false" outlineLevel="0" collapsed="false">
      <c r="A8" s="1126" t="s">
        <v>695</v>
      </c>
      <c r="B8" s="1019" t="n">
        <f aca="false">PGL_Deliveries!V5/1000</f>
        <v>151.897</v>
      </c>
      <c r="C8" s="1127"/>
      <c r="D8" s="76" t="s">
        <v>736</v>
      </c>
      <c r="E8" s="1019" t="n">
        <f aca="false">PGL_Deliveries!N5/1000</f>
        <v>0</v>
      </c>
      <c r="F8" s="1121"/>
      <c r="H8" s="0"/>
      <c r="I8" s="0"/>
      <c r="J8" s="0"/>
      <c r="K8" s="0"/>
      <c r="L8" s="0"/>
      <c r="M8" s="0"/>
    </row>
    <row r="9" customFormat="false" ht="15" hidden="false" customHeight="false" outlineLevel="0" collapsed="false">
      <c r="A9" s="1013" t="s">
        <v>85</v>
      </c>
      <c r="B9" s="1019" t="n">
        <f aca="false">PGL_Deliveries!W5/1000</f>
        <v>0</v>
      </c>
      <c r="C9" s="73"/>
      <c r="D9" s="76" t="s">
        <v>482</v>
      </c>
      <c r="E9" s="1019" t="n">
        <f aca="false">PGL_Deliveries!Q5/1000</f>
        <v>0</v>
      </c>
      <c r="F9" s="1121"/>
      <c r="H9" s="0"/>
      <c r="I9" s="0"/>
      <c r="J9" s="0"/>
      <c r="K9" s="0"/>
      <c r="L9" s="0"/>
      <c r="M9" s="0"/>
    </row>
    <row r="10" customFormat="false" ht="15" hidden="false" customHeight="false" outlineLevel="0" collapsed="false">
      <c r="A10" s="1013" t="s">
        <v>451</v>
      </c>
      <c r="B10" s="1019" t="n">
        <f aca="false">PGL_Deliveries!X5/1000</f>
        <v>0</v>
      </c>
      <c r="C10" s="73"/>
      <c r="D10" s="76" t="s">
        <v>483</v>
      </c>
      <c r="E10" s="1019" t="n">
        <f aca="false">PGL_Deliveries!S5/1000</f>
        <v>4.287</v>
      </c>
      <c r="F10" s="1121"/>
      <c r="H10" s="0"/>
      <c r="I10" s="0"/>
      <c r="J10" s="0"/>
      <c r="K10" s="0"/>
      <c r="L10" s="0"/>
      <c r="M10" s="0"/>
    </row>
    <row r="11" customFormat="false" ht="15" hidden="false" customHeight="false" outlineLevel="0" collapsed="false">
      <c r="A11" s="1038" t="s">
        <v>94</v>
      </c>
      <c r="B11" s="1019" t="n">
        <f aca="false">(PGL_Deliveries!AJ5+PGL_Deliveries!AK5)/1000</f>
        <v>19.787</v>
      </c>
      <c r="C11" s="73"/>
      <c r="D11" s="76" t="s">
        <v>737</v>
      </c>
      <c r="E11" s="1019" t="n">
        <f aca="false">PGL_Deliveries!R5/1000</f>
        <v>0</v>
      </c>
      <c r="F11" s="1121"/>
      <c r="H11" s="0"/>
      <c r="I11" s="0"/>
      <c r="J11" s="0"/>
      <c r="K11" s="0"/>
      <c r="L11" s="0"/>
      <c r="M11" s="0"/>
    </row>
    <row r="12" customFormat="false" ht="15" hidden="false" customHeight="false" outlineLevel="0" collapsed="false">
      <c r="A12" s="1013" t="s">
        <v>738</v>
      </c>
      <c r="B12" s="1019" t="n">
        <f aca="false">PGL_Supplies!K7/1000</f>
        <v>0</v>
      </c>
      <c r="C12" s="73"/>
      <c r="D12" s="76" t="s">
        <v>486</v>
      </c>
      <c r="E12" s="1019" t="n">
        <f aca="false">PGL_Deliveries!G5/1000</f>
        <v>0</v>
      </c>
      <c r="F12" s="1121"/>
      <c r="H12" s="0"/>
      <c r="I12" s="0"/>
      <c r="J12" s="0"/>
      <c r="K12" s="0"/>
      <c r="L12" s="0"/>
      <c r="M12" s="0"/>
    </row>
    <row r="13" customFormat="false" ht="15" hidden="false" customHeight="false" outlineLevel="0" collapsed="false">
      <c r="A13" s="1013" t="s">
        <v>739</v>
      </c>
      <c r="B13" s="1019" t="n">
        <f aca="false">PGL_Deliveries!Y5/1000+PGL_Deliveries!Z5/1000+PGL_Deliveries!AA5/1000-PGL_Deliveries!BE5/1000</f>
        <v>157.243</v>
      </c>
      <c r="C13" s="73"/>
      <c r="D13" s="76" t="s">
        <v>487</v>
      </c>
      <c r="E13" s="1019" t="n">
        <f aca="false">PGL_Deliveries!F5/1000</f>
        <v>0</v>
      </c>
      <c r="F13" s="1121"/>
      <c r="H13" s="0"/>
      <c r="I13" s="0"/>
      <c r="J13" s="0"/>
      <c r="K13" s="0"/>
      <c r="L13" s="0"/>
      <c r="M13" s="0"/>
    </row>
    <row r="14" customFormat="false" ht="15" hidden="false" customHeight="false" outlineLevel="0" collapsed="false">
      <c r="A14" s="1013" t="s">
        <v>453</v>
      </c>
      <c r="B14" s="1019" t="n">
        <f aca="false">PGL_Deliveries!AD5/1000</f>
        <v>0</v>
      </c>
      <c r="C14" s="73"/>
      <c r="D14" s="76" t="s">
        <v>489</v>
      </c>
      <c r="E14" s="1019" t="n">
        <f aca="false">PGL_Deliveries!H5/1000</f>
        <v>0</v>
      </c>
      <c r="F14" s="1121"/>
      <c r="G14" s="1019"/>
      <c r="H14" s="0"/>
      <c r="I14" s="0"/>
      <c r="J14" s="0"/>
      <c r="K14" s="0"/>
      <c r="L14" s="0"/>
      <c r="M14" s="0"/>
    </row>
    <row r="15" customFormat="false" ht="15" hidden="false" customHeight="false" outlineLevel="0" collapsed="false">
      <c r="A15" s="1013" t="s">
        <v>67</v>
      </c>
      <c r="B15" s="1019" t="n">
        <f aca="false">PGL_Deliveries!AH5/1000+PGL_Deliveries!AX5/1000+PGL_Deliveries!AT5/1000-PGL_Deliveries!AS5/1000-PGL_Deliveries!AU5/1000+PGL_Deliveries!AE5/1000+PGL_Deliveries!AF5/1000-PGL_Deliveries!AV5/1000</f>
        <v>-147.417</v>
      </c>
      <c r="C15" s="73"/>
      <c r="D15" s="76" t="s">
        <v>491</v>
      </c>
      <c r="E15" s="1019" t="n">
        <f aca="false">PGL_Deliveries!K5/1000</f>
        <v>0</v>
      </c>
      <c r="F15" s="1121"/>
      <c r="H15" s="0"/>
      <c r="I15" s="0"/>
      <c r="J15" s="0"/>
      <c r="K15" s="0"/>
      <c r="L15" s="0"/>
      <c r="M15" s="0"/>
    </row>
    <row r="16" customFormat="false" ht="15" hidden="false" customHeight="false" outlineLevel="0" collapsed="false">
      <c r="A16" s="1013" t="s">
        <v>740</v>
      </c>
      <c r="B16" s="74"/>
      <c r="C16" s="1128" t="n">
        <f aca="false">PGL_Deliveries!AO5/1000</f>
        <v>21.871</v>
      </c>
      <c r="D16" s="76" t="s">
        <v>495</v>
      </c>
      <c r="E16" s="1019" t="n">
        <f aca="false">PGL_Deliveries!L5/1000</f>
        <v>0</v>
      </c>
      <c r="F16" s="1121"/>
      <c r="H16" s="0"/>
      <c r="I16" s="0"/>
      <c r="J16" s="0"/>
      <c r="K16" s="0"/>
      <c r="L16" s="0"/>
      <c r="M16" s="0"/>
    </row>
    <row r="17" customFormat="false" ht="15.75" hidden="false" customHeight="false" outlineLevel="0" collapsed="false">
      <c r="A17" s="1025" t="s">
        <v>455</v>
      </c>
      <c r="B17" s="1019" t="n">
        <f aca="false">PGL_Deliveries!AP5/1000</f>
        <v>0</v>
      </c>
      <c r="C17" s="1123" t="s">
        <v>1</v>
      </c>
      <c r="D17" s="1129" t="s">
        <v>493</v>
      </c>
      <c r="E17" s="1026" t="n">
        <f aca="false">PGL_Deliveries!M5/1000</f>
        <v>0</v>
      </c>
      <c r="F17" s="1119"/>
      <c r="H17" s="0"/>
      <c r="I17" s="0"/>
      <c r="J17" s="0"/>
      <c r="K17" s="0"/>
      <c r="L17" s="0"/>
      <c r="M17" s="0"/>
    </row>
    <row r="18" customFormat="false" ht="16.5" hidden="false" customHeight="false" outlineLevel="0" collapsed="false">
      <c r="A18" s="1130" t="s">
        <v>741</v>
      </c>
      <c r="B18" s="1049" t="n">
        <f aca="false">SUM(B8:B17)-C16</f>
        <v>159.639</v>
      </c>
      <c r="C18" s="1123"/>
      <c r="D18" s="1131" t="s">
        <v>742</v>
      </c>
      <c r="E18" s="1132" t="n">
        <f aca="false">SUM(E5:E17)</f>
        <v>4.287</v>
      </c>
      <c r="F18" s="1119"/>
      <c r="H18" s="0"/>
      <c r="I18" s="0"/>
      <c r="J18" s="0"/>
      <c r="K18" s="0"/>
      <c r="L18" s="0"/>
      <c r="M18" s="0"/>
    </row>
    <row r="19" customFormat="false" ht="15" hidden="false" customHeight="false" outlineLevel="0" collapsed="false">
      <c r="A19" s="1126" t="s">
        <v>656</v>
      </c>
      <c r="B19" s="1019" t="n">
        <f aca="false">PGL_Supplies!Y7/1000</f>
        <v>175.702</v>
      </c>
      <c r="C19" s="1127"/>
      <c r="D19" s="76" t="s">
        <v>633</v>
      </c>
      <c r="E19" s="1019" t="n">
        <f aca="false">PGL_Deliveries!AI5/1000</f>
        <v>0</v>
      </c>
      <c r="F19" s="1121"/>
      <c r="H19" s="0"/>
      <c r="I19" s="0"/>
      <c r="J19" s="0"/>
      <c r="K19" s="0"/>
      <c r="L19" s="0"/>
      <c r="M19" s="0"/>
    </row>
    <row r="20" customFormat="false" ht="15" hidden="false" customHeight="false" outlineLevel="0" collapsed="false">
      <c r="A20" s="1013" t="s">
        <v>280</v>
      </c>
      <c r="B20" s="1019" t="n">
        <f aca="false">PGL_Supplies!X7/1000</f>
        <v>0</v>
      </c>
      <c r="C20" s="73"/>
      <c r="D20" s="76" t="s">
        <v>459</v>
      </c>
      <c r="E20" s="1019" t="n">
        <f aca="false">PGL_Deliveries!AW5/1000+B41</f>
        <v>2.22435</v>
      </c>
      <c r="F20" s="1121"/>
      <c r="H20" s="0"/>
      <c r="I20" s="0"/>
      <c r="J20" s="0"/>
      <c r="K20" s="0"/>
      <c r="L20" s="0"/>
      <c r="M20" s="0"/>
    </row>
    <row r="21" customFormat="false" ht="16.5" hidden="false" customHeight="false" outlineLevel="0" collapsed="false">
      <c r="A21" s="1013" t="s">
        <v>660</v>
      </c>
      <c r="C21" s="1020" t="n">
        <f aca="false">PGL_Requirements!J7/1000</f>
        <v>0</v>
      </c>
      <c r="D21" s="1133" t="s">
        <v>743</v>
      </c>
      <c r="E21" s="1134" t="n">
        <f aca="false">SUM(E18:E20)</f>
        <v>6.51135</v>
      </c>
      <c r="F21" s="1135"/>
      <c r="H21" s="0"/>
      <c r="I21" s="0"/>
      <c r="J21" s="0"/>
      <c r="K21" s="0"/>
      <c r="L21" s="0"/>
      <c r="M21" s="0"/>
    </row>
    <row r="22" customFormat="false" ht="15" hidden="false" customHeight="false" outlineLevel="0" collapsed="false">
      <c r="A22" s="1136" t="s">
        <v>730</v>
      </c>
      <c r="B22" s="1137" t="n">
        <f aca="false">+B19+B20-C21</f>
        <v>175.702</v>
      </c>
      <c r="C22" s="1138"/>
      <c r="D22" s="1139" t="s">
        <v>744</v>
      </c>
      <c r="E22" s="1019" t="n">
        <f aca="false">NSG_Requirements!$L$7/1000</f>
        <v>0</v>
      </c>
      <c r="F22" s="1121"/>
      <c r="H22" s="0"/>
      <c r="I22" s="0"/>
      <c r="J22" s="0"/>
      <c r="K22" s="0"/>
      <c r="L22" s="0"/>
      <c r="M22" s="0"/>
    </row>
    <row r="23" customFormat="false" ht="15" hidden="false" customHeight="false" outlineLevel="0" collapsed="false">
      <c r="A23" s="1013" t="s">
        <v>499</v>
      </c>
      <c r="B23" s="1019" t="n">
        <f aca="false">PGL_Supplies!Z7/1000</f>
        <v>40.2</v>
      </c>
      <c r="C23" s="73"/>
      <c r="D23" s="1139" t="s">
        <v>745</v>
      </c>
      <c r="E23" s="74"/>
      <c r="F23" s="1020" t="n">
        <f aca="false">NSG_Supplies!H7/1000</f>
        <v>0</v>
      </c>
      <c r="H23" s="0"/>
      <c r="I23" s="0"/>
      <c r="J23" s="0"/>
      <c r="K23" s="0"/>
      <c r="L23" s="0"/>
      <c r="M23" s="0"/>
    </row>
    <row r="24" customFormat="false" ht="15" hidden="false" customHeight="false" outlineLevel="0" collapsed="false">
      <c r="A24" s="1038" t="s">
        <v>746</v>
      </c>
      <c r="B24" s="1140"/>
      <c r="C24" s="1128" t="n">
        <f aca="false">PGL_Requirements!U7/1000</f>
        <v>40.2</v>
      </c>
      <c r="D24" s="74" t="s">
        <v>747</v>
      </c>
      <c r="E24" s="74"/>
      <c r="F24" s="1020" t="n">
        <v>0</v>
      </c>
      <c r="H24" s="0"/>
      <c r="I24" s="0"/>
      <c r="J24" s="0"/>
      <c r="K24" s="0"/>
      <c r="L24" s="0"/>
      <c r="M24" s="0"/>
    </row>
    <row r="25" customFormat="false" ht="15" hidden="false" customHeight="false" outlineLevel="0" collapsed="false">
      <c r="A25" s="1038" t="s">
        <v>748</v>
      </c>
      <c r="B25" s="1019" t="n">
        <f aca="false">PGL_Supplies!R7/1000</f>
        <v>0</v>
      </c>
      <c r="C25" s="73"/>
      <c r="D25" s="1139" t="s">
        <v>749</v>
      </c>
      <c r="E25" s="74"/>
      <c r="F25" s="1020" t="n">
        <f aca="false">PGL_Requirements!S7/1000</f>
        <v>0</v>
      </c>
      <c r="H25" s="0"/>
      <c r="I25" s="0"/>
      <c r="J25" s="0"/>
      <c r="K25" s="0"/>
      <c r="L25" s="0"/>
      <c r="M25" s="0"/>
    </row>
    <row r="26" customFormat="false" ht="15" hidden="false" customHeight="false" outlineLevel="0" collapsed="false">
      <c r="A26" s="1136" t="s">
        <v>496</v>
      </c>
      <c r="B26" s="83" t="s">
        <v>1</v>
      </c>
      <c r="C26" s="1141" t="s">
        <v>1</v>
      </c>
      <c r="D26" s="74" t="s">
        <v>750</v>
      </c>
      <c r="E26" s="74"/>
      <c r="F26" s="1020" t="n">
        <v>0</v>
      </c>
      <c r="G26" s="0"/>
      <c r="H26" s="0"/>
      <c r="I26" s="0"/>
      <c r="J26" s="0"/>
      <c r="K26" s="0"/>
      <c r="L26" s="0"/>
      <c r="M26" s="0"/>
    </row>
    <row r="27" customFormat="false" ht="15" hidden="false" customHeight="false" outlineLevel="0" collapsed="false">
      <c r="A27" s="1013" t="s">
        <v>751</v>
      </c>
      <c r="B27" s="1019" t="n">
        <f aca="false">PGL_Supplies!AA7/1000</f>
        <v>0</v>
      </c>
      <c r="C27" s="73"/>
      <c r="D27" s="74" t="s">
        <v>462</v>
      </c>
      <c r="E27" s="74" t="s">
        <v>1</v>
      </c>
      <c r="F27" s="1020" t="n">
        <f aca="false">PGL_Requirements!L7/1000</f>
        <v>0</v>
      </c>
      <c r="H27" s="0"/>
      <c r="I27" s="0"/>
      <c r="J27" s="0"/>
      <c r="K27" s="0"/>
      <c r="L27" s="0"/>
      <c r="M27" s="0"/>
    </row>
    <row r="28" customFormat="false" ht="15" hidden="false" customHeight="false" outlineLevel="0" collapsed="false">
      <c r="A28" s="1013" t="s">
        <v>752</v>
      </c>
      <c r="B28" s="1019" t="n">
        <v>0</v>
      </c>
      <c r="C28" s="73"/>
      <c r="D28" s="1139" t="s">
        <v>753</v>
      </c>
      <c r="E28" s="74"/>
      <c r="F28" s="1020" t="n">
        <f aca="false">(PGL_Requirements!$AC$7+PGL_Requirements!$AD$7+PGL_Requirements!$AE$7)/1000</f>
        <v>0</v>
      </c>
      <c r="H28" s="0"/>
      <c r="I28" s="0"/>
      <c r="J28" s="0"/>
      <c r="K28" s="0"/>
      <c r="L28" s="0"/>
      <c r="M28" s="0"/>
    </row>
    <row r="29" customFormat="false" ht="15" hidden="false" customHeight="false" outlineLevel="0" collapsed="false">
      <c r="A29" s="1136" t="s">
        <v>754</v>
      </c>
      <c r="B29" s="83"/>
      <c r="C29" s="1141" t="n">
        <f aca="false">PGL_Requirements!J12/1000</f>
        <v>0</v>
      </c>
      <c r="D29" s="1139" t="s">
        <v>467</v>
      </c>
      <c r="E29" s="1142" t="s">
        <v>1</v>
      </c>
      <c r="F29" s="1020" t="n">
        <f aca="false">(PGL_Requirements!$Y$7+PGL_Requirements!$Z$7+PGL_Requirements!$AA$7+PGL_Requirements!$AB$7)/1000</f>
        <v>0</v>
      </c>
      <c r="H29" s="0"/>
      <c r="I29" s="0"/>
      <c r="J29" s="0"/>
      <c r="K29" s="0"/>
      <c r="L29" s="0"/>
      <c r="M29" s="0"/>
    </row>
    <row r="30" customFormat="false" ht="15" hidden="false" customHeight="false" outlineLevel="0" collapsed="false">
      <c r="A30" s="1013" t="s">
        <v>755</v>
      </c>
      <c r="B30" s="1143" t="n">
        <f aca="false">PGL_Supplies!AD7/1000</f>
        <v>16.5</v>
      </c>
      <c r="C30" s="73"/>
      <c r="D30" s="1139" t="s">
        <v>756</v>
      </c>
      <c r="E30" s="74" t="s">
        <v>1</v>
      </c>
      <c r="F30" s="1020" t="n">
        <f aca="false">(PGL_Requirements!$W$7+PGL_Requirements!$X$7)/1000</f>
        <v>0</v>
      </c>
      <c r="H30" s="0"/>
      <c r="I30" s="0"/>
      <c r="J30" s="0"/>
      <c r="K30" s="0"/>
      <c r="L30" s="0"/>
      <c r="M30" s="0"/>
    </row>
    <row r="31" customFormat="false" ht="15" hidden="false" customHeight="false" outlineLevel="0" collapsed="false">
      <c r="A31" s="1013" t="s">
        <v>757</v>
      </c>
      <c r="B31" s="1019" t="n">
        <f aca="false">PGL_Supplies!AE7/1000</f>
        <v>0</v>
      </c>
      <c r="C31" s="73"/>
      <c r="D31" s="1139" t="s">
        <v>758</v>
      </c>
      <c r="E31" s="74" t="s">
        <v>1</v>
      </c>
      <c r="F31" s="1020" t="n">
        <f aca="false">PGL_Requirements!O7/1000</f>
        <v>0</v>
      </c>
      <c r="H31" s="0"/>
      <c r="I31" s="0"/>
      <c r="J31" s="0"/>
      <c r="K31" s="0"/>
      <c r="L31" s="0"/>
      <c r="M31" s="0"/>
    </row>
    <row r="32" customFormat="false" ht="15" hidden="false" customHeight="false" outlineLevel="0" collapsed="false">
      <c r="A32" s="1038" t="s">
        <v>759</v>
      </c>
      <c r="B32" s="74"/>
      <c r="C32" s="1128" t="n">
        <v>0</v>
      </c>
      <c r="D32" s="1144" t="s">
        <v>760</v>
      </c>
      <c r="E32" s="1019" t="n">
        <f aca="false">PGL_Deliveries!AR5/1000</f>
        <v>0</v>
      </c>
      <c r="F32" s="1121"/>
      <c r="H32" s="0"/>
      <c r="I32" s="0"/>
      <c r="J32" s="0"/>
      <c r="K32" s="0"/>
      <c r="L32" s="0"/>
      <c r="M32" s="0"/>
    </row>
    <row r="33" customFormat="false" ht="15" hidden="false" customHeight="false" outlineLevel="0" collapsed="false">
      <c r="A33" s="1038" t="s">
        <v>761</v>
      </c>
      <c r="B33" s="1019" t="n">
        <f aca="false">PGL_Supplies!Q7/1000</f>
        <v>0</v>
      </c>
      <c r="C33" s="73"/>
      <c r="D33" s="1139" t="s">
        <v>762</v>
      </c>
      <c r="E33" s="1019" t="n">
        <f aca="false">PGL_Supplies!M7/1000</f>
        <v>0</v>
      </c>
      <c r="F33" s="1121"/>
      <c r="H33" s="0"/>
      <c r="I33" s="0"/>
      <c r="J33" s="0"/>
      <c r="K33" s="0"/>
      <c r="L33" s="0"/>
      <c r="M33" s="0"/>
    </row>
    <row r="34" customFormat="false" ht="15" hidden="false" customHeight="false" outlineLevel="0" collapsed="false">
      <c r="A34" s="1013" t="s">
        <v>763</v>
      </c>
      <c r="B34" s="1145" t="n">
        <f aca="false">(PGL_Deliveries!AB5+PGL_Deliveries!AC5+PGL_Deliveries!AD5)/1000</f>
        <v>0</v>
      </c>
      <c r="C34" s="73"/>
      <c r="D34" s="74" t="s">
        <v>352</v>
      </c>
      <c r="E34" s="1019" t="n">
        <f aca="false">PGL_Supplies!AC7/1000</f>
        <v>37.567</v>
      </c>
      <c r="F34" s="1121"/>
      <c r="H34" s="0"/>
      <c r="I34" s="0"/>
      <c r="J34" s="0"/>
      <c r="K34" s="0"/>
      <c r="L34" s="0"/>
      <c r="M34" s="0"/>
    </row>
    <row r="35" customFormat="false" ht="15" hidden="false" customHeight="false" outlineLevel="0" collapsed="false">
      <c r="A35" s="1013" t="s">
        <v>764</v>
      </c>
      <c r="B35" s="74"/>
      <c r="C35" s="73" t="n">
        <f aca="false">PGL_Deliveries!AC5/1000</f>
        <v>0</v>
      </c>
      <c r="D35" s="74" t="s">
        <v>765</v>
      </c>
      <c r="E35" s="1019" t="n">
        <v>0</v>
      </c>
      <c r="F35" s="1121"/>
      <c r="H35" s="0"/>
      <c r="I35" s="0"/>
      <c r="J35" s="0"/>
      <c r="K35" s="0"/>
      <c r="L35" s="0"/>
      <c r="M35" s="0"/>
    </row>
    <row r="36" customFormat="false" ht="15" hidden="false" customHeight="false" outlineLevel="0" collapsed="false">
      <c r="A36" s="1136" t="s">
        <v>766</v>
      </c>
      <c r="B36" s="83"/>
      <c r="C36" s="1141" t="n">
        <f aca="false">PGL_Deliveries!AB5/1000</f>
        <v>0</v>
      </c>
      <c r="D36" s="1144" t="s">
        <v>767</v>
      </c>
      <c r="E36" s="1019" t="n">
        <f aca="false">PGL_Supplies!N7/1000</f>
        <v>0</v>
      </c>
      <c r="F36" s="1121"/>
      <c r="H36" s="0"/>
      <c r="I36" s="0"/>
      <c r="J36" s="0"/>
      <c r="K36" s="0"/>
      <c r="L36" s="0"/>
      <c r="M36" s="0"/>
    </row>
    <row r="37" customFormat="false" ht="15" hidden="false" customHeight="false" outlineLevel="0" collapsed="false">
      <c r="A37" s="1038" t="s">
        <v>768</v>
      </c>
      <c r="B37" s="1019" t="s">
        <v>1</v>
      </c>
      <c r="C37" s="1128" t="n">
        <f aca="false">PGL_Requirements!P7/1000</f>
        <v>150</v>
      </c>
      <c r="D37" s="1139" t="s">
        <v>769</v>
      </c>
      <c r="E37" s="1019" t="n">
        <f aca="false">PGL_Supplies!O7/1000</f>
        <v>0</v>
      </c>
      <c r="F37" s="1121"/>
      <c r="H37" s="0"/>
      <c r="I37" s="0"/>
      <c r="J37" s="0"/>
      <c r="K37" s="0"/>
      <c r="L37" s="0"/>
      <c r="M37" s="0"/>
    </row>
    <row r="38" customFormat="false" ht="15" hidden="false" customHeight="false" outlineLevel="0" collapsed="false">
      <c r="A38" s="1038" t="s">
        <v>770</v>
      </c>
      <c r="B38" s="1019" t="n">
        <f aca="false">PGL_Supplies!M7/1000</f>
        <v>0</v>
      </c>
      <c r="C38" s="73"/>
      <c r="F38" s="1121"/>
      <c r="H38" s="0"/>
      <c r="I38" s="0"/>
      <c r="J38" s="0"/>
      <c r="K38" s="0"/>
      <c r="L38" s="0"/>
      <c r="M38" s="0"/>
    </row>
    <row r="39" customFormat="false" ht="16.5" hidden="false" customHeight="false" outlineLevel="0" collapsed="false">
      <c r="A39" s="1013" t="s">
        <v>771</v>
      </c>
      <c r="B39" s="74"/>
      <c r="C39" s="1128" t="n">
        <f aca="false">PGL_Deliveries!AS5/1000</f>
        <v>0</v>
      </c>
      <c r="D39" s="1146" t="s">
        <v>381</v>
      </c>
      <c r="E39" s="1134" t="n">
        <f aca="false">SUM(E22:E37)-SUM(F23:F38)-E33</f>
        <v>37.567</v>
      </c>
      <c r="F39" s="1119"/>
      <c r="G39" s="29" t="s">
        <v>1</v>
      </c>
      <c r="H39" s="0"/>
      <c r="I39" s="0"/>
      <c r="J39" s="0"/>
      <c r="K39" s="0"/>
      <c r="L39" s="0"/>
      <c r="M39" s="0"/>
    </row>
    <row r="40" customFormat="false" ht="15" hidden="false" customHeight="false" outlineLevel="0" collapsed="false">
      <c r="A40" s="1013" t="s">
        <v>480</v>
      </c>
      <c r="B40" s="1019" t="n">
        <f aca="false">PGL_Deliveries!AT5/1000</f>
        <v>1.463</v>
      </c>
      <c r="C40" s="73"/>
      <c r="D40" s="1147" t="s">
        <v>772</v>
      </c>
      <c r="E40" s="1115"/>
      <c r="F40" s="1020" t="n">
        <f aca="false">PGL_Requirements!K7/1000</f>
        <v>9</v>
      </c>
      <c r="H40" s="0"/>
      <c r="I40" s="0"/>
      <c r="J40" s="0"/>
      <c r="K40" s="0"/>
      <c r="L40" s="0"/>
      <c r="M40" s="0"/>
    </row>
    <row r="41" customFormat="false" ht="15" hidden="false" customHeight="false" outlineLevel="0" collapsed="false">
      <c r="A41" s="1013" t="s">
        <v>339</v>
      </c>
      <c r="B41" s="1019" t="n">
        <f aca="false">PGL_Deliveries!AG5/1000</f>
        <v>0</v>
      </c>
      <c r="C41" s="73"/>
      <c r="D41" s="1139" t="s">
        <v>270</v>
      </c>
      <c r="E41" s="1148" t="n">
        <f aca="false">PGL_Supplies!AB7/1000</f>
        <v>212.579</v>
      </c>
      <c r="F41" s="1121"/>
      <c r="H41" s="0"/>
      <c r="I41" s="0"/>
      <c r="J41" s="0"/>
      <c r="K41" s="0"/>
      <c r="L41" s="0"/>
      <c r="M41" s="0"/>
    </row>
    <row r="42" customFormat="false" ht="15" hidden="false" customHeight="false" outlineLevel="0" collapsed="false">
      <c r="A42" s="1038" t="s">
        <v>773</v>
      </c>
      <c r="B42" s="1019" t="n">
        <f aca="false">PGL_Deliveries!AF5/1000</f>
        <v>0</v>
      </c>
      <c r="C42" s="73"/>
      <c r="D42" s="74" t="s">
        <v>468</v>
      </c>
      <c r="E42" s="1148" t="n">
        <f aca="false">PGL_Supplies!W7/1000</f>
        <v>0</v>
      </c>
      <c r="F42" s="1121"/>
      <c r="H42" s="0"/>
      <c r="I42" s="0"/>
      <c r="J42" s="0"/>
      <c r="K42" s="0"/>
      <c r="L42" s="0"/>
      <c r="M42" s="0"/>
    </row>
    <row r="43" customFormat="false" ht="15" hidden="false" customHeight="false" outlineLevel="0" collapsed="false">
      <c r="A43" s="1013" t="s">
        <v>774</v>
      </c>
      <c r="B43" s="1019" t="n">
        <f aca="false">PGL_Deliveries!AW5/1000</f>
        <v>2.22435</v>
      </c>
      <c r="C43" s="73"/>
      <c r="D43" s="74" t="s">
        <v>651</v>
      </c>
      <c r="E43" s="1019"/>
      <c r="F43" s="1020" t="n">
        <f aca="false">(PGL_Requirements!$AF$7+PGL_Requirements!$AG$7+PGL_Requirements!$AH$7+PGL_Requirements!$AI$7)/1000</f>
        <v>0</v>
      </c>
      <c r="H43" s="0"/>
      <c r="I43" s="0"/>
      <c r="J43" s="0"/>
      <c r="K43" s="0"/>
      <c r="L43" s="0"/>
      <c r="M43" s="0"/>
    </row>
    <row r="44" customFormat="false" ht="15.75" hidden="false" customHeight="false" outlineLevel="0" collapsed="false">
      <c r="A44" s="1025" t="s">
        <v>775</v>
      </c>
      <c r="B44" s="1026" t="s">
        <v>1</v>
      </c>
      <c r="C44" s="1128" t="n">
        <f aca="false">PGL_Requirements!R7/1000</f>
        <v>0.61</v>
      </c>
      <c r="D44" s="74" t="s">
        <v>776</v>
      </c>
      <c r="E44" s="1019" t="n">
        <f aca="false">NSG_Requirements!$AB$7+NSG_Requirements!$AC$7+NSG_Requirements!$AD$7+NSG_Requirements!$AE$7/1000+NSG_Requirements!K7/1000</f>
        <v>0</v>
      </c>
      <c r="F44" s="1020"/>
      <c r="H44" s="0"/>
      <c r="I44" s="0"/>
      <c r="J44" s="0"/>
      <c r="K44" s="0"/>
      <c r="L44" s="0"/>
      <c r="M44" s="0"/>
    </row>
    <row r="45" customFormat="false" ht="15" hidden="false" customHeight="false" outlineLevel="0" collapsed="false">
      <c r="A45" s="1126" t="s">
        <v>777</v>
      </c>
      <c r="B45" s="74" t="n">
        <f aca="false">Weather_Input!B5</f>
        <v>62</v>
      </c>
      <c r="C45" s="1113"/>
      <c r="D45" s="74" t="s">
        <v>372</v>
      </c>
      <c r="E45" s="1148" t="n">
        <f aca="false">PGL_Supplies!T7/1000</f>
        <v>7</v>
      </c>
      <c r="F45" s="1121"/>
    </row>
    <row r="46" customFormat="false" ht="15" hidden="false" customHeight="false" outlineLevel="0" collapsed="false">
      <c r="A46" s="1013" t="s">
        <v>778</v>
      </c>
      <c r="B46" s="1149" t="n">
        <f aca="false">Weather_Input!C5</f>
        <v>44</v>
      </c>
      <c r="C46" s="41"/>
      <c r="D46" s="30" t="s">
        <v>393</v>
      </c>
      <c r="E46" s="74"/>
      <c r="F46" s="1020" t="n">
        <f aca="false">PGL_Deliveries!BE5/1000</f>
        <v>17.908</v>
      </c>
    </row>
    <row r="47" customFormat="false" ht="15" hidden="false" customHeight="false" outlineLevel="0" collapsed="false">
      <c r="A47" s="1038" t="s">
        <v>779</v>
      </c>
      <c r="B47" s="74" t="str">
        <f aca="false">Weather_Input!E5</f>
        <v>N/A</v>
      </c>
      <c r="C47" s="41"/>
      <c r="D47" s="1150" t="s">
        <v>780</v>
      </c>
      <c r="E47" s="83"/>
      <c r="F47" s="1020" t="n">
        <f aca="false">PGL_Deliveries!BF5/1000</f>
        <v>0</v>
      </c>
    </row>
    <row r="48" customFormat="false" ht="15" hidden="false" customHeight="false" outlineLevel="0" collapsed="false">
      <c r="A48" s="1013" t="s">
        <v>781</v>
      </c>
      <c r="B48" s="1151" t="n">
        <f aca="false">Weather_Input!D5</f>
        <v>12</v>
      </c>
      <c r="C48" s="41"/>
      <c r="D48" s="1139" t="s">
        <v>520</v>
      </c>
      <c r="E48" s="1019" t="n">
        <f aca="false">PGL_Deliveries!AI5/1000</f>
        <v>0</v>
      </c>
      <c r="F48" s="430"/>
    </row>
    <row r="49" customFormat="false" ht="15" hidden="false" customHeight="false" outlineLevel="0" collapsed="false">
      <c r="A49" s="1013" t="s">
        <v>782</v>
      </c>
      <c r="B49" s="1019" t="n">
        <f aca="false">PGL_Deliveries!AM5/1000</f>
        <v>1.015</v>
      </c>
      <c r="C49" s="41"/>
      <c r="D49" s="74" t="s">
        <v>783</v>
      </c>
      <c r="E49" s="1019" t="n">
        <f aca="false">PGL_Deliveries!AJ5/1000</f>
        <v>19.787</v>
      </c>
      <c r="F49" s="430"/>
    </row>
    <row r="50" customFormat="false" ht="15.75" hidden="false" customHeight="false" outlineLevel="2" collapsed="false">
      <c r="A50" s="996" t="s">
        <v>784</v>
      </c>
      <c r="B50" s="1117"/>
      <c r="C50" s="360"/>
      <c r="D50" s="1027" t="s">
        <v>785</v>
      </c>
      <c r="E50" s="1026" t="n">
        <f aca="false">PGL_Deliveries!AK5/1000</f>
        <v>0</v>
      </c>
      <c r="F50" s="1046"/>
    </row>
    <row r="51" customFormat="false" ht="15" hidden="false" customHeight="false" outlineLevel="2" collapsed="false">
      <c r="A51" s="1152" t="s">
        <v>786</v>
      </c>
      <c r="B51" s="0"/>
      <c r="C51" s="0"/>
      <c r="D51" s="0"/>
      <c r="E51" s="0"/>
      <c r="F51" s="40"/>
    </row>
    <row r="52" customFormat="false" ht="15" hidden="false" customHeight="false" outlineLevel="2" collapsed="false">
      <c r="A52" s="0" t="s">
        <v>1</v>
      </c>
      <c r="B52" s="0"/>
      <c r="C52" s="0"/>
      <c r="D52" s="0"/>
      <c r="E52" s="0"/>
      <c r="F52" s="40"/>
    </row>
    <row r="53" customFormat="false" ht="15" hidden="false" customHeight="false" outlineLevel="2" collapsed="false">
      <c r="A53" s="40"/>
      <c r="B53" s="40"/>
      <c r="C53" s="0"/>
      <c r="D53" s="0"/>
      <c r="E53" s="0"/>
      <c r="F53" s="40"/>
    </row>
    <row r="54" customFormat="false" ht="15" hidden="false" customHeight="false" outlineLevel="2" collapsed="false">
      <c r="A54" s="40"/>
      <c r="B54" s="0"/>
      <c r="C54" s="0"/>
      <c r="D54" s="0"/>
      <c r="E54" s="0"/>
      <c r="F54" s="40"/>
    </row>
    <row r="55" customFormat="false" ht="15" hidden="false" customHeight="false" outlineLevel="2" collapsed="false">
      <c r="A55" s="40"/>
      <c r="B55" s="0"/>
      <c r="C55" s="0"/>
      <c r="D55" s="0"/>
      <c r="E55" s="0"/>
      <c r="F55" s="40"/>
    </row>
    <row r="56" customFormat="false" ht="15" hidden="false" customHeight="false" outlineLevel="2" collapsed="false">
      <c r="A56" s="40"/>
      <c r="B56" s="0"/>
      <c r="C56" s="0"/>
      <c r="D56" s="0"/>
      <c r="E56" s="0"/>
      <c r="F56" s="40"/>
    </row>
    <row r="57" customFormat="false" ht="15" hidden="false" customHeight="false" outlineLevel="2" collapsed="false">
      <c r="A57" s="40"/>
      <c r="B57" s="0"/>
      <c r="C57" s="0"/>
      <c r="D57" s="0"/>
      <c r="E57" s="0"/>
      <c r="F57" s="40"/>
    </row>
    <row r="58" customFormat="false" ht="15" hidden="false" customHeight="false" outlineLevel="1" collapsed="false">
      <c r="A58" s="40"/>
      <c r="B58" s="0"/>
      <c r="C58" s="0"/>
      <c r="D58" s="0"/>
      <c r="E58" s="0"/>
      <c r="F58" s="40"/>
    </row>
    <row r="59" customFormat="false" ht="15" hidden="false" customHeight="false" outlineLevel="2" collapsed="false">
      <c r="A59" s="40"/>
      <c r="B59" s="0"/>
      <c r="C59" s="0"/>
      <c r="D59" s="0"/>
      <c r="E59" s="0"/>
      <c r="F59" s="40"/>
    </row>
    <row r="60" customFormat="false" ht="15" hidden="false" customHeight="false" outlineLevel="1" collapsed="false">
      <c r="A60" s="40"/>
      <c r="B60" s="0"/>
      <c r="C60" s="0"/>
      <c r="D60" s="0"/>
      <c r="E60" s="0"/>
      <c r="F60" s="40"/>
    </row>
    <row r="61" customFormat="false" ht="15" hidden="false" customHeight="false" outlineLevel="0" collapsed="false">
      <c r="A61" s="74" t="s">
        <v>1</v>
      </c>
      <c r="B61" s="1151" t="s">
        <v>1</v>
      </c>
      <c r="C61" s="40"/>
      <c r="D61" s="40"/>
      <c r="E61" s="40"/>
      <c r="F61" s="40"/>
    </row>
    <row r="62" customFormat="false" ht="15" hidden="false" customHeight="false" outlineLevel="0" collapsed="false">
      <c r="A62" s="40"/>
      <c r="B62" s="0"/>
      <c r="C62" s="0"/>
      <c r="D62" s="0"/>
      <c r="E62" s="0"/>
      <c r="F62" s="0"/>
    </row>
    <row r="63" customFormat="false" ht="15" hidden="false" customHeight="false" outlineLevel="0" collapsed="false">
      <c r="A63" s="40"/>
      <c r="B63" s="0"/>
      <c r="C63" s="0"/>
      <c r="D63" s="0"/>
      <c r="E63" s="0"/>
      <c r="F63" s="0"/>
    </row>
    <row r="64" customFormat="false" ht="15" hidden="false" customHeight="false" outlineLevel="0" collapsed="false">
      <c r="A64" s="74"/>
      <c r="D64" s="0"/>
      <c r="E64" s="0"/>
      <c r="F64" s="0"/>
    </row>
    <row r="65" customFormat="false" ht="15" hidden="false" customHeight="false" outlineLevel="0" collapsed="false">
      <c r="A65" s="74"/>
      <c r="D65" s="0"/>
      <c r="E65" s="0"/>
      <c r="F65" s="0"/>
    </row>
    <row r="66" customFormat="false" ht="12.75" hidden="false" customHeight="false" outlineLevel="0" collapsed="false">
      <c r="A66" s="74"/>
      <c r="D66" s="74"/>
    </row>
    <row r="67" customFormat="false" ht="12.75" hidden="false" customHeight="false" outlineLevel="0" collapsed="false">
      <c r="A67" s="74"/>
    </row>
    <row r="68" customFormat="false" ht="12.75" hidden="false" customHeight="false" outlineLevel="0" collapsed="false">
      <c r="A68" s="74"/>
    </row>
    <row r="69" customFormat="false" ht="12.75" hidden="false" customHeight="false" outlineLevel="0" collapsed="false">
      <c r="A69" s="74"/>
    </row>
    <row r="70" customFormat="false" ht="12.75" hidden="false" customHeight="false" outlineLevel="0" collapsed="false">
      <c r="A70" s="74"/>
    </row>
    <row r="71" customFormat="false" ht="12.75" hidden="false" customHeight="false" outlineLevel="0" collapsed="false">
      <c r="A71" s="74"/>
    </row>
    <row r="72" customFormat="false" ht="12.75" hidden="false" customHeight="false" outlineLevel="0" collapsed="false">
      <c r="A72" s="74"/>
    </row>
    <row r="73" customFormat="false" ht="12.75" hidden="false" customHeight="false" outlineLevel="0" collapsed="false">
      <c r="A73" s="74"/>
    </row>
    <row r="74" customFormat="false" ht="12.75" hidden="false" customHeight="false" outlineLevel="0" collapsed="false">
      <c r="A74" s="74"/>
    </row>
    <row r="75" customFormat="false" ht="12.75" hidden="false" customHeight="false" outlineLevel="0" collapsed="false">
      <c r="A75" s="74"/>
    </row>
    <row r="105" customFormat="false" ht="15" hidden="false" customHeight="false" outlineLevel="0" collapsed="false">
      <c r="A105" s="0"/>
      <c r="B105" s="0"/>
      <c r="D105" s="0"/>
      <c r="E105" s="0"/>
      <c r="F105" s="0"/>
    </row>
    <row r="106" customFormat="false" ht="15" hidden="false" customHeight="false" outlineLevel="0" collapsed="false">
      <c r="A106" s="0"/>
      <c r="B106" s="0"/>
      <c r="C106" s="0"/>
      <c r="D106" s="0"/>
      <c r="E106" s="0"/>
      <c r="F106" s="0"/>
    </row>
    <row r="107" customFormat="false" ht="15" hidden="false" customHeight="false" outlineLevel="0" collapsed="false">
      <c r="A107" s="0"/>
      <c r="B107" s="0"/>
      <c r="C107" s="0"/>
      <c r="D107" s="0"/>
      <c r="E107" s="0"/>
      <c r="F107" s="0"/>
    </row>
    <row r="108" customFormat="false" ht="15" hidden="false" customHeight="false" outlineLevel="0" collapsed="false">
      <c r="A108" s="0"/>
      <c r="B108" s="0"/>
      <c r="C108" s="0"/>
      <c r="D108" s="0"/>
      <c r="E108" s="0"/>
      <c r="F108" s="0"/>
    </row>
    <row r="109" customFormat="false" ht="15" hidden="false" customHeight="false" outlineLevel="0" collapsed="false">
      <c r="A109" s="0"/>
      <c r="B109" s="0"/>
      <c r="C109" s="0"/>
      <c r="D109" s="0"/>
      <c r="E109" s="0"/>
      <c r="F109" s="0"/>
    </row>
    <row r="110" customFormat="false" ht="15" hidden="false" customHeight="false" outlineLevel="0" collapsed="false">
      <c r="A110" s="0"/>
      <c r="B110" s="0"/>
      <c r="C110" s="0"/>
      <c r="D110" s="0"/>
      <c r="E110" s="0"/>
      <c r="F110" s="0"/>
    </row>
    <row r="111" customFormat="false" ht="15" hidden="false" customHeight="false" outlineLevel="0" collapsed="false">
      <c r="A111" s="0"/>
      <c r="B111" s="0"/>
      <c r="C111" s="0"/>
      <c r="D111" s="0"/>
      <c r="E111" s="0"/>
      <c r="F111" s="0"/>
    </row>
    <row r="112" customFormat="false" ht="15" hidden="false" customHeight="false" outlineLevel="0" collapsed="false">
      <c r="A112" s="0"/>
      <c r="B112" s="0"/>
      <c r="C112" s="0"/>
      <c r="D112" s="0"/>
      <c r="E112" s="0"/>
      <c r="F112" s="0"/>
    </row>
    <row r="113" customFormat="false" ht="15" hidden="false" customHeight="false" outlineLevel="0" collapsed="false">
      <c r="A113" s="0"/>
      <c r="B113" s="0"/>
      <c r="C113" s="0"/>
      <c r="D113" s="0"/>
      <c r="E113" s="0"/>
      <c r="F113" s="0"/>
    </row>
    <row r="114" customFormat="false" ht="15" hidden="false" customHeight="false" outlineLevel="0" collapsed="false">
      <c r="A114" s="0"/>
      <c r="B114" s="0"/>
      <c r="C114" s="0"/>
      <c r="D114" s="0"/>
      <c r="E114" s="0"/>
      <c r="F114" s="0"/>
    </row>
    <row r="115" customFormat="false" ht="15" hidden="false" customHeight="false" outlineLevel="0" collapsed="false">
      <c r="A115" s="0"/>
      <c r="B115" s="0"/>
      <c r="C115" s="0"/>
      <c r="D115" s="0"/>
      <c r="E115" s="0"/>
      <c r="F115" s="0"/>
    </row>
    <row r="116" customFormat="false" ht="15" hidden="false" customHeight="false" outlineLevel="0" collapsed="false">
      <c r="A116" s="0"/>
      <c r="B116" s="0"/>
      <c r="C116" s="0"/>
      <c r="D116" s="0"/>
      <c r="E116" s="0"/>
      <c r="F116" s="0"/>
    </row>
    <row r="117" customFormat="false" ht="15" hidden="false" customHeight="false" outlineLevel="0" collapsed="false">
      <c r="A117" s="0"/>
      <c r="B117" s="0"/>
      <c r="C117" s="0"/>
      <c r="D117" s="0"/>
      <c r="E117" s="0"/>
      <c r="F117" s="0"/>
    </row>
    <row r="118" customFormat="false" ht="15" hidden="false" customHeight="false" outlineLevel="0" collapsed="false">
      <c r="A118" s="0"/>
      <c r="B118" s="0"/>
      <c r="C118" s="0"/>
      <c r="D118" s="0"/>
      <c r="E118" s="0"/>
      <c r="F118" s="0"/>
    </row>
    <row r="119" customFormat="false" ht="15" hidden="false" customHeight="false" outlineLevel="0" collapsed="false">
      <c r="A119" s="0"/>
      <c r="B119" s="0"/>
      <c r="C119" s="0"/>
      <c r="D119" s="0"/>
      <c r="E119" s="0"/>
      <c r="F119" s="0"/>
    </row>
    <row r="120" customFormat="false" ht="15" hidden="false" customHeight="false" outlineLevel="0" collapsed="false">
      <c r="A120" s="0"/>
      <c r="B120" s="0"/>
      <c r="C120" s="0"/>
      <c r="D120" s="0"/>
      <c r="E120" s="0"/>
      <c r="F120" s="0"/>
    </row>
    <row r="121" customFormat="false" ht="15" hidden="false" customHeight="false" outlineLevel="0" collapsed="false">
      <c r="A121" s="0"/>
      <c r="B121" s="0"/>
      <c r="C121" s="0"/>
      <c r="D121" s="0"/>
      <c r="E121" s="0"/>
      <c r="F121" s="0"/>
    </row>
    <row r="122" customFormat="false" ht="15" hidden="false" customHeight="false" outlineLevel="0" collapsed="false">
      <c r="A122" s="0"/>
      <c r="B122" s="0"/>
      <c r="C122" s="0"/>
      <c r="D122" s="0"/>
      <c r="E122" s="0"/>
      <c r="F122" s="0"/>
    </row>
    <row r="123" customFormat="false" ht="15" hidden="false" customHeight="false" outlineLevel="0" collapsed="false">
      <c r="A123" s="0"/>
      <c r="B123" s="0"/>
      <c r="C123" s="0"/>
      <c r="D123" s="0"/>
      <c r="E123" s="0"/>
      <c r="F123" s="0"/>
    </row>
    <row r="124" customFormat="false" ht="15" hidden="false" customHeight="false" outlineLevel="0" collapsed="false">
      <c r="A124" s="0"/>
      <c r="B124" s="0"/>
      <c r="C124" s="0"/>
      <c r="D124" s="0"/>
      <c r="E124" s="0"/>
      <c r="F124" s="0"/>
    </row>
    <row r="125" customFormat="false" ht="15" hidden="false" customHeight="false" outlineLevel="0" collapsed="false">
      <c r="A125" s="0"/>
      <c r="B125" s="0"/>
      <c r="C125" s="0"/>
      <c r="D125" s="0"/>
      <c r="E125" s="0"/>
      <c r="F125" s="0"/>
    </row>
    <row r="126" customFormat="false" ht="15" hidden="false" customHeight="false" outlineLevel="0" collapsed="false">
      <c r="A126" s="0"/>
      <c r="B126" s="0"/>
      <c r="C126" s="0"/>
      <c r="D126" s="0"/>
      <c r="E126" s="0"/>
      <c r="F126" s="0"/>
    </row>
    <row r="127" customFormat="false" ht="15" hidden="false" customHeight="false" outlineLevel="0" collapsed="false">
      <c r="A127" s="0"/>
      <c r="B127" s="0"/>
      <c r="C127" s="0"/>
      <c r="D127" s="0"/>
      <c r="E127" s="0"/>
      <c r="F127" s="0"/>
    </row>
    <row r="128" customFormat="false" ht="15" hidden="false" customHeight="false" outlineLevel="0" collapsed="false">
      <c r="A128" s="0"/>
      <c r="B128" s="0"/>
      <c r="C128" s="0"/>
      <c r="D128" s="0"/>
      <c r="E128" s="0"/>
      <c r="F128" s="0"/>
    </row>
    <row r="129" customFormat="false" ht="15" hidden="false" customHeight="false" outlineLevel="0" collapsed="false">
      <c r="A129" s="0"/>
      <c r="B129" s="0"/>
      <c r="C129" s="0"/>
      <c r="D129" s="0"/>
      <c r="E129" s="0"/>
      <c r="F129" s="0"/>
    </row>
    <row r="130" customFormat="false" ht="15" hidden="false" customHeight="false" outlineLevel="0" collapsed="false">
      <c r="A130" s="0"/>
      <c r="B130" s="0"/>
      <c r="C130" s="0"/>
      <c r="D130" s="0"/>
      <c r="E130" s="0"/>
      <c r="F130" s="0"/>
    </row>
    <row r="131" customFormat="false" ht="15" hidden="false" customHeight="false" outlineLevel="0" collapsed="false">
      <c r="A131" s="0"/>
      <c r="B131" s="0"/>
      <c r="C131" s="0"/>
      <c r="D131" s="0"/>
      <c r="E131" s="0"/>
      <c r="F131" s="0"/>
    </row>
    <row r="132" customFormat="false" ht="15" hidden="false" customHeight="false" outlineLevel="0" collapsed="false">
      <c r="A132" s="0"/>
      <c r="B132" s="0"/>
      <c r="C132" s="0"/>
      <c r="D132" s="0"/>
      <c r="E132" s="0"/>
      <c r="F132" s="0"/>
    </row>
    <row r="133" customFormat="false" ht="15" hidden="false" customHeight="false" outlineLevel="0" collapsed="false">
      <c r="A133" s="0"/>
      <c r="B133" s="0"/>
      <c r="C133" s="0"/>
      <c r="D133" s="0"/>
      <c r="E133" s="0"/>
      <c r="F133" s="0"/>
    </row>
    <row r="134" customFormat="false" ht="15" hidden="false" customHeight="false" outlineLevel="0" collapsed="false">
      <c r="A134" s="0"/>
      <c r="B134" s="0"/>
      <c r="C134" s="0"/>
      <c r="D134" s="0"/>
      <c r="E134" s="0"/>
      <c r="F134" s="0"/>
    </row>
    <row r="135" customFormat="false" ht="15" hidden="false" customHeight="false" outlineLevel="0" collapsed="false">
      <c r="A135" s="0"/>
      <c r="B135" s="0"/>
      <c r="C135" s="0"/>
      <c r="D135" s="0"/>
      <c r="E135" s="0"/>
      <c r="F135" s="0"/>
    </row>
    <row r="136" customFormat="false" ht="15" hidden="false" customHeight="false" outlineLevel="0" collapsed="false">
      <c r="A136" s="0"/>
      <c r="B136" s="0"/>
      <c r="C136" s="0"/>
      <c r="D136" s="0"/>
      <c r="E136" s="0"/>
      <c r="F136" s="0"/>
    </row>
    <row r="137" customFormat="false" ht="15" hidden="false" customHeight="false" outlineLevel="0" collapsed="false">
      <c r="A137" s="0"/>
      <c r="B137" s="0"/>
      <c r="C137" s="0"/>
      <c r="D137" s="0"/>
      <c r="E137" s="0"/>
      <c r="F137" s="0"/>
    </row>
    <row r="138" customFormat="false" ht="15" hidden="false" customHeight="false" outlineLevel="0" collapsed="false">
      <c r="A138" s="0"/>
      <c r="B138" s="0"/>
      <c r="C138" s="0"/>
      <c r="D138" s="0"/>
      <c r="E138" s="0"/>
      <c r="F138" s="0"/>
    </row>
    <row r="139" customFormat="false" ht="15" hidden="false" customHeight="false" outlineLevel="0" collapsed="false">
      <c r="A139" s="0"/>
      <c r="B139" s="0"/>
      <c r="C139" s="0"/>
      <c r="D139" s="0"/>
      <c r="E139" s="0"/>
      <c r="F139" s="0"/>
    </row>
    <row r="140" customFormat="false" ht="15" hidden="false" customHeight="false" outlineLevel="0" collapsed="false">
      <c r="A140" s="0"/>
      <c r="B140" s="0"/>
      <c r="C140" s="0"/>
      <c r="D140" s="0"/>
      <c r="E140" s="0"/>
      <c r="F140" s="0"/>
    </row>
    <row r="141" customFormat="false" ht="15" hidden="false" customHeight="false" outlineLevel="0" collapsed="false">
      <c r="A141" s="0"/>
      <c r="B141" s="0"/>
      <c r="C141" s="0"/>
      <c r="D141" s="0"/>
      <c r="E141" s="0"/>
      <c r="F141" s="0"/>
    </row>
    <row r="142" customFormat="false" ht="15" hidden="false" customHeight="false" outlineLevel="0" collapsed="false">
      <c r="A142" s="0"/>
      <c r="B142" s="0"/>
      <c r="C142" s="0"/>
      <c r="D142" s="0"/>
      <c r="E142" s="0"/>
      <c r="F142" s="0"/>
    </row>
    <row r="143" customFormat="false" ht="15" hidden="false" customHeight="false" outlineLevel="0" collapsed="false">
      <c r="A143" s="0"/>
      <c r="B143" s="0"/>
      <c r="C143" s="0"/>
      <c r="D143" s="0"/>
      <c r="E143" s="0"/>
      <c r="F143" s="0"/>
    </row>
    <row r="144" customFormat="false" ht="15" hidden="false" customHeight="false" outlineLevel="0" collapsed="false">
      <c r="A144" s="0"/>
      <c r="B144" s="0"/>
      <c r="C144" s="0"/>
      <c r="D144" s="0"/>
      <c r="E144" s="0"/>
      <c r="F144" s="0"/>
    </row>
    <row r="145" customFormat="false" ht="15" hidden="false" customHeight="false" outlineLevel="0" collapsed="false">
      <c r="A145" s="0"/>
      <c r="B145" s="0"/>
      <c r="C145" s="0"/>
      <c r="D145" s="0"/>
      <c r="E145" s="0"/>
      <c r="F145" s="0"/>
    </row>
    <row r="146" customFormat="false" ht="15" hidden="false" customHeight="false" outlineLevel="0" collapsed="false">
      <c r="A146" s="0"/>
      <c r="B146" s="0"/>
      <c r="C146" s="0"/>
      <c r="D146" s="0"/>
      <c r="E146" s="0"/>
      <c r="F146" s="0"/>
    </row>
  </sheetData>
  <printOptions headings="false" gridLines="false" gridLinesSet="true" horizontalCentered="false" verticalCentered="false"/>
  <pageMargins left="1" right="0.5" top="0.5" bottom="0.5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&amp;R&amp;10Printed: &amp;D &amp;T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K38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8828125" defaultRowHeight="12.75" customHeight="true" zeroHeight="false" outlineLevelRow="0" outlineLevelCol="0"/>
  <cols>
    <col collapsed="false" customWidth="true" hidden="false" outlineLevel="0" max="1" min="1" style="29" width="18.21"/>
    <col collapsed="false" customWidth="true" hidden="false" outlineLevel="0" max="2" min="2" style="29" width="7.66"/>
    <col collapsed="false" customWidth="true" hidden="false" outlineLevel="0" max="3" min="3" style="29" width="6.55"/>
    <col collapsed="false" customWidth="true" hidden="false" outlineLevel="0" max="4" min="4" style="29" width="24.99"/>
    <col collapsed="false" customWidth="false" hidden="false" outlineLevel="0" max="5" min="5" style="29" width="8.88"/>
    <col collapsed="false" customWidth="true" hidden="false" outlineLevel="0" max="6" min="6" style="29" width="7.66"/>
    <col collapsed="false" customWidth="false" hidden="false" outlineLevel="0" max="257" min="7" style="29" width="8.88"/>
  </cols>
  <sheetData>
    <row r="1" customFormat="false" ht="15" hidden="false" customHeight="false" outlineLevel="0" collapsed="false">
      <c r="A1" s="40" t="s">
        <v>1</v>
      </c>
    </row>
    <row r="2" customFormat="false" ht="15" hidden="false" customHeight="false" outlineLevel="0" collapsed="false">
      <c r="A2" s="40" t="s">
        <v>1</v>
      </c>
      <c r="B2" s="888"/>
      <c r="C2" s="0"/>
      <c r="D2" s="0"/>
      <c r="E2" s="0"/>
      <c r="F2" s="0"/>
      <c r="G2" s="0"/>
      <c r="J2" s="0"/>
      <c r="K2" s="0"/>
    </row>
    <row r="3" customFormat="false" ht="15.75" hidden="false" customHeight="false" outlineLevel="0" collapsed="false">
      <c r="A3" s="1153" t="s">
        <v>787</v>
      </c>
      <c r="B3" s="1154" t="n">
        <f aca="false">NSG_Deliveries!H5/1000</f>
        <v>0</v>
      </c>
      <c r="C3" s="508"/>
      <c r="D3" s="1155" t="s">
        <v>686</v>
      </c>
      <c r="E3" s="1156" t="n">
        <f aca="false">Weather_Input!A5</f>
        <v>37034</v>
      </c>
      <c r="F3" s="508"/>
      <c r="G3" s="0"/>
      <c r="J3" s="0"/>
      <c r="K3" s="0"/>
    </row>
    <row r="4" customFormat="false" ht="15.75" hidden="false" customHeight="false" outlineLevel="0" collapsed="false">
      <c r="A4" s="262"/>
      <c r="B4" s="1157"/>
      <c r="C4" s="1158"/>
      <c r="D4" s="41"/>
      <c r="E4" s="41"/>
      <c r="F4" s="1159"/>
      <c r="G4" s="0"/>
      <c r="J4" s="0"/>
      <c r="K4" s="0"/>
    </row>
    <row r="5" customFormat="false" ht="15" hidden="false" customHeight="false" outlineLevel="0" collapsed="false">
      <c r="A5" s="1160" t="s">
        <v>448</v>
      </c>
      <c r="B5" s="1161" t="n">
        <f aca="false">NSG_Deliveries!E5/1000</f>
        <v>0</v>
      </c>
      <c r="C5" s="1162"/>
      <c r="D5" s="1163" t="s">
        <v>696</v>
      </c>
      <c r="E5" s="1164" t="n">
        <f aca="false">NSG_Deliveries!D5/1000</f>
        <v>0</v>
      </c>
      <c r="F5" s="1165"/>
      <c r="G5" s="0"/>
      <c r="J5" s="0"/>
      <c r="K5" s="0"/>
    </row>
    <row r="6" customFormat="false" ht="15" hidden="false" customHeight="true" outlineLevel="0" collapsed="false">
      <c r="A6" s="262"/>
      <c r="B6" s="1157"/>
      <c r="C6" s="1158"/>
      <c r="D6" s="41"/>
      <c r="E6" s="41"/>
      <c r="F6" s="1166"/>
      <c r="G6" s="0"/>
    </row>
    <row r="7" customFormat="false" ht="15" hidden="false" customHeight="true" outlineLevel="0" collapsed="false">
      <c r="A7" s="1160" t="s">
        <v>788</v>
      </c>
      <c r="B7" s="1164" t="n">
        <f aca="false">NSG_Deliveries!G5/1000</f>
        <v>0</v>
      </c>
      <c r="C7" s="1167"/>
      <c r="D7" s="1163" t="s">
        <v>789</v>
      </c>
      <c r="E7" s="1164" t="n">
        <f aca="false">NSG_Supplies!U7/1000</f>
        <v>0</v>
      </c>
      <c r="F7" s="1168"/>
      <c r="G7" s="0"/>
    </row>
    <row r="8" customFormat="false" ht="15" hidden="false" customHeight="true" outlineLevel="0" collapsed="false">
      <c r="A8" s="1169" t="s">
        <v>381</v>
      </c>
      <c r="B8" s="1164" t="n">
        <f aca="false">B5+B7</f>
        <v>0</v>
      </c>
      <c r="C8" s="430"/>
      <c r="D8" s="1170" t="s">
        <v>790</v>
      </c>
      <c r="E8" s="1171" t="n">
        <f aca="false">NSG_Deliveries!F5/1000</f>
        <v>0</v>
      </c>
      <c r="F8" s="356"/>
      <c r="G8" s="0"/>
    </row>
    <row r="9" customFormat="false" ht="15" hidden="false" customHeight="true" outlineLevel="0" collapsed="false">
      <c r="A9" s="1172" t="s">
        <v>638</v>
      </c>
      <c r="B9" s="1173" t="s">
        <v>1</v>
      </c>
      <c r="C9" s="1174" t="n">
        <f aca="false">NSG_Requirements!L7/1000</f>
        <v>0</v>
      </c>
      <c r="D9" s="29" t="s">
        <v>297</v>
      </c>
      <c r="E9" s="1175" t="s">
        <v>1</v>
      </c>
      <c r="F9" s="1176" t="n">
        <f aca="false">NSG_Deliveries!M5/1000</f>
        <v>11.661</v>
      </c>
      <c r="G9" s="40"/>
    </row>
    <row r="10" customFormat="false" ht="15" hidden="false" customHeight="true" outlineLevel="0" collapsed="false">
      <c r="A10" s="1177" t="s">
        <v>791</v>
      </c>
      <c r="B10" s="1178" t="n">
        <f aca="false">NSG_Supplies!H7/1000</f>
        <v>0</v>
      </c>
      <c r="C10" s="1179"/>
      <c r="D10" s="1180" t="s">
        <v>792</v>
      </c>
      <c r="E10" s="1181" t="n">
        <f aca="false">NSG_Deliveries!N5/1000</f>
        <v>0</v>
      </c>
      <c r="F10" s="1182"/>
      <c r="G10" s="0"/>
    </row>
    <row r="11" customFormat="false" ht="15" hidden="false" customHeight="true" outlineLevel="0" collapsed="false">
      <c r="A11" s="1183" t="s">
        <v>793</v>
      </c>
      <c r="B11" s="1184" t="s">
        <v>1</v>
      </c>
      <c r="C11" s="1185"/>
      <c r="D11" s="1025" t="s">
        <v>794</v>
      </c>
      <c r="E11" s="1186" t="n">
        <f aca="false">NSG_Supplies!Q7/1000</f>
        <v>20</v>
      </c>
      <c r="F11" s="1187"/>
      <c r="G11" s="0"/>
    </row>
    <row r="12" customFormat="false" ht="15" hidden="false" customHeight="true" outlineLevel="0" collapsed="false">
      <c r="A12" s="1177" t="s">
        <v>795</v>
      </c>
      <c r="B12" s="1178" t="n">
        <v>0</v>
      </c>
      <c r="C12" s="1158"/>
      <c r="D12" s="0" t="s">
        <v>796</v>
      </c>
      <c r="E12" s="1157"/>
      <c r="F12" s="1188" t="n">
        <f aca="false">NSG_Requirements!K7/1000+NSG_Requirements!L7/1000+NSG_Requirements!M7/1000+NSG_Requirements!N7/1000</f>
        <v>0</v>
      </c>
      <c r="G12" s="0"/>
    </row>
    <row r="13" customFormat="false" ht="15" hidden="false" customHeight="true" outlineLevel="0" collapsed="false">
      <c r="A13" s="1177" t="s">
        <v>797</v>
      </c>
      <c r="B13" s="1178" t="n">
        <f aca="false">NSG_Supplies!R7/1000</f>
        <v>38.798</v>
      </c>
      <c r="C13" s="1158"/>
      <c r="D13" s="1189" t="s">
        <v>798</v>
      </c>
      <c r="E13" s="567"/>
      <c r="F13" s="1190"/>
      <c r="G13" s="0"/>
    </row>
    <row r="14" customFormat="false" ht="15" hidden="false" customHeight="true" outlineLevel="0" collapsed="false">
      <c r="A14" s="1177" t="s">
        <v>464</v>
      </c>
      <c r="B14" s="1178" t="n">
        <f aca="false">NSG_Supplies!C7/1000</f>
        <v>0</v>
      </c>
      <c r="C14" s="1158"/>
      <c r="D14" s="1191" t="s">
        <v>799</v>
      </c>
      <c r="E14" s="1192" t="s">
        <v>1</v>
      </c>
      <c r="F14" s="1193" t="n">
        <f aca="false">NSG_Requirements!M7/1000</f>
        <v>0</v>
      </c>
    </row>
    <row r="15" customFormat="false" ht="15" hidden="false" customHeight="true" outlineLevel="0" collapsed="false">
      <c r="A15" s="1194" t="s">
        <v>800</v>
      </c>
      <c r="B15" s="1191"/>
      <c r="C15" s="1174" t="n">
        <f aca="false">NSG_Deliveries!K5/1000</f>
        <v>1.397</v>
      </c>
      <c r="D15" s="1195" t="s">
        <v>801</v>
      </c>
      <c r="E15" s="1196" t="n">
        <f aca="false">+NSG_Supplies!O7/1000</f>
        <v>0</v>
      </c>
      <c r="F15" s="1197"/>
    </row>
    <row r="16" customFormat="false" ht="15" hidden="false" customHeight="true" outlineLevel="0" collapsed="false">
      <c r="A16" s="1194" t="s">
        <v>802</v>
      </c>
      <c r="B16" s="1181" t="n">
        <f aca="false">NSG_Deliveries!L5/1000</f>
        <v>0</v>
      </c>
      <c r="C16" s="1198"/>
      <c r="D16" s="1199" t="s">
        <v>518</v>
      </c>
      <c r="E16" s="1200" t="s">
        <v>1</v>
      </c>
      <c r="F16" s="1193" t="n">
        <f aca="false">NSG_Requirements!X7/1000</f>
        <v>0</v>
      </c>
    </row>
    <row r="17" customFormat="false" ht="15" hidden="false" customHeight="true" outlineLevel="0" collapsed="false">
      <c r="A17" s="1177" t="s">
        <v>803</v>
      </c>
      <c r="B17" s="1191"/>
      <c r="C17" s="1174" t="n">
        <f aca="false">NSG_Requirements!P7/1000</f>
        <v>0</v>
      </c>
      <c r="D17" s="1201" t="s">
        <v>804</v>
      </c>
      <c r="E17" s="470"/>
      <c r="F17" s="498"/>
    </row>
    <row r="18" customFormat="false" ht="15" hidden="false" customHeight="true" outlineLevel="0" collapsed="false">
      <c r="A18" s="1177" t="s">
        <v>805</v>
      </c>
      <c r="B18" s="1178" t="n">
        <f aca="false">NSG_Supplies!I7/1000</f>
        <v>0</v>
      </c>
      <c r="C18" s="1158"/>
      <c r="D18" s="73" t="s">
        <v>806</v>
      </c>
      <c r="E18" s="41"/>
      <c r="F18" s="1193" t="n">
        <f aca="false">NSG_Requirements!N7/1000</f>
        <v>0</v>
      </c>
    </row>
    <row r="19" customFormat="false" ht="15" hidden="false" customHeight="true" outlineLevel="0" collapsed="false">
      <c r="A19" s="1194" t="s">
        <v>807</v>
      </c>
      <c r="B19" s="1181" t="n">
        <f aca="false">PGL_Requirements!Y7/1000+PGL_Requirements!AB7/1000</f>
        <v>0</v>
      </c>
      <c r="C19" s="1202"/>
      <c r="D19" s="1203" t="s">
        <v>808</v>
      </c>
      <c r="E19" s="41"/>
      <c r="F19" s="1193" t="n">
        <f aca="false">NSG_Requirements!S7/1000</f>
        <v>0</v>
      </c>
    </row>
    <row r="20" customFormat="false" ht="15" hidden="false" customHeight="true" outlineLevel="0" collapsed="false">
      <c r="A20" s="1194" t="s">
        <v>809</v>
      </c>
      <c r="B20" s="1181" t="n">
        <f aca="false">PGL_Requirements!Z7/1000</f>
        <v>0</v>
      </c>
      <c r="C20" s="1202" t="s">
        <v>1</v>
      </c>
      <c r="D20" s="1191" t="s">
        <v>810</v>
      </c>
      <c r="E20" s="41"/>
      <c r="F20" s="1193" t="n">
        <f aca="false">NSG_Requirements!O7/1000</f>
        <v>0</v>
      </c>
    </row>
    <row r="21" customFormat="false" ht="15" hidden="false" customHeight="true" outlineLevel="0" collapsed="false">
      <c r="A21" s="1194" t="s">
        <v>811</v>
      </c>
      <c r="B21" s="1181" t="n">
        <f aca="false">PGL_Requirements!AA7/1000</f>
        <v>0</v>
      </c>
      <c r="C21" s="1202"/>
      <c r="D21" s="1204" t="s">
        <v>812</v>
      </c>
      <c r="E21" s="1178" t="n">
        <f aca="false">NSG_Supplies!L7/1000</f>
        <v>0</v>
      </c>
      <c r="F21" s="1205"/>
    </row>
    <row r="22" customFormat="false" ht="15" hidden="false" customHeight="true" outlineLevel="0" collapsed="false">
      <c r="A22" s="1177" t="s">
        <v>813</v>
      </c>
      <c r="B22" s="1191"/>
      <c r="C22" s="1174" t="n">
        <f aca="false">NSG_Requirements!C7/1000</f>
        <v>0</v>
      </c>
      <c r="D22" s="1204" t="s">
        <v>814</v>
      </c>
      <c r="E22" s="1178" t="n">
        <f aca="false">NSG_Supplies!M7/1000</f>
        <v>0</v>
      </c>
      <c r="F22" s="1205"/>
    </row>
    <row r="23" customFormat="false" ht="15" hidden="false" customHeight="true" outlineLevel="0" collapsed="false">
      <c r="A23" s="1177" t="s">
        <v>815</v>
      </c>
      <c r="B23" s="1191"/>
      <c r="C23" s="1174" t="n">
        <f aca="false">NSG_Requirements!R7/1000</f>
        <v>0</v>
      </c>
      <c r="D23" s="1204" t="s">
        <v>816</v>
      </c>
      <c r="E23" s="1178" t="n">
        <f aca="false">PGL_Supplies!S7/1000</f>
        <v>0</v>
      </c>
      <c r="F23" s="1193" t="s">
        <v>1</v>
      </c>
    </row>
    <row r="24" customFormat="false" ht="15" hidden="false" customHeight="true" outlineLevel="0" collapsed="false">
      <c r="A24" s="1177" t="s">
        <v>817</v>
      </c>
      <c r="B24" s="1178" t="n">
        <f aca="false">NSG_Supplies!K7/1000</f>
        <v>0</v>
      </c>
      <c r="C24" s="1158"/>
      <c r="D24" s="1204" t="s">
        <v>818</v>
      </c>
      <c r="E24" s="1178" t="n">
        <f aca="false">NSG_Supplies!P7/1000</f>
        <v>0</v>
      </c>
      <c r="F24" s="1166"/>
    </row>
    <row r="25" customFormat="false" ht="15" hidden="false" customHeight="true" outlineLevel="0" collapsed="false">
      <c r="A25" s="1194" t="s">
        <v>819</v>
      </c>
      <c r="B25" s="1191"/>
      <c r="C25" s="1174" t="n">
        <f aca="false">NSG_Requirements!Q7/1000</f>
        <v>0</v>
      </c>
      <c r="D25" s="1204" t="s">
        <v>820</v>
      </c>
      <c r="E25" s="1178" t="n">
        <f aca="false">PGL_Requirements!V71/1000</f>
        <v>0</v>
      </c>
      <c r="F25" s="287"/>
    </row>
    <row r="26" customFormat="false" ht="15" hidden="false" customHeight="true" outlineLevel="0" collapsed="false">
      <c r="A26" s="1206" t="s">
        <v>821</v>
      </c>
      <c r="B26" s="1207" t="n">
        <f aca="false">NSG_Supplies!J7/1000</f>
        <v>0</v>
      </c>
      <c r="C26" s="1162"/>
      <c r="D26" s="1208" t="s">
        <v>822</v>
      </c>
      <c r="E26" s="1209"/>
      <c r="F26" s="1193" t="n">
        <f aca="false">NSG_Requirements!D7/1000</f>
        <v>0</v>
      </c>
    </row>
    <row r="27" customFormat="false" ht="15" hidden="false" customHeight="true" outlineLevel="0" collapsed="false">
      <c r="A27" s="1210" t="s">
        <v>381</v>
      </c>
      <c r="B27" s="1211" t="n">
        <f aca="false">SUM(B9:B26)-SUM(C9:C26)</f>
        <v>37.401</v>
      </c>
      <c r="C27" s="1212"/>
      <c r="D27" s="1213" t="s">
        <v>823</v>
      </c>
      <c r="E27" s="1211" t="n">
        <f aca="false">SUM(E18:E26)-SUM(F18:F26)</f>
        <v>0</v>
      </c>
      <c r="F27" s="1214"/>
      <c r="H27" s="29" t="s">
        <v>1</v>
      </c>
    </row>
    <row r="28" customFormat="false" ht="15" hidden="false" customHeight="true" outlineLevel="0" collapsed="false">
      <c r="A28" s="9" t="s">
        <v>824</v>
      </c>
      <c r="B28" s="0"/>
      <c r="C28" s="0"/>
    </row>
    <row r="29" customFormat="false" ht="15" hidden="false" customHeight="false" outlineLevel="0" collapsed="false">
      <c r="A29" s="0"/>
      <c r="B29" s="0"/>
      <c r="C29" s="0"/>
    </row>
    <row r="30" customFormat="false" ht="15" hidden="false" customHeight="false" outlineLevel="0" collapsed="false">
      <c r="A30" s="0"/>
      <c r="B30" s="0"/>
      <c r="C30" s="0"/>
    </row>
    <row r="31" customFormat="false" ht="15" hidden="false" customHeight="false" outlineLevel="0" collapsed="false">
      <c r="A31" s="0"/>
      <c r="B31" s="0"/>
      <c r="C31" s="0"/>
      <c r="D31" s="0"/>
      <c r="E31" s="0"/>
      <c r="F31" s="0"/>
    </row>
    <row r="32" customFormat="false" ht="15" hidden="false" customHeight="false" outlineLevel="0" collapsed="false">
      <c r="A32" s="0"/>
      <c r="B32" s="0"/>
      <c r="C32" s="0"/>
      <c r="D32" s="0"/>
      <c r="E32" s="0"/>
      <c r="F32" s="0"/>
    </row>
    <row r="33" customFormat="false" ht="15" hidden="false" customHeight="false" outlineLevel="0" collapsed="false">
      <c r="A33" s="0"/>
      <c r="B33" s="0"/>
      <c r="C33" s="0"/>
      <c r="D33" s="0"/>
      <c r="E33" s="0"/>
      <c r="F33" s="0"/>
    </row>
    <row r="34" customFormat="false" ht="15" hidden="false" customHeight="false" outlineLevel="0" collapsed="false">
      <c r="A34" s="0"/>
      <c r="B34" s="0"/>
      <c r="C34" s="0"/>
      <c r="D34" s="0"/>
      <c r="E34" s="0"/>
      <c r="F34" s="0"/>
    </row>
    <row r="35" customFormat="false" ht="15" hidden="false" customHeight="false" outlineLevel="0" collapsed="false">
      <c r="A35" s="0"/>
      <c r="B35" s="0"/>
      <c r="C35" s="0"/>
      <c r="D35" s="0"/>
      <c r="E35" s="0"/>
      <c r="F35" s="0"/>
    </row>
    <row r="36" customFormat="false" ht="15" hidden="false" customHeight="false" outlineLevel="0" collapsed="false">
      <c r="A36" s="0"/>
      <c r="B36" s="0"/>
      <c r="C36" s="0"/>
    </row>
    <row r="37" customFormat="false" ht="15" hidden="false" customHeight="false" outlineLevel="0" collapsed="false">
      <c r="A37" s="0"/>
      <c r="B37" s="0"/>
      <c r="C37" s="0"/>
    </row>
    <row r="38" customFormat="false" ht="15" hidden="false" customHeight="false" outlineLevel="0" collapsed="false">
      <c r="A38" s="0"/>
      <c r="B38" s="0"/>
      <c r="C38" s="0"/>
    </row>
  </sheetData>
  <printOptions headings="false" gridLines="false" gridLinesSet="true" horizontalCentered="false" verticalCentered="false"/>
  <pageMargins left="0.747916666666667" right="0.25" top="1.5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22.77"/>
  </cols>
  <sheetData>
    <row r="1" customFormat="false" ht="15" hidden="false" customHeight="false" outlineLevel="0" collapsed="false">
      <c r="A1" s="9" t="s">
        <v>1</v>
      </c>
    </row>
    <row r="2" customFormat="false" ht="15.75" hidden="false" customHeight="false" outlineLevel="0" collapsed="false">
      <c r="C2" s="976" t="s">
        <v>825</v>
      </c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1:G4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.75" customHeight="true" zeroHeight="false" outlineLevelRow="0" outlineLevelCol="0"/>
  <cols>
    <col collapsed="false" customWidth="true" hidden="false" outlineLevel="0" max="2" min="2" style="1215" width="1.32"/>
    <col collapsed="false" customWidth="true" hidden="false" outlineLevel="0" max="3" min="3" style="0" width="20.65"/>
  </cols>
  <sheetData>
    <row r="1" customFormat="false" ht="15.75" hidden="false" customHeight="false" outlineLevel="0" collapsed="false">
      <c r="E1" s="1215" t="s">
        <v>1</v>
      </c>
    </row>
    <row r="2" customFormat="false" ht="15.75" hidden="false" customHeight="false" outlineLevel="0" collapsed="false">
      <c r="B2" s="1110" t="s">
        <v>1</v>
      </c>
      <c r="C2" s="1110" t="s">
        <v>1</v>
      </c>
      <c r="D2" s="1110" t="s">
        <v>3</v>
      </c>
      <c r="E2" s="1110" t="s">
        <v>1</v>
      </c>
      <c r="F2" s="1110" t="s">
        <v>3</v>
      </c>
      <c r="G2" s="1110" t="s">
        <v>1</v>
      </c>
    </row>
    <row r="4" customFormat="false" ht="15.75" hidden="false" customHeight="false" outlineLevel="0" collapsed="false">
      <c r="B4" s="1216" t="s">
        <v>3</v>
      </c>
    </row>
    <row r="6" customFormat="false" ht="15.75" hidden="false" customHeight="false" outlineLevel="0" collapsed="false">
      <c r="B6" s="1110" t="s">
        <v>1</v>
      </c>
      <c r="C6" s="0" t="str">
        <f aca="false">IF(D6&lt;0,"payback pgl to allinace","payback alliance to pgl")</f>
        <v>payback alliance to pgl</v>
      </c>
      <c r="D6" s="0" t="n">
        <v>25</v>
      </c>
    </row>
    <row r="7" customFormat="false" ht="15.75" hidden="false" customHeight="false" outlineLevel="0" collapsed="false">
      <c r="B7" s="1110"/>
    </row>
    <row r="8" customFormat="false" ht="15.75" hidden="false" customHeight="false" outlineLevel="0" collapsed="false">
      <c r="B8" s="1110" t="s">
        <v>1</v>
      </c>
    </row>
    <row r="9" customFormat="false" ht="15.75" hidden="false" customHeight="false" outlineLevel="0" collapsed="false">
      <c r="B9" s="1110"/>
    </row>
    <row r="10" customFormat="false" ht="15.75" hidden="false" customHeight="false" outlineLevel="0" collapsed="false">
      <c r="B10" s="1110" t="s">
        <v>1</v>
      </c>
      <c r="C10" s="0" t="b">
        <f aca="false">TRUE()</f>
        <v>1</v>
      </c>
    </row>
    <row r="11" customFormat="false" ht="15.75" hidden="false" customHeight="false" outlineLevel="0" collapsed="false">
      <c r="B11" s="1110" t="s">
        <v>1</v>
      </c>
    </row>
    <row r="12" customFormat="false" ht="15.75" hidden="false" customHeight="false" outlineLevel="0" collapsed="false">
      <c r="B12" s="1110" t="s">
        <v>1</v>
      </c>
    </row>
    <row r="13" customFormat="false" ht="15.75" hidden="false" customHeight="false" outlineLevel="0" collapsed="false">
      <c r="B13" s="1110"/>
    </row>
    <row r="14" customFormat="false" ht="15.75" hidden="false" customHeight="false" outlineLevel="0" collapsed="false">
      <c r="B14" s="1110" t="s">
        <v>1</v>
      </c>
    </row>
    <row r="15" customFormat="false" ht="15.75" hidden="false" customHeight="false" outlineLevel="0" collapsed="false">
      <c r="B15" s="1110"/>
    </row>
    <row r="16" customFormat="false" ht="15.75" hidden="false" customHeight="false" outlineLevel="0" collapsed="false">
      <c r="B16" s="1110" t="s">
        <v>1</v>
      </c>
    </row>
    <row r="17" customFormat="false" ht="15.75" hidden="false" customHeight="false" outlineLevel="0" collapsed="false">
      <c r="B17" s="1110"/>
    </row>
    <row r="18" customFormat="false" ht="15.75" hidden="false" customHeight="false" outlineLevel="0" collapsed="false">
      <c r="B18" s="1110" t="s">
        <v>1</v>
      </c>
    </row>
    <row r="19" customFormat="false" ht="15.75" hidden="false" customHeight="false" outlineLevel="0" collapsed="false">
      <c r="B19" s="1110"/>
    </row>
    <row r="20" customFormat="false" ht="15.75" hidden="false" customHeight="false" outlineLevel="0" collapsed="false">
      <c r="B20" s="1110" t="s">
        <v>1</v>
      </c>
    </row>
    <row r="21" customFormat="false" ht="15.75" hidden="false" customHeight="false" outlineLevel="0" collapsed="false">
      <c r="B21" s="1110"/>
    </row>
    <row r="22" customFormat="false" ht="15.75" hidden="false" customHeight="false" outlineLevel="0" collapsed="false">
      <c r="B22" s="1110" t="s">
        <v>1</v>
      </c>
    </row>
    <row r="24" customFormat="false" ht="15.75" hidden="false" customHeight="false" outlineLevel="0" collapsed="false">
      <c r="B24" s="1110" t="s">
        <v>1</v>
      </c>
    </row>
    <row r="25" customFormat="false" ht="15.75" hidden="false" customHeight="false" outlineLevel="0" collapsed="false">
      <c r="E25" s="1110" t="s">
        <v>1</v>
      </c>
    </row>
    <row r="27" customFormat="false" ht="15.75" hidden="false" customHeight="false" outlineLevel="0" collapsed="false">
      <c r="B27" s="1110" t="s">
        <v>1</v>
      </c>
    </row>
    <row r="29" customFormat="false" ht="15.75" hidden="false" customHeight="false" outlineLevel="0" collapsed="false">
      <c r="B29" s="1110" t="s">
        <v>1</v>
      </c>
    </row>
    <row r="30" customFormat="false" ht="15.75" hidden="false" customHeight="false" outlineLevel="0" collapsed="false">
      <c r="B30" s="1110"/>
    </row>
    <row r="31" customFormat="false" ht="15.75" hidden="false" customHeight="false" outlineLevel="0" collapsed="false">
      <c r="B31" s="1110" t="s">
        <v>1</v>
      </c>
    </row>
    <row r="32" customFormat="false" ht="15.75" hidden="false" customHeight="false" outlineLevel="0" collapsed="false">
      <c r="B32" s="1110"/>
    </row>
    <row r="33" customFormat="false" ht="15.75" hidden="false" customHeight="false" outlineLevel="0" collapsed="false">
      <c r="B33" s="1110" t="s">
        <v>1</v>
      </c>
    </row>
    <row r="34" customFormat="false" ht="15.75" hidden="false" customHeight="false" outlineLevel="0" collapsed="false">
      <c r="B34" s="1110"/>
    </row>
    <row r="35" customFormat="false" ht="15.75" hidden="false" customHeight="false" outlineLevel="0" collapsed="false">
      <c r="B35" s="1110" t="s">
        <v>1</v>
      </c>
    </row>
    <row r="36" customFormat="false" ht="15.75" hidden="false" customHeight="false" outlineLevel="0" collapsed="false">
      <c r="B36" s="1110"/>
    </row>
    <row r="37" customFormat="false" ht="15.75" hidden="false" customHeight="false" outlineLevel="0" collapsed="false">
      <c r="B37" s="1110" t="s">
        <v>1</v>
      </c>
    </row>
    <row r="38" customFormat="false" ht="15.75" hidden="false" customHeight="false" outlineLevel="0" collapsed="false">
      <c r="B38" s="1110"/>
    </row>
    <row r="39" customFormat="false" ht="15.75" hidden="false" customHeight="false" outlineLevel="0" collapsed="false">
      <c r="B39" s="1110" t="s">
        <v>1</v>
      </c>
    </row>
    <row r="40" customFormat="false" ht="15.75" hidden="false" customHeight="false" outlineLevel="0" collapsed="false">
      <c r="B40" s="1110"/>
    </row>
    <row r="41" customFormat="false" ht="15.75" hidden="false" customHeight="false" outlineLevel="0" collapsed="false">
      <c r="B41" s="1110" t="s">
        <v>1</v>
      </c>
    </row>
    <row r="42" customFormat="false" ht="15.75" hidden="false" customHeight="false" outlineLevel="0" collapsed="false">
      <c r="B42" s="1110"/>
    </row>
    <row r="43" customFormat="false" ht="15.75" hidden="false" customHeight="false" outlineLevel="0" collapsed="false">
      <c r="B43" s="1110" t="s">
        <v>1</v>
      </c>
    </row>
    <row r="44" customFormat="false" ht="15.75" hidden="false" customHeight="false" outlineLevel="0" collapsed="false">
      <c r="B44" s="1110"/>
    </row>
    <row r="45" customFormat="false" ht="15.75" hidden="false" customHeight="false" outlineLevel="0" collapsed="false">
      <c r="B45" s="1110" t="s">
        <v>1</v>
      </c>
    </row>
    <row r="47" customFormat="false" ht="15.75" hidden="false" customHeight="false" outlineLevel="0" collapsed="false">
      <c r="B47" s="1110" t="s">
        <v>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N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4.32"/>
    <col collapsed="false" customWidth="true" hidden="false" outlineLevel="0" max="3" min="3" style="0" width="7.99"/>
    <col collapsed="false" customWidth="true" hidden="false" outlineLevel="0" max="4" min="4" style="0" width="6.77"/>
    <col collapsed="false" customWidth="true" hidden="false" outlineLevel="0" max="18" min="5" style="0" width="7.88"/>
    <col collapsed="false" customWidth="true" hidden="false" outlineLevel="0" max="20" min="19" style="0" width="9.55"/>
    <col collapsed="false" customWidth="true" hidden="false" outlineLevel="0" max="34" min="21" style="0" width="7.88"/>
    <col collapsed="false" customWidth="true" hidden="false" outlineLevel="0" max="40" min="40" style="0" width="4.77"/>
    <col collapsed="false" customWidth="true" hidden="false" outlineLevel="0" max="50" min="41" style="0" width="7.88"/>
    <col collapsed="false" customWidth="true" hidden="false" outlineLevel="0" max="51" min="51" style="0" width="4.77"/>
    <col collapsed="false" customWidth="true" hidden="false" outlineLevel="0" max="56" min="56" style="0" width="4.77"/>
  </cols>
  <sheetData>
    <row r="1" customFormat="false" ht="15" hidden="false" customHeight="false" outlineLevel="0" collapsed="false">
      <c r="A1" s="28" t="s">
        <v>1</v>
      </c>
      <c r="B1" s="29"/>
      <c r="C1" s="29"/>
      <c r="D1" s="30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  <c r="AA1" s="29"/>
      <c r="AB1" s="29"/>
      <c r="AC1" s="29"/>
      <c r="AD1" s="29"/>
      <c r="AE1" s="29"/>
      <c r="AF1" s="29"/>
      <c r="AG1" s="29"/>
      <c r="AH1" s="29"/>
      <c r="AZ1" s="31" t="s">
        <v>39</v>
      </c>
      <c r="BE1" s="0" t="s">
        <v>40</v>
      </c>
    </row>
    <row r="2" customFormat="false" ht="15" hidden="false" customHeight="false" outlineLevel="0" collapsed="false">
      <c r="A2" s="29"/>
      <c r="B2" s="29"/>
      <c r="C2" s="29"/>
      <c r="D2" s="32" t="s">
        <v>41</v>
      </c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33" t="s">
        <v>42</v>
      </c>
      <c r="AC2" s="33" t="s">
        <v>1</v>
      </c>
      <c r="AD2" s="33" t="s">
        <v>1</v>
      </c>
      <c r="AE2" s="33" t="s">
        <v>43</v>
      </c>
      <c r="AF2" s="33"/>
      <c r="AG2" s="33" t="s">
        <v>43</v>
      </c>
      <c r="AH2" s="33" t="s">
        <v>1</v>
      </c>
      <c r="AO2" s="34"/>
      <c r="AP2" s="34"/>
      <c r="AQ2" s="34"/>
      <c r="AR2" s="34"/>
      <c r="AS2" s="34"/>
      <c r="AT2" s="34"/>
      <c r="AU2" s="34" t="s">
        <v>1</v>
      </c>
      <c r="AV2" s="34"/>
      <c r="AW2" s="34"/>
      <c r="AX2" s="34"/>
      <c r="AZ2" s="11" t="s">
        <v>43</v>
      </c>
      <c r="BA2" s="0" t="s">
        <v>44</v>
      </c>
      <c r="BC2" s="0" t="s">
        <v>45</v>
      </c>
      <c r="BE2" s="35" t="n">
        <v>1</v>
      </c>
      <c r="BF2" s="11" t="s">
        <v>45</v>
      </c>
    </row>
    <row r="3" customFormat="false" ht="15" hidden="false" customHeight="false" outlineLevel="0" collapsed="false">
      <c r="A3" s="29"/>
      <c r="B3" s="36" t="s">
        <v>46</v>
      </c>
      <c r="C3" s="29" t="s">
        <v>1</v>
      </c>
      <c r="D3" s="37" t="s">
        <v>47</v>
      </c>
      <c r="E3" s="36" t="s">
        <v>48</v>
      </c>
      <c r="F3" s="36" t="s">
        <v>48</v>
      </c>
      <c r="G3" s="36" t="s">
        <v>48</v>
      </c>
      <c r="H3" s="36" t="s">
        <v>49</v>
      </c>
      <c r="I3" s="36" t="s">
        <v>49</v>
      </c>
      <c r="J3" s="36" t="s">
        <v>49</v>
      </c>
      <c r="K3" s="36" t="s">
        <v>50</v>
      </c>
      <c r="L3" s="36" t="s">
        <v>51</v>
      </c>
      <c r="M3" s="36" t="s">
        <v>51</v>
      </c>
      <c r="N3" s="36" t="s">
        <v>52</v>
      </c>
      <c r="O3" s="36" t="s">
        <v>53</v>
      </c>
      <c r="P3" s="36" t="s">
        <v>54</v>
      </c>
      <c r="R3" s="36"/>
      <c r="S3" s="36"/>
      <c r="T3" s="36" t="s">
        <v>50</v>
      </c>
      <c r="U3" s="36" t="s">
        <v>9</v>
      </c>
      <c r="V3" s="36"/>
      <c r="W3" s="28"/>
      <c r="X3" s="29"/>
      <c r="Y3" s="29" t="s">
        <v>55</v>
      </c>
      <c r="Z3" s="29"/>
      <c r="AA3" s="29"/>
      <c r="AB3" s="36" t="s">
        <v>56</v>
      </c>
      <c r="AC3" s="36" t="s">
        <v>42</v>
      </c>
      <c r="AD3" s="36" t="s">
        <v>42</v>
      </c>
      <c r="AE3" s="36" t="s">
        <v>57</v>
      </c>
      <c r="AF3" s="36" t="s">
        <v>57</v>
      </c>
      <c r="AG3" s="36" t="s">
        <v>58</v>
      </c>
      <c r="AH3" s="36" t="s">
        <v>58</v>
      </c>
      <c r="AI3" s="36" t="s">
        <v>59</v>
      </c>
      <c r="AJ3" s="36" t="s">
        <v>60</v>
      </c>
      <c r="AK3" s="36" t="s">
        <v>61</v>
      </c>
      <c r="AL3" s="36" t="s">
        <v>62</v>
      </c>
      <c r="AM3" s="11" t="s">
        <v>63</v>
      </c>
      <c r="AO3" s="38" t="s">
        <v>64</v>
      </c>
      <c r="AP3" s="39"/>
      <c r="AQ3" s="38" t="s">
        <v>65</v>
      </c>
      <c r="AR3" s="39"/>
      <c r="AS3" s="38" t="s">
        <v>66</v>
      </c>
      <c r="AT3" s="39"/>
      <c r="AU3" s="34" t="s">
        <v>67</v>
      </c>
      <c r="AV3" s="34" t="s">
        <v>67</v>
      </c>
      <c r="AW3" s="34"/>
      <c r="AX3" s="34" t="s">
        <v>67</v>
      </c>
      <c r="AZ3" s="40" t="s">
        <v>68</v>
      </c>
      <c r="BA3" s="40"/>
      <c r="BB3" s="41"/>
      <c r="BC3" s="40" t="s">
        <v>49</v>
      </c>
      <c r="BE3" s="35" t="s">
        <v>69</v>
      </c>
    </row>
    <row r="4" customFormat="false" ht="15" hidden="false" customHeight="false" outlineLevel="0" collapsed="false">
      <c r="A4" s="29" t="s">
        <v>1</v>
      </c>
      <c r="B4" s="36" t="s">
        <v>20</v>
      </c>
      <c r="C4" s="36" t="s">
        <v>70</v>
      </c>
      <c r="D4" s="37" t="s">
        <v>71</v>
      </c>
      <c r="E4" s="36" t="n">
        <v>2</v>
      </c>
      <c r="F4" s="36" t="n">
        <v>3</v>
      </c>
      <c r="G4" s="36" t="s">
        <v>72</v>
      </c>
      <c r="H4" s="36" t="s">
        <v>73</v>
      </c>
      <c r="I4" s="36" t="s">
        <v>74</v>
      </c>
      <c r="J4" s="36" t="s">
        <v>75</v>
      </c>
      <c r="K4" s="36" t="s">
        <v>76</v>
      </c>
      <c r="L4" s="36" t="n">
        <v>1</v>
      </c>
      <c r="M4" s="36" t="n">
        <v>2</v>
      </c>
      <c r="N4" s="36" t="s">
        <v>77</v>
      </c>
      <c r="O4" s="36" t="s">
        <v>78</v>
      </c>
      <c r="P4" s="36" t="s">
        <v>79</v>
      </c>
      <c r="Q4" s="36" t="s">
        <v>80</v>
      </c>
      <c r="R4" s="36" t="s">
        <v>81</v>
      </c>
      <c r="S4" s="36" t="s">
        <v>82</v>
      </c>
      <c r="T4" s="36" t="s">
        <v>83</v>
      </c>
      <c r="U4" s="36" t="s">
        <v>70</v>
      </c>
      <c r="V4" s="36" t="s">
        <v>84</v>
      </c>
      <c r="W4" s="36" t="s">
        <v>85</v>
      </c>
      <c r="X4" s="36" t="s">
        <v>86</v>
      </c>
      <c r="Y4" s="36" t="s">
        <v>87</v>
      </c>
      <c r="Z4" s="36" t="s">
        <v>88</v>
      </c>
      <c r="AA4" s="36" t="s">
        <v>89</v>
      </c>
      <c r="AB4" s="36" t="s">
        <v>74</v>
      </c>
      <c r="AC4" s="36" t="s">
        <v>90</v>
      </c>
      <c r="AD4" s="36" t="s">
        <v>91</v>
      </c>
      <c r="AE4" s="36" t="s">
        <v>92</v>
      </c>
      <c r="AF4" s="36" t="s">
        <v>91</v>
      </c>
      <c r="AG4" s="36" t="s">
        <v>92</v>
      </c>
      <c r="AH4" s="36" t="s">
        <v>91</v>
      </c>
      <c r="AI4" s="36" t="s">
        <v>93</v>
      </c>
      <c r="AJ4" s="36" t="s">
        <v>94</v>
      </c>
      <c r="AK4" s="36" t="s">
        <v>94</v>
      </c>
      <c r="AL4" s="36" t="s">
        <v>95</v>
      </c>
      <c r="AM4" s="36" t="s">
        <v>96</v>
      </c>
      <c r="AN4" s="29"/>
      <c r="AO4" s="42" t="s">
        <v>97</v>
      </c>
      <c r="AP4" s="36" t="s">
        <v>98</v>
      </c>
      <c r="AQ4" s="36" t="s">
        <v>97</v>
      </c>
      <c r="AR4" s="36" t="s">
        <v>98</v>
      </c>
      <c r="AS4" s="36" t="s">
        <v>97</v>
      </c>
      <c r="AT4" s="36" t="s">
        <v>98</v>
      </c>
      <c r="AU4" s="34" t="s">
        <v>99</v>
      </c>
      <c r="AV4" s="34" t="s">
        <v>100</v>
      </c>
      <c r="AW4" s="34" t="s">
        <v>101</v>
      </c>
      <c r="AX4" s="34" t="s">
        <v>102</v>
      </c>
      <c r="AY4" s="29"/>
      <c r="AZ4" s="43" t="s">
        <v>48</v>
      </c>
      <c r="BA4" s="44" t="s">
        <v>49</v>
      </c>
      <c r="BB4" s="45" t="s">
        <v>103</v>
      </c>
      <c r="BC4" s="45" t="s">
        <v>104</v>
      </c>
      <c r="BE4" s="11" t="s">
        <v>83</v>
      </c>
      <c r="BF4" s="11" t="s">
        <v>105</v>
      </c>
      <c r="BG4" s="29"/>
      <c r="BH4" s="29"/>
      <c r="BI4" s="29"/>
      <c r="BJ4" s="29"/>
      <c r="BK4" s="29"/>
      <c r="BL4" s="29"/>
      <c r="BM4" s="29"/>
      <c r="BN4" s="29"/>
      <c r="BO4" s="29"/>
      <c r="BP4" s="29"/>
      <c r="BQ4" s="29"/>
      <c r="BR4" s="29"/>
      <c r="BS4" s="29"/>
      <c r="BT4" s="29"/>
      <c r="BU4" s="29"/>
      <c r="BV4" s="29"/>
      <c r="BW4" s="29"/>
      <c r="BX4" s="29"/>
      <c r="BY4" s="29"/>
      <c r="BZ4" s="29"/>
      <c r="CA4" s="29"/>
      <c r="CB4" s="29"/>
      <c r="CC4" s="29"/>
      <c r="CD4" s="29"/>
      <c r="CE4" s="29"/>
      <c r="CF4" s="29"/>
      <c r="CG4" s="29"/>
      <c r="CH4" s="29"/>
      <c r="CI4" s="29"/>
      <c r="CJ4" s="29"/>
      <c r="CK4" s="29"/>
      <c r="CL4" s="29"/>
      <c r="CM4" s="29"/>
      <c r="CN4" s="29"/>
    </row>
    <row r="5" customFormat="false" ht="15" hidden="false" customHeight="false" outlineLevel="0" collapsed="false">
      <c r="A5" s="17" t="n">
        <f aca="false">SUM(First_date)</f>
        <v>37034</v>
      </c>
      <c r="B5" s="29" t="n">
        <f aca="false">(Weather_Input!B5+Weather_Input!C5)/2</f>
        <v>53</v>
      </c>
      <c r="C5" s="46" t="n">
        <v>317000</v>
      </c>
      <c r="D5" s="47" t="n">
        <v>0</v>
      </c>
      <c r="E5" s="47" t="n">
        <v>0</v>
      </c>
      <c r="F5" s="47" t="n">
        <v>0</v>
      </c>
      <c r="G5" s="47" t="n">
        <v>0</v>
      </c>
      <c r="H5" s="47" t="n">
        <v>0</v>
      </c>
      <c r="I5" s="47" t="n">
        <v>0</v>
      </c>
      <c r="J5" s="47" t="n">
        <v>0</v>
      </c>
      <c r="K5" s="47" t="n">
        <v>0</v>
      </c>
      <c r="L5" s="47" t="n">
        <v>0</v>
      </c>
      <c r="M5" s="47" t="n">
        <v>0</v>
      </c>
      <c r="N5" s="47" t="n">
        <v>0</v>
      </c>
      <c r="O5" s="47" t="n">
        <v>0</v>
      </c>
      <c r="P5" s="47" t="n">
        <v>0</v>
      </c>
      <c r="Q5" s="47" t="n">
        <v>0</v>
      </c>
      <c r="R5" s="47" t="n">
        <v>0</v>
      </c>
      <c r="S5" s="48" t="n">
        <v>4287</v>
      </c>
      <c r="T5" s="49" t="n">
        <v>0</v>
      </c>
      <c r="U5" s="46" t="n">
        <f aca="false">SUM(D5:S5)-T5</f>
        <v>4287</v>
      </c>
      <c r="V5" s="46" t="n">
        <v>151897</v>
      </c>
      <c r="W5" s="18" t="n">
        <v>0</v>
      </c>
      <c r="X5" s="18" t="n">
        <v>0</v>
      </c>
      <c r="Y5" s="18" t="n">
        <v>0</v>
      </c>
      <c r="Z5" s="18" t="n">
        <v>169880</v>
      </c>
      <c r="AA5" s="18" t="n">
        <v>5271</v>
      </c>
      <c r="AB5" s="18" t="n">
        <v>0</v>
      </c>
      <c r="AC5" s="18" t="n">
        <v>0</v>
      </c>
      <c r="AD5" s="18" t="n">
        <v>0</v>
      </c>
      <c r="AE5" s="18" t="n">
        <v>0</v>
      </c>
      <c r="AF5" s="18" t="n">
        <v>0</v>
      </c>
      <c r="AG5" s="18" t="n">
        <v>0</v>
      </c>
      <c r="AH5" s="18" t="n">
        <v>0</v>
      </c>
      <c r="AI5" s="18" t="n">
        <v>0</v>
      </c>
      <c r="AJ5" s="18" t="n">
        <v>19787</v>
      </c>
      <c r="AK5" s="18" t="n">
        <v>0</v>
      </c>
      <c r="AL5" s="18" t="n">
        <v>0</v>
      </c>
      <c r="AM5" s="29" t="n">
        <v>1015</v>
      </c>
      <c r="AN5" s="29"/>
      <c r="AO5" s="29" t="n">
        <v>21871</v>
      </c>
      <c r="AP5" s="29" t="n">
        <v>0</v>
      </c>
      <c r="AQ5" s="29" t="n">
        <v>5385</v>
      </c>
      <c r="AR5" s="29" t="n">
        <v>0</v>
      </c>
      <c r="AS5" s="29" t="n">
        <v>0</v>
      </c>
      <c r="AT5" s="29" t="n">
        <v>1463</v>
      </c>
      <c r="AU5" s="29" t="n">
        <v>148290</v>
      </c>
      <c r="AV5" s="29" t="n">
        <v>590</v>
      </c>
      <c r="AW5" s="50" t="n">
        <f aca="false">AU5*0.015</f>
        <v>2224.35</v>
      </c>
      <c r="AX5" s="29" t="n">
        <v>0</v>
      </c>
      <c r="AY5" s="29"/>
      <c r="AZ5" s="29" t="n">
        <v>19</v>
      </c>
      <c r="BA5" s="29" t="n">
        <v>15</v>
      </c>
      <c r="BB5" s="29" t="n">
        <v>0</v>
      </c>
      <c r="BC5" s="29" t="n">
        <v>0</v>
      </c>
      <c r="BD5" s="29"/>
      <c r="BE5" s="29" t="n">
        <v>17908</v>
      </c>
      <c r="BF5" s="29" t="n">
        <v>0</v>
      </c>
      <c r="BG5" s="29"/>
      <c r="BH5" s="29"/>
      <c r="BI5" s="29"/>
      <c r="BJ5" s="29"/>
      <c r="BK5" s="29"/>
      <c r="BL5" s="29"/>
      <c r="BM5" s="29"/>
      <c r="BN5" s="29"/>
      <c r="BO5" s="29"/>
      <c r="BP5" s="29"/>
      <c r="BQ5" s="29"/>
      <c r="BR5" s="29"/>
      <c r="BS5" s="29"/>
      <c r="BT5" s="29"/>
      <c r="BU5" s="29"/>
      <c r="BV5" s="29"/>
      <c r="BW5" s="29"/>
      <c r="BX5" s="29"/>
      <c r="BY5" s="29"/>
      <c r="BZ5" s="29"/>
      <c r="CA5" s="29"/>
      <c r="CB5" s="29"/>
      <c r="CC5" s="29"/>
      <c r="CD5" s="29"/>
      <c r="CE5" s="29"/>
      <c r="CF5" s="29"/>
      <c r="CG5" s="29"/>
      <c r="CH5" s="29"/>
      <c r="CI5" s="29"/>
      <c r="CJ5" s="29"/>
      <c r="CK5" s="29"/>
      <c r="CL5" s="29"/>
      <c r="CM5" s="29"/>
      <c r="CN5" s="29"/>
    </row>
    <row r="6" customFormat="false" ht="15" hidden="false" customHeight="false" outlineLevel="0" collapsed="false">
      <c r="A6" s="17" t="n">
        <f aca="false">A5+1</f>
        <v>37035</v>
      </c>
      <c r="B6" s="51" t="n">
        <f aca="false">(Weather_Input!B6+Weather_Input!C6)/2</f>
        <v>51.5</v>
      </c>
      <c r="C6" s="46" t="n">
        <v>310000</v>
      </c>
      <c r="D6" s="52" t="s">
        <v>1</v>
      </c>
      <c r="E6" s="53"/>
      <c r="F6" s="53"/>
      <c r="G6" s="53"/>
      <c r="H6" s="53"/>
      <c r="I6" s="53" t="s">
        <v>1</v>
      </c>
      <c r="J6" s="53"/>
      <c r="K6" s="53"/>
      <c r="L6" s="53" t="s">
        <v>1</v>
      </c>
      <c r="M6" s="53"/>
      <c r="N6" s="53"/>
      <c r="O6" s="53"/>
      <c r="P6" s="53"/>
      <c r="Q6" s="53"/>
      <c r="R6" s="53"/>
      <c r="S6" s="53"/>
      <c r="T6" s="53"/>
      <c r="U6" s="53"/>
      <c r="V6" s="53"/>
      <c r="W6" s="29"/>
      <c r="X6" s="29"/>
      <c r="Y6" s="29"/>
      <c r="Z6" s="29"/>
      <c r="AA6" s="29"/>
      <c r="AB6" s="29"/>
      <c r="AC6" s="29"/>
      <c r="AD6" s="29"/>
      <c r="AE6" s="29"/>
      <c r="AF6" s="29"/>
      <c r="AG6" s="29"/>
      <c r="AH6" s="29"/>
      <c r="AI6" s="29"/>
      <c r="AJ6" s="29"/>
      <c r="AK6" s="29" t="s">
        <v>1</v>
      </c>
      <c r="AL6" s="29"/>
      <c r="AM6" s="29"/>
      <c r="AN6" s="29"/>
      <c r="AO6" s="29"/>
      <c r="AP6" s="29"/>
      <c r="AQ6" s="29"/>
      <c r="AR6" s="29"/>
      <c r="AS6" s="29"/>
      <c r="AT6" s="29"/>
      <c r="AU6" s="29"/>
      <c r="AV6" s="29"/>
      <c r="AW6" s="29" t="s">
        <v>106</v>
      </c>
      <c r="AX6" s="29"/>
      <c r="AY6" s="29"/>
      <c r="AZ6" s="29"/>
      <c r="BA6" s="29"/>
      <c r="BB6" s="29"/>
      <c r="BC6" s="29"/>
      <c r="BD6" s="29"/>
      <c r="BE6" s="29"/>
      <c r="BF6" s="29"/>
      <c r="BG6" s="29"/>
      <c r="BH6" s="29"/>
      <c r="BI6" s="29"/>
      <c r="BJ6" s="29"/>
      <c r="BK6" s="29"/>
      <c r="BL6" s="29"/>
      <c r="BM6" s="29"/>
      <c r="BN6" s="29"/>
      <c r="BO6" s="29"/>
      <c r="BP6" s="29"/>
      <c r="BQ6" s="29"/>
      <c r="BR6" s="29"/>
      <c r="BS6" s="29"/>
      <c r="BT6" s="29"/>
      <c r="BU6" s="29"/>
      <c r="BV6" s="29"/>
      <c r="BW6" s="29"/>
      <c r="BX6" s="29"/>
      <c r="BY6" s="29"/>
      <c r="BZ6" s="29"/>
      <c r="CA6" s="29"/>
      <c r="CB6" s="29"/>
      <c r="CC6" s="29"/>
      <c r="CD6" s="29"/>
      <c r="CE6" s="29"/>
      <c r="CF6" s="29"/>
      <c r="CG6" s="29"/>
      <c r="CH6" s="29"/>
      <c r="CI6" s="29"/>
      <c r="CJ6" s="29"/>
      <c r="CK6" s="29"/>
      <c r="CL6" s="29"/>
      <c r="CM6" s="29"/>
      <c r="CN6" s="29"/>
    </row>
    <row r="7" customFormat="false" ht="15" hidden="false" customHeight="false" outlineLevel="0" collapsed="false">
      <c r="A7" s="17" t="n">
        <f aca="false">A6+1</f>
        <v>37036</v>
      </c>
      <c r="B7" s="51" t="n">
        <f aca="false">(Weather_Input!B7+Weather_Input!C7)/2</f>
        <v>52</v>
      </c>
      <c r="C7" s="46" t="n">
        <v>290000</v>
      </c>
      <c r="D7" s="52" t="s">
        <v>1</v>
      </c>
      <c r="E7" s="53"/>
      <c r="F7" s="53"/>
      <c r="G7" s="53"/>
      <c r="H7" s="54" t="s">
        <v>107</v>
      </c>
      <c r="I7" s="53"/>
      <c r="J7" s="53"/>
      <c r="K7" s="53"/>
      <c r="L7" s="53"/>
      <c r="M7" s="53"/>
      <c r="N7" s="53"/>
      <c r="O7" s="53"/>
      <c r="P7" s="53"/>
      <c r="Q7" s="53"/>
      <c r="R7" s="53" t="s">
        <v>108</v>
      </c>
      <c r="S7" s="55" t="n">
        <v>0</v>
      </c>
      <c r="T7" s="55"/>
      <c r="U7" s="53"/>
      <c r="V7" s="53"/>
      <c r="W7" s="29"/>
      <c r="X7" s="29"/>
      <c r="Y7" s="29"/>
      <c r="Z7" s="29"/>
      <c r="AA7" s="29"/>
      <c r="AB7" s="29"/>
      <c r="AC7" s="29"/>
      <c r="AD7" s="29"/>
      <c r="AE7" s="29"/>
      <c r="AF7" s="29"/>
      <c r="AG7" s="29"/>
      <c r="AH7" s="29"/>
      <c r="AI7" s="29"/>
      <c r="AJ7" s="29"/>
      <c r="AK7" s="29" t="s">
        <v>1</v>
      </c>
      <c r="AL7" s="29"/>
      <c r="AM7" s="29"/>
      <c r="AN7" s="29"/>
      <c r="AO7" s="29"/>
      <c r="AP7" s="29"/>
      <c r="AQ7" s="29"/>
      <c r="AR7" s="29"/>
      <c r="AS7" s="29"/>
      <c r="AT7" s="29"/>
      <c r="AU7" s="29"/>
      <c r="AV7" s="29"/>
      <c r="AW7" s="29"/>
      <c r="AX7" s="29"/>
      <c r="AY7" s="29"/>
      <c r="AZ7" s="29"/>
      <c r="BA7" s="29"/>
      <c r="BB7" s="29"/>
      <c r="BC7" s="29"/>
      <c r="BD7" s="29"/>
      <c r="BE7" s="29"/>
      <c r="BF7" s="29"/>
      <c r="BG7" s="29"/>
      <c r="BH7" s="29"/>
      <c r="BI7" s="29"/>
      <c r="BJ7" s="29"/>
      <c r="BK7" s="29"/>
      <c r="BL7" s="29"/>
      <c r="BM7" s="29"/>
      <c r="BN7" s="29"/>
      <c r="BO7" s="29"/>
      <c r="BP7" s="29"/>
      <c r="BQ7" s="29"/>
      <c r="BR7" s="29"/>
      <c r="BS7" s="29"/>
      <c r="BT7" s="29"/>
      <c r="BU7" s="29"/>
      <c r="BV7" s="29"/>
      <c r="BW7" s="29"/>
      <c r="BX7" s="29"/>
      <c r="BY7" s="29"/>
      <c r="BZ7" s="29"/>
      <c r="CA7" s="29"/>
      <c r="CB7" s="29"/>
      <c r="CC7" s="29"/>
      <c r="CD7" s="29"/>
      <c r="CE7" s="29"/>
      <c r="CF7" s="29"/>
      <c r="CG7" s="29"/>
      <c r="CH7" s="29"/>
      <c r="CI7" s="29"/>
      <c r="CJ7" s="29"/>
      <c r="CK7" s="29"/>
      <c r="CL7" s="29"/>
      <c r="CM7" s="29"/>
      <c r="CN7" s="29"/>
    </row>
    <row r="8" customFormat="false" ht="15" hidden="false" customHeight="false" outlineLevel="0" collapsed="false">
      <c r="A8" s="17" t="n">
        <f aca="false">A7+1</f>
        <v>37037</v>
      </c>
      <c r="B8" s="51" t="n">
        <f aca="false">(Weather_Input!B8+Weather_Input!C8)/2</f>
        <v>53.5</v>
      </c>
      <c r="C8" s="46" t="n">
        <v>260000</v>
      </c>
      <c r="D8" s="52" t="s">
        <v>1</v>
      </c>
      <c r="E8" s="53" t="s">
        <v>1</v>
      </c>
      <c r="F8" s="53"/>
      <c r="G8" s="53"/>
      <c r="H8" s="56" t="s">
        <v>109</v>
      </c>
      <c r="I8" s="53"/>
      <c r="J8" s="53"/>
      <c r="K8" s="53"/>
      <c r="L8" s="53"/>
      <c r="M8" s="53"/>
      <c r="N8" s="53"/>
      <c r="O8" s="53"/>
      <c r="P8" s="53"/>
      <c r="Q8" s="53"/>
      <c r="R8" s="53" t="s">
        <v>110</v>
      </c>
      <c r="S8" s="55" t="n">
        <v>0</v>
      </c>
      <c r="T8" s="55"/>
      <c r="U8" s="53"/>
      <c r="V8" s="53"/>
      <c r="W8" s="29"/>
      <c r="X8" s="29"/>
      <c r="Y8" s="29"/>
      <c r="Z8" s="29"/>
      <c r="AA8" s="29"/>
      <c r="AB8" s="29"/>
      <c r="AC8" s="29"/>
      <c r="AD8" s="29"/>
      <c r="AE8" s="29"/>
      <c r="AF8" s="29"/>
      <c r="AG8" s="29"/>
      <c r="AH8" s="29"/>
      <c r="AI8" s="29"/>
      <c r="AJ8" s="29"/>
      <c r="AK8" s="29"/>
      <c r="AL8" s="29"/>
      <c r="AM8" s="29"/>
      <c r="AN8" s="29"/>
      <c r="AO8" s="29"/>
      <c r="AP8" s="29"/>
      <c r="AQ8" s="29"/>
      <c r="AR8" s="29"/>
      <c r="AS8" s="29"/>
      <c r="AT8" s="29"/>
      <c r="AU8" s="29"/>
      <c r="AV8" s="29"/>
      <c r="AW8" s="29"/>
      <c r="AX8" s="29"/>
      <c r="AY8" s="29"/>
      <c r="AZ8" s="29"/>
      <c r="BA8" s="29"/>
      <c r="BB8" s="29"/>
      <c r="BC8" s="29"/>
      <c r="BD8" s="29"/>
      <c r="BE8" s="29"/>
      <c r="BF8" s="29"/>
      <c r="BG8" s="29"/>
      <c r="BH8" s="29"/>
      <c r="BI8" s="29"/>
      <c r="BJ8" s="29"/>
      <c r="BK8" s="29"/>
      <c r="BL8" s="29"/>
      <c r="BM8" s="29"/>
      <c r="BN8" s="29"/>
      <c r="BO8" s="29"/>
      <c r="BP8" s="29"/>
      <c r="BQ8" s="29"/>
      <c r="BR8" s="29"/>
      <c r="BS8" s="29"/>
      <c r="BT8" s="29"/>
      <c r="BU8" s="29"/>
      <c r="BV8" s="29"/>
      <c r="BW8" s="29"/>
      <c r="BX8" s="29"/>
      <c r="BY8" s="29"/>
      <c r="BZ8" s="29"/>
      <c r="CA8" s="29"/>
      <c r="CB8" s="29"/>
      <c r="CC8" s="29"/>
      <c r="CD8" s="29"/>
      <c r="CE8" s="29"/>
      <c r="CF8" s="29"/>
      <c r="CG8" s="29"/>
      <c r="CH8" s="29"/>
      <c r="CI8" s="29"/>
      <c r="CJ8" s="29"/>
      <c r="CK8" s="29"/>
      <c r="CL8" s="29"/>
      <c r="CM8" s="29"/>
      <c r="CN8" s="29"/>
    </row>
    <row r="9" customFormat="false" ht="15" hidden="false" customHeight="false" outlineLevel="0" collapsed="false">
      <c r="A9" s="17" t="n">
        <f aca="false">A8+1</f>
        <v>37038</v>
      </c>
      <c r="B9" s="51" t="n">
        <f aca="false">(Weather_Input!B9+Weather_Input!C9)/2</f>
        <v>56.5</v>
      </c>
      <c r="C9" s="46" t="n">
        <v>270000</v>
      </c>
      <c r="D9" s="52" t="s">
        <v>1</v>
      </c>
      <c r="E9" s="53"/>
      <c r="F9" s="53"/>
      <c r="G9" s="53"/>
      <c r="H9" s="53" t="s">
        <v>111</v>
      </c>
      <c r="I9" s="53"/>
      <c r="J9" s="53"/>
      <c r="K9" s="53"/>
      <c r="L9" s="53"/>
      <c r="M9" s="53"/>
      <c r="N9" s="53"/>
      <c r="O9" s="53"/>
      <c r="P9" s="53"/>
      <c r="Q9" s="53"/>
      <c r="R9" s="53" t="s">
        <v>112</v>
      </c>
      <c r="S9" s="55" t="n">
        <v>0</v>
      </c>
      <c r="T9" s="55"/>
      <c r="U9" s="53"/>
      <c r="V9" s="53"/>
      <c r="W9" s="29"/>
      <c r="X9" s="29"/>
      <c r="Y9" s="29"/>
      <c r="Z9" s="29"/>
      <c r="AA9" s="29"/>
      <c r="AB9" s="29"/>
      <c r="AC9" s="29"/>
      <c r="AD9" s="29"/>
      <c r="AE9" s="29"/>
      <c r="AF9" s="29"/>
      <c r="AG9" s="29"/>
      <c r="AH9" s="29"/>
      <c r="AI9" s="29"/>
      <c r="AJ9" s="29"/>
      <c r="AK9" s="29"/>
      <c r="AL9" s="29"/>
      <c r="AM9" s="29"/>
      <c r="AN9" s="29"/>
      <c r="AO9" s="29"/>
      <c r="AP9" s="29"/>
      <c r="AQ9" s="29"/>
      <c r="AR9" s="29"/>
      <c r="AS9" s="29"/>
      <c r="AT9" s="29"/>
      <c r="AU9" s="29"/>
      <c r="AV9" s="29"/>
      <c r="AW9" s="29"/>
      <c r="AX9" s="29"/>
      <c r="AY9" s="29"/>
      <c r="AZ9" s="29"/>
      <c r="BA9" s="29"/>
      <c r="BB9" s="29"/>
      <c r="BC9" s="29"/>
      <c r="BD9" s="29"/>
      <c r="BE9" s="29"/>
      <c r="BF9" s="29"/>
      <c r="BG9" s="29"/>
      <c r="BH9" s="29"/>
      <c r="BI9" s="29"/>
      <c r="BJ9" s="29"/>
      <c r="BK9" s="29"/>
      <c r="BL9" s="29"/>
      <c r="BM9" s="29"/>
      <c r="BN9" s="29"/>
      <c r="BO9" s="29"/>
      <c r="BP9" s="29"/>
      <c r="BQ9" s="29"/>
      <c r="BR9" s="29"/>
      <c r="BS9" s="29"/>
      <c r="BT9" s="29"/>
      <c r="BU9" s="29"/>
      <c r="BV9" s="29"/>
      <c r="BW9" s="29"/>
      <c r="BX9" s="29"/>
      <c r="BY9" s="29"/>
      <c r="BZ9" s="29"/>
      <c r="CA9" s="29"/>
      <c r="CB9" s="29"/>
      <c r="CC9" s="29"/>
      <c r="CD9" s="29"/>
      <c r="CE9" s="29"/>
      <c r="CF9" s="29"/>
      <c r="CG9" s="29"/>
      <c r="CH9" s="29"/>
      <c r="CI9" s="29"/>
      <c r="CJ9" s="29"/>
      <c r="CK9" s="29"/>
      <c r="CL9" s="29"/>
      <c r="CM9" s="29"/>
      <c r="CN9" s="29"/>
    </row>
    <row r="10" customFormat="false" ht="15" hidden="false" customHeight="false" outlineLevel="0" collapsed="false">
      <c r="A10" s="17" t="n">
        <f aca="false">A9+1</f>
        <v>37039</v>
      </c>
      <c r="B10" s="51" t="n">
        <f aca="false">(Weather_Input!B10+Weather_Input!C10)/2</f>
        <v>56.5</v>
      </c>
      <c r="C10" s="46" t="n">
        <v>275000</v>
      </c>
      <c r="D10" s="52" t="s">
        <v>1</v>
      </c>
      <c r="E10" s="53" t="s">
        <v>1</v>
      </c>
      <c r="F10" s="53"/>
      <c r="G10" s="53"/>
      <c r="H10" s="53" t="s">
        <v>113</v>
      </c>
      <c r="I10" s="53"/>
      <c r="J10" s="53"/>
      <c r="K10" s="53"/>
      <c r="L10" s="53"/>
      <c r="M10" s="53"/>
      <c r="N10" s="53"/>
      <c r="O10" s="53"/>
      <c r="P10" s="53"/>
      <c r="Q10" s="53"/>
      <c r="R10" s="53" t="s">
        <v>114</v>
      </c>
      <c r="S10" s="55" t="n">
        <v>0</v>
      </c>
      <c r="T10" s="55"/>
      <c r="U10" s="53"/>
      <c r="V10" s="53"/>
      <c r="W10" s="29"/>
      <c r="X10" s="29"/>
      <c r="Y10" s="29"/>
      <c r="Z10" s="29"/>
      <c r="AA10" s="29"/>
      <c r="AB10" s="29"/>
      <c r="AC10" s="29"/>
      <c r="AD10" s="29"/>
      <c r="AE10" s="29"/>
      <c r="AF10" s="29"/>
      <c r="AG10" s="29"/>
      <c r="AH10" s="29"/>
      <c r="AI10" s="29"/>
      <c r="AJ10" s="29"/>
      <c r="AK10" s="29"/>
      <c r="AL10" s="29"/>
      <c r="AM10" s="29"/>
      <c r="AN10" s="29"/>
      <c r="AO10" s="29"/>
      <c r="AP10" s="29"/>
      <c r="AQ10" s="29"/>
      <c r="AR10" s="29"/>
      <c r="AS10" s="29"/>
      <c r="AT10" s="29"/>
      <c r="AU10" s="29"/>
      <c r="AV10" s="29"/>
      <c r="AW10" s="29"/>
      <c r="AX10" s="29"/>
      <c r="AY10" s="29"/>
      <c r="AZ10" s="29"/>
      <c r="BA10" s="29"/>
      <c r="BB10" s="29"/>
      <c r="BC10" s="29"/>
      <c r="BD10" s="29"/>
      <c r="BE10" s="29"/>
      <c r="BF10" s="29"/>
      <c r="BG10" s="29"/>
      <c r="BH10" s="29"/>
      <c r="BI10" s="29"/>
      <c r="BJ10" s="29"/>
      <c r="BK10" s="29"/>
      <c r="BL10" s="29"/>
      <c r="BM10" s="29"/>
      <c r="BN10" s="29"/>
      <c r="BO10" s="29"/>
      <c r="BP10" s="29"/>
      <c r="BQ10" s="29"/>
      <c r="BR10" s="29"/>
      <c r="BS10" s="29"/>
      <c r="BT10" s="29"/>
      <c r="BU10" s="29"/>
      <c r="BV10" s="29"/>
      <c r="BW10" s="29"/>
      <c r="BX10" s="29"/>
      <c r="BY10" s="29"/>
      <c r="BZ10" s="29"/>
      <c r="CA10" s="29"/>
      <c r="CB10" s="29"/>
      <c r="CC10" s="29"/>
      <c r="CD10" s="29"/>
      <c r="CE10" s="29"/>
      <c r="CF10" s="29"/>
      <c r="CG10" s="29"/>
      <c r="CH10" s="29"/>
      <c r="CI10" s="29"/>
      <c r="CJ10" s="29"/>
      <c r="CK10" s="29"/>
      <c r="CL10" s="29"/>
      <c r="CM10" s="29"/>
      <c r="CN10" s="29"/>
    </row>
    <row r="11" customFormat="false" ht="15" hidden="false" customHeight="false" outlineLevel="0" collapsed="false">
      <c r="A11" s="0" t="s">
        <v>3</v>
      </c>
      <c r="B11" s="29"/>
      <c r="C11" s="29"/>
      <c r="D11" s="29"/>
      <c r="E11" s="29"/>
      <c r="F11" s="29"/>
      <c r="G11" s="29"/>
      <c r="H11" s="29"/>
      <c r="I11" s="29"/>
      <c r="J11" s="29"/>
      <c r="K11" s="29"/>
      <c r="L11" s="29"/>
      <c r="M11" s="29"/>
      <c r="N11" s="29"/>
      <c r="O11" s="29"/>
      <c r="P11" s="29"/>
      <c r="Q11" s="29"/>
      <c r="R11" s="29" t="s">
        <v>115</v>
      </c>
      <c r="S11" s="57" t="n">
        <v>0</v>
      </c>
      <c r="T11" s="57"/>
      <c r="U11" s="29"/>
      <c r="V11" s="29"/>
      <c r="W11" s="29"/>
      <c r="X11" s="29"/>
      <c r="Y11" s="29"/>
      <c r="Z11" s="29"/>
      <c r="AA11" s="29"/>
      <c r="AB11" s="29"/>
      <c r="AC11" s="29"/>
      <c r="AD11" s="29"/>
      <c r="AE11" s="29"/>
      <c r="AF11" s="29"/>
      <c r="AG11" s="29"/>
      <c r="AH11" s="29"/>
      <c r="AI11" s="29"/>
      <c r="AJ11" s="29"/>
      <c r="AK11" s="29"/>
      <c r="AL11" s="29"/>
      <c r="AM11" s="29"/>
      <c r="AN11" s="29"/>
      <c r="AO11" s="29"/>
      <c r="AP11" s="29"/>
      <c r="AQ11" s="29"/>
      <c r="AR11" s="29"/>
      <c r="AS11" s="29"/>
      <c r="AT11" s="29"/>
      <c r="AU11" s="29"/>
      <c r="AV11" s="29"/>
      <c r="AW11" s="29"/>
      <c r="AX11" s="29"/>
      <c r="AY11" s="29"/>
      <c r="AZ11" s="29"/>
      <c r="BA11" s="29"/>
      <c r="BB11" s="29"/>
      <c r="BC11" s="29"/>
      <c r="BD11" s="29"/>
      <c r="BE11" s="29"/>
      <c r="BF11" s="29"/>
      <c r="BG11" s="29"/>
      <c r="BH11" s="29"/>
      <c r="BI11" s="29"/>
      <c r="BJ11" s="29"/>
      <c r="BK11" s="29"/>
      <c r="BL11" s="29"/>
      <c r="BM11" s="29"/>
      <c r="BN11" s="29"/>
      <c r="BO11" s="29"/>
      <c r="BP11" s="29"/>
      <c r="BQ11" s="29"/>
      <c r="BR11" s="29"/>
      <c r="BS11" s="29"/>
      <c r="BT11" s="29"/>
      <c r="BU11" s="29"/>
      <c r="BV11" s="29"/>
      <c r="BW11" s="29"/>
      <c r="BX11" s="29"/>
      <c r="BY11" s="29"/>
      <c r="BZ11" s="29"/>
      <c r="CA11" s="29"/>
      <c r="CB11" s="29"/>
      <c r="CC11" s="29"/>
      <c r="CD11" s="29"/>
      <c r="CE11" s="29"/>
      <c r="CF11" s="29"/>
      <c r="CG11" s="29"/>
      <c r="CH11" s="29"/>
      <c r="CI11" s="29"/>
      <c r="CJ11" s="29"/>
      <c r="CK11" s="29"/>
      <c r="CL11" s="29"/>
      <c r="CM11" s="29"/>
      <c r="CN11" s="29"/>
    </row>
    <row r="12" customFormat="false" ht="15" hidden="false" customHeight="false" outlineLevel="0" collapsed="false"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29"/>
      <c r="O12" s="29"/>
      <c r="P12" s="29"/>
      <c r="Q12" s="29"/>
      <c r="R12" s="29" t="s">
        <v>116</v>
      </c>
      <c r="S12" s="57" t="n">
        <v>0</v>
      </c>
      <c r="T12" s="57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  <c r="AF12" s="29"/>
      <c r="AG12" s="29"/>
      <c r="AH12" s="29"/>
      <c r="AI12" s="29"/>
      <c r="AJ12" s="29"/>
      <c r="AK12" s="29"/>
      <c r="AL12" s="29"/>
      <c r="AM12" s="29"/>
      <c r="AN12" s="29"/>
      <c r="AO12" s="29"/>
      <c r="AP12" s="29"/>
      <c r="AQ12" s="29"/>
      <c r="AR12" s="29"/>
      <c r="AS12" s="29"/>
      <c r="AT12" s="29"/>
      <c r="AU12" s="29"/>
      <c r="AV12" s="29"/>
      <c r="AW12" s="29"/>
      <c r="AX12" s="29"/>
      <c r="AY12" s="29"/>
      <c r="AZ12" s="29"/>
      <c r="BA12" s="29"/>
      <c r="BB12" s="29"/>
      <c r="BC12" s="29"/>
      <c r="BD12" s="29"/>
      <c r="BE12" s="29"/>
      <c r="BF12" s="29"/>
      <c r="BG12" s="29"/>
      <c r="BH12" s="29"/>
      <c r="BI12" s="29"/>
      <c r="BJ12" s="29"/>
      <c r="BK12" s="29"/>
      <c r="BL12" s="29"/>
      <c r="BM12" s="29"/>
      <c r="BN12" s="29"/>
      <c r="BO12" s="29"/>
      <c r="BP12" s="29"/>
      <c r="BQ12" s="29"/>
      <c r="BR12" s="29"/>
      <c r="BS12" s="29"/>
      <c r="BT12" s="29"/>
      <c r="BU12" s="29"/>
      <c r="BV12" s="29"/>
      <c r="BW12" s="29"/>
      <c r="BX12" s="29"/>
      <c r="BY12" s="29"/>
      <c r="BZ12" s="29"/>
      <c r="CA12" s="29"/>
      <c r="CB12" s="29"/>
      <c r="CC12" s="29"/>
      <c r="CD12" s="29"/>
      <c r="CE12" s="29"/>
      <c r="CF12" s="29"/>
      <c r="CG12" s="29"/>
      <c r="CH12" s="29"/>
      <c r="CI12" s="29"/>
      <c r="CJ12" s="29"/>
      <c r="CK12" s="29"/>
      <c r="CL12" s="29"/>
      <c r="CM12" s="29"/>
      <c r="CN12" s="29"/>
    </row>
    <row r="13" customFormat="false" ht="15" hidden="false" customHeight="false" outlineLevel="0" collapsed="false">
      <c r="N13" s="29"/>
      <c r="O13" s="29"/>
      <c r="P13" s="29"/>
      <c r="Q13" s="29"/>
      <c r="R13" s="29" t="s">
        <v>117</v>
      </c>
      <c r="S13" s="57" t="n">
        <v>0</v>
      </c>
      <c r="T13" s="57"/>
      <c r="U13" s="29"/>
      <c r="V13" s="29"/>
      <c r="W13" s="29"/>
      <c r="X13" s="29"/>
      <c r="Y13" s="29"/>
      <c r="Z13" s="29"/>
      <c r="AA13" s="29"/>
      <c r="AB13" s="29"/>
      <c r="AC13" s="29"/>
      <c r="AD13" s="29"/>
      <c r="AE13" s="29"/>
      <c r="AF13" s="29"/>
      <c r="AG13" s="29"/>
      <c r="AH13" s="29"/>
      <c r="AI13" s="29"/>
      <c r="AJ13" s="29"/>
      <c r="AK13" s="29"/>
      <c r="AL13" s="29"/>
      <c r="AM13" s="29"/>
      <c r="AN13" s="29"/>
      <c r="AO13" s="29"/>
      <c r="AP13" s="29"/>
      <c r="AQ13" s="29"/>
      <c r="AR13" s="29"/>
      <c r="AS13" s="29"/>
      <c r="AT13" s="29"/>
      <c r="AU13" s="29"/>
      <c r="AV13" s="29"/>
      <c r="AW13" s="29"/>
      <c r="AX13" s="29"/>
      <c r="AY13" s="29"/>
      <c r="AZ13" s="29"/>
      <c r="BA13" s="29"/>
      <c r="BB13" s="29"/>
      <c r="BC13" s="29"/>
      <c r="BD13" s="29"/>
      <c r="BE13" s="29"/>
      <c r="BF13" s="29"/>
      <c r="BG13" s="29"/>
      <c r="BH13" s="29"/>
      <c r="BI13" s="29"/>
      <c r="BJ13" s="29"/>
      <c r="BK13" s="29"/>
      <c r="BL13" s="29"/>
      <c r="BM13" s="29"/>
      <c r="BN13" s="29"/>
      <c r="BO13" s="29"/>
      <c r="BP13" s="29"/>
      <c r="BQ13" s="29"/>
      <c r="BR13" s="29"/>
      <c r="BS13" s="29"/>
      <c r="BT13" s="29"/>
      <c r="BU13" s="29"/>
      <c r="BV13" s="29"/>
      <c r="BW13" s="29"/>
      <c r="BX13" s="29"/>
      <c r="BY13" s="29"/>
      <c r="BZ13" s="29"/>
      <c r="CA13" s="29"/>
      <c r="CB13" s="29"/>
      <c r="CC13" s="29"/>
      <c r="CD13" s="29"/>
      <c r="CE13" s="29"/>
      <c r="CF13" s="29"/>
      <c r="CG13" s="29"/>
      <c r="CH13" s="29"/>
      <c r="CI13" s="29"/>
      <c r="CJ13" s="29"/>
      <c r="CK13" s="29"/>
      <c r="CL13" s="29"/>
      <c r="CM13" s="29"/>
      <c r="CN13" s="29"/>
    </row>
    <row r="14" customFormat="false" ht="15" hidden="false" customHeight="false" outlineLevel="0" collapsed="false">
      <c r="N14" s="29"/>
      <c r="O14" s="29"/>
      <c r="P14" s="29"/>
      <c r="Q14" s="29"/>
      <c r="R14" s="29" t="s">
        <v>118</v>
      </c>
      <c r="S14" s="57" t="n">
        <v>0</v>
      </c>
      <c r="T14" s="57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29"/>
      <c r="AR14" s="29"/>
      <c r="AS14" s="29"/>
      <c r="AT14" s="29"/>
      <c r="AU14" s="29"/>
      <c r="AV14" s="29"/>
      <c r="AW14" s="29"/>
      <c r="AX14" s="29"/>
      <c r="AY14" s="29"/>
      <c r="AZ14" s="29"/>
      <c r="BA14" s="29"/>
      <c r="BB14" s="29"/>
      <c r="BC14" s="29"/>
      <c r="BD14" s="29"/>
      <c r="BE14" s="29"/>
      <c r="BF14" s="29"/>
      <c r="BG14" s="29"/>
      <c r="BH14" s="29"/>
      <c r="BI14" s="29"/>
      <c r="BJ14" s="29"/>
      <c r="BK14" s="29"/>
      <c r="BL14" s="29"/>
      <c r="BM14" s="29"/>
      <c r="BN14" s="29"/>
      <c r="BO14" s="29"/>
      <c r="BP14" s="29"/>
      <c r="BQ14" s="29"/>
      <c r="BR14" s="29"/>
      <c r="BS14" s="29"/>
      <c r="BT14" s="29"/>
      <c r="BU14" s="29"/>
      <c r="BV14" s="29"/>
      <c r="BW14" s="29"/>
      <c r="BX14" s="29"/>
      <c r="BY14" s="29"/>
      <c r="BZ14" s="29"/>
      <c r="CA14" s="29"/>
      <c r="CB14" s="29"/>
      <c r="CC14" s="29"/>
      <c r="CD14" s="29"/>
      <c r="CE14" s="29"/>
      <c r="CF14" s="29"/>
      <c r="CG14" s="29"/>
      <c r="CH14" s="29"/>
      <c r="CI14" s="29"/>
      <c r="CJ14" s="29"/>
      <c r="CK14" s="29"/>
      <c r="CL14" s="29"/>
      <c r="CM14" s="29"/>
      <c r="CN14" s="29"/>
    </row>
    <row r="15" customFormat="false" ht="15" hidden="false" customHeight="false" outlineLevel="0" collapsed="false">
      <c r="N15" s="29"/>
      <c r="O15" s="29"/>
      <c r="P15" s="29"/>
      <c r="Q15" s="29"/>
      <c r="R15" s="29" t="s">
        <v>119</v>
      </c>
      <c r="S15" s="57" t="n">
        <v>0</v>
      </c>
      <c r="T15" s="57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  <c r="AL15" s="29"/>
      <c r="AM15" s="29"/>
      <c r="AN15" s="29"/>
      <c r="AO15" s="29"/>
      <c r="AP15" s="29"/>
      <c r="AQ15" s="29"/>
      <c r="AR15" s="29"/>
      <c r="AS15" s="29"/>
      <c r="AT15" s="29"/>
      <c r="AU15" s="29"/>
      <c r="AV15" s="29"/>
      <c r="AW15" s="29"/>
      <c r="AX15" s="29"/>
      <c r="AY15" s="29"/>
      <c r="AZ15" s="29"/>
      <c r="BA15" s="29"/>
      <c r="BB15" s="29"/>
      <c r="BC15" s="29"/>
      <c r="BD15" s="29"/>
      <c r="BE15" s="29"/>
      <c r="BF15" s="29"/>
      <c r="BG15" s="29"/>
      <c r="BH15" s="29"/>
      <c r="BI15" s="29"/>
      <c r="BJ15" s="29"/>
      <c r="BK15" s="29"/>
      <c r="BL15" s="29"/>
      <c r="BM15" s="29"/>
      <c r="BN15" s="29"/>
      <c r="BO15" s="29"/>
      <c r="BP15" s="29"/>
      <c r="BQ15" s="29"/>
      <c r="BR15" s="29"/>
      <c r="BS15" s="29"/>
      <c r="BT15" s="29"/>
      <c r="BU15" s="29"/>
      <c r="BV15" s="29"/>
      <c r="BW15" s="29"/>
      <c r="BX15" s="29"/>
      <c r="BY15" s="29"/>
      <c r="BZ15" s="29"/>
      <c r="CA15" s="29"/>
      <c r="CB15" s="29"/>
      <c r="CC15" s="29"/>
      <c r="CD15" s="29"/>
      <c r="CE15" s="29"/>
      <c r="CF15" s="29"/>
      <c r="CG15" s="29"/>
      <c r="CH15" s="29"/>
      <c r="CI15" s="29"/>
      <c r="CJ15" s="29"/>
      <c r="CK15" s="29"/>
      <c r="CL15" s="29"/>
      <c r="CM15" s="29"/>
      <c r="CN15" s="29"/>
    </row>
    <row r="16" customFormat="false" ht="15" hidden="false" customHeight="false" outlineLevel="0" collapsed="false">
      <c r="N16" s="29"/>
      <c r="O16" s="29"/>
      <c r="P16" s="29"/>
      <c r="Q16" s="29"/>
      <c r="R16" s="29"/>
      <c r="S16" s="58" t="s">
        <v>1</v>
      </c>
      <c r="T16" s="58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29"/>
      <c r="AO16" s="29"/>
      <c r="AP16" s="29"/>
      <c r="AQ16" s="29"/>
      <c r="AR16" s="29"/>
      <c r="AS16" s="29"/>
      <c r="AT16" s="29"/>
      <c r="AU16" s="29"/>
      <c r="AV16" s="29"/>
      <c r="AW16" s="29"/>
      <c r="AX16" s="29"/>
      <c r="AY16" s="29"/>
      <c r="AZ16" s="29"/>
      <c r="BA16" s="29"/>
      <c r="BB16" s="29"/>
      <c r="BC16" s="29"/>
      <c r="BD16" s="29"/>
      <c r="BE16" s="29"/>
      <c r="BF16" s="29"/>
      <c r="BG16" s="29"/>
      <c r="BH16" s="29"/>
      <c r="BI16" s="29"/>
      <c r="BJ16" s="29"/>
      <c r="BK16" s="29"/>
      <c r="BL16" s="29"/>
      <c r="BM16" s="29"/>
      <c r="BN16" s="29"/>
      <c r="BO16" s="29"/>
      <c r="BP16" s="29"/>
      <c r="BQ16" s="29"/>
      <c r="BR16" s="29"/>
      <c r="BS16" s="29"/>
      <c r="BT16" s="29"/>
      <c r="BU16" s="29"/>
      <c r="BV16" s="29"/>
      <c r="BW16" s="29"/>
      <c r="BX16" s="29"/>
      <c r="BY16" s="29"/>
      <c r="BZ16" s="29"/>
      <c r="CA16" s="29"/>
      <c r="CB16" s="29"/>
      <c r="CC16" s="29"/>
      <c r="CD16" s="29"/>
      <c r="CE16" s="29"/>
      <c r="CF16" s="29"/>
      <c r="CG16" s="29"/>
      <c r="CH16" s="29"/>
      <c r="CI16" s="29"/>
      <c r="CJ16" s="29"/>
      <c r="CK16" s="29"/>
      <c r="CL16" s="29"/>
      <c r="CM16" s="29"/>
      <c r="CN16" s="29"/>
    </row>
    <row r="17" customFormat="false" ht="15.75" hidden="false" customHeight="true" outlineLevel="0" collapsed="false"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  <c r="AF17" s="29"/>
      <c r="AG17" s="29"/>
      <c r="AH17" s="29"/>
      <c r="AI17" s="29"/>
      <c r="AJ17" s="29"/>
      <c r="AK17" s="29"/>
      <c r="AL17" s="29"/>
      <c r="AM17" s="29"/>
      <c r="AN17" s="29"/>
      <c r="AO17" s="29"/>
      <c r="AP17" s="29"/>
      <c r="AQ17" s="29"/>
      <c r="AR17" s="29"/>
      <c r="AS17" s="29"/>
      <c r="AT17" s="29"/>
      <c r="AU17" s="29"/>
      <c r="AV17" s="29"/>
      <c r="AW17" s="29"/>
      <c r="AX17" s="29"/>
      <c r="AY17" s="29"/>
      <c r="AZ17" s="29"/>
      <c r="BA17" s="29"/>
      <c r="BB17" s="29"/>
      <c r="BC17" s="29"/>
      <c r="BD17" s="29"/>
      <c r="BE17" s="29"/>
      <c r="BF17" s="29"/>
      <c r="BG17" s="29"/>
      <c r="BH17" s="29"/>
      <c r="BI17" s="29"/>
      <c r="BJ17" s="29"/>
      <c r="BK17" s="29"/>
      <c r="BL17" s="29"/>
      <c r="BM17" s="29"/>
      <c r="BN17" s="29"/>
      <c r="BO17" s="29"/>
      <c r="BP17" s="29"/>
      <c r="BQ17" s="29"/>
      <c r="BR17" s="29"/>
      <c r="BS17" s="29"/>
      <c r="BT17" s="29"/>
      <c r="BU17" s="29"/>
      <c r="BV17" s="29"/>
      <c r="BW17" s="29"/>
      <c r="BX17" s="29"/>
      <c r="BY17" s="29"/>
      <c r="BZ17" s="29"/>
      <c r="CA17" s="29"/>
      <c r="CB17" s="29"/>
      <c r="CC17" s="29"/>
      <c r="CD17" s="29"/>
      <c r="CE17" s="29"/>
      <c r="CF17" s="29"/>
      <c r="CG17" s="29"/>
      <c r="CH17" s="29"/>
      <c r="CI17" s="29"/>
      <c r="CJ17" s="29"/>
      <c r="CK17" s="29"/>
      <c r="CL17" s="29"/>
      <c r="CM17" s="29"/>
      <c r="CN17" s="29"/>
    </row>
    <row r="18" customFormat="false" ht="15" hidden="false" customHeight="false" outlineLevel="0" collapsed="false">
      <c r="C18" s="0" t="s">
        <v>3</v>
      </c>
      <c r="F18" s="5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  <c r="AL18" s="29"/>
      <c r="AM18" s="29"/>
      <c r="AN18" s="29"/>
      <c r="AO18" s="29"/>
      <c r="AP18" s="29"/>
      <c r="AQ18" s="29"/>
      <c r="AR18" s="29"/>
      <c r="AS18" s="29"/>
      <c r="AT18" s="29"/>
      <c r="AU18" s="29"/>
      <c r="AV18" s="29"/>
      <c r="AW18" s="29"/>
      <c r="AX18" s="29"/>
      <c r="AY18" s="29"/>
      <c r="AZ18" s="29"/>
      <c r="BA18" s="29"/>
      <c r="BB18" s="29"/>
      <c r="BC18" s="29"/>
      <c r="BD18" s="29"/>
      <c r="BE18" s="29"/>
      <c r="BF18" s="29"/>
      <c r="BG18" s="29"/>
      <c r="BH18" s="29"/>
      <c r="BI18" s="29"/>
      <c r="BJ18" s="29"/>
      <c r="BK18" s="29"/>
      <c r="BL18" s="29"/>
      <c r="BM18" s="29"/>
      <c r="BN18" s="29"/>
      <c r="BO18" s="29"/>
      <c r="BP18" s="29"/>
      <c r="BQ18" s="29"/>
      <c r="BR18" s="29"/>
      <c r="BS18" s="29"/>
      <c r="BT18" s="29"/>
      <c r="BU18" s="29"/>
      <c r="BV18" s="29"/>
      <c r="BW18" s="29"/>
      <c r="BX18" s="29"/>
      <c r="BY18" s="29"/>
      <c r="BZ18" s="29"/>
      <c r="CA18" s="29"/>
      <c r="CB18" s="29"/>
      <c r="CC18" s="29"/>
      <c r="CD18" s="29"/>
      <c r="CE18" s="29"/>
      <c r="CF18" s="29"/>
      <c r="CG18" s="29"/>
      <c r="CH18" s="29"/>
      <c r="CI18" s="29"/>
      <c r="CJ18" s="29"/>
      <c r="CK18" s="29"/>
      <c r="CL18" s="29"/>
      <c r="CM18" s="29"/>
      <c r="CN18" s="29"/>
    </row>
    <row r="19" customFormat="false" ht="15" hidden="false" customHeight="false" outlineLevel="0" collapsed="false"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  <c r="AF19" s="29"/>
      <c r="AG19" s="29"/>
      <c r="AH19" s="29"/>
      <c r="AI19" s="29"/>
      <c r="AJ19" s="29"/>
      <c r="AK19" s="29"/>
      <c r="AL19" s="29"/>
      <c r="AM19" s="29"/>
      <c r="AN19" s="29"/>
      <c r="AO19" s="29"/>
      <c r="AP19" s="29"/>
      <c r="AQ19" s="29"/>
      <c r="AR19" s="29"/>
      <c r="AS19" s="29"/>
      <c r="AT19" s="29"/>
      <c r="AU19" s="29"/>
      <c r="AV19" s="29"/>
      <c r="AW19" s="29"/>
      <c r="AX19" s="29"/>
      <c r="AY19" s="29"/>
      <c r="AZ19" s="29"/>
      <c r="BA19" s="29"/>
      <c r="BB19" s="29"/>
      <c r="BC19" s="29"/>
      <c r="BD19" s="29"/>
      <c r="BE19" s="29"/>
      <c r="BF19" s="29"/>
      <c r="BG19" s="29"/>
      <c r="BH19" s="29"/>
      <c r="BI19" s="29"/>
      <c r="BJ19" s="29"/>
      <c r="BK19" s="29"/>
      <c r="BL19" s="29"/>
      <c r="BM19" s="29"/>
      <c r="BN19" s="29"/>
      <c r="BO19" s="29"/>
      <c r="BP19" s="29"/>
      <c r="BQ19" s="29"/>
      <c r="BR19" s="29"/>
      <c r="BS19" s="29"/>
      <c r="BT19" s="29"/>
      <c r="BU19" s="29"/>
      <c r="BV19" s="29"/>
      <c r="BW19" s="29"/>
      <c r="BX19" s="29"/>
      <c r="BY19" s="29"/>
      <c r="BZ19" s="29"/>
      <c r="CA19" s="29"/>
      <c r="CB19" s="29"/>
      <c r="CC19" s="29"/>
      <c r="CD19" s="29"/>
      <c r="CE19" s="29"/>
      <c r="CF19" s="29"/>
      <c r="CG19" s="29"/>
      <c r="CH19" s="29"/>
      <c r="CI19" s="29"/>
      <c r="CJ19" s="29"/>
      <c r="CK19" s="29"/>
      <c r="CL19" s="29"/>
      <c r="CM19" s="29"/>
      <c r="CN19" s="29"/>
    </row>
    <row r="29" customFormat="false" ht="15" hidden="false" customHeight="false" outlineLevel="0" collapsed="false">
      <c r="S29" s="60"/>
      <c r="T29" s="60"/>
    </row>
    <row r="30" customFormat="false" ht="15" hidden="false" customHeight="false" outlineLevel="0" collapsed="false">
      <c r="S30" s="60"/>
      <c r="T30" s="60"/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EA3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28125" defaultRowHeight="12.75" customHeight="true" zeroHeight="false" outlineLevelRow="0" outlineLevelCol="0"/>
  <cols>
    <col collapsed="false" customWidth="false" hidden="false" outlineLevel="0" max="1" min="1" style="1217" width="8.88"/>
    <col collapsed="false" customWidth="false" hidden="false" outlineLevel="0" max="257" min="2" style="1218" width="8.88"/>
  </cols>
  <sheetData>
    <row r="1" customFormat="false" ht="15.75" hidden="false" customHeight="false" outlineLevel="0" collapsed="false">
      <c r="A1" s="1219"/>
      <c r="B1" s="1220"/>
      <c r="D1" s="1221"/>
    </row>
    <row r="2" customFormat="false" ht="15.75" hidden="false" customHeight="false" outlineLevel="0" collapsed="false">
      <c r="A2" s="1222"/>
      <c r="G2" s="1220"/>
    </row>
    <row r="3" customFormat="false" ht="15" hidden="false" customHeight="false" outlineLevel="0" collapsed="false">
      <c r="DZ3" s="0"/>
      <c r="EA3" s="1223"/>
    </row>
    <row r="5" customFormat="false" ht="15.75" hidden="false" customHeight="false" outlineLevel="0" collapsed="false">
      <c r="A5" s="1224"/>
      <c r="B5" s="1220"/>
    </row>
    <row r="6" customFormat="false" ht="12.75" hidden="false" customHeight="false" outlineLevel="0" collapsed="false">
      <c r="A6" s="1225"/>
    </row>
    <row r="7" customFormat="false" ht="12.75" hidden="false" customHeight="false" outlineLevel="0" collapsed="false">
      <c r="A7" s="1225"/>
    </row>
    <row r="8" customFormat="false" ht="12.75" hidden="false" customHeight="false" outlineLevel="0" collapsed="false">
      <c r="A8" s="1225"/>
    </row>
    <row r="9" customFormat="false" ht="12.75" hidden="false" customHeight="false" outlineLevel="0" collapsed="false">
      <c r="A9" s="1225" t="s">
        <v>1</v>
      </c>
      <c r="C9" s="1226"/>
    </row>
    <row r="10" customFormat="false" ht="12.75" hidden="false" customHeight="false" outlineLevel="0" collapsed="false">
      <c r="A10" s="1225"/>
    </row>
    <row r="11" customFormat="false" ht="12.75" hidden="false" customHeight="false" outlineLevel="0" collapsed="false">
      <c r="A11" s="1225"/>
    </row>
    <row r="12" customFormat="false" ht="12.75" hidden="false" customHeight="false" outlineLevel="0" collapsed="false">
      <c r="A12" s="1225"/>
    </row>
    <row r="13" customFormat="false" ht="12.75" hidden="false" customHeight="false" outlineLevel="0" collapsed="false">
      <c r="A13" s="1225"/>
    </row>
    <row r="14" customFormat="false" ht="12.75" hidden="false" customHeight="false" outlineLevel="0" collapsed="false">
      <c r="A14" s="1225"/>
      <c r="C14" s="1218" t="s">
        <v>1</v>
      </c>
      <c r="D14" s="1218" t="s">
        <v>1</v>
      </c>
    </row>
    <row r="15" customFormat="false" ht="12.75" hidden="false" customHeight="false" outlineLevel="0" collapsed="false">
      <c r="A15" s="1225"/>
    </row>
    <row r="16" customFormat="false" ht="12.75" hidden="false" customHeight="false" outlineLevel="0" collapsed="false">
      <c r="A16" s="1225"/>
    </row>
    <row r="17" customFormat="false" ht="12.75" hidden="false" customHeight="false" outlineLevel="0" collapsed="false">
      <c r="A17" s="1225"/>
    </row>
    <row r="18" customFormat="false" ht="12.75" hidden="false" customHeight="false" outlineLevel="0" collapsed="false">
      <c r="A18" s="1225"/>
    </row>
    <row r="19" customFormat="false" ht="12.75" hidden="false" customHeight="false" outlineLevel="0" collapsed="false">
      <c r="A19" s="1225"/>
    </row>
    <row r="20" customFormat="false" ht="12.75" hidden="false" customHeight="false" outlineLevel="0" collapsed="false">
      <c r="A20" s="1225"/>
    </row>
    <row r="21" customFormat="false" ht="12.75" hidden="false" customHeight="false" outlineLevel="0" collapsed="false">
      <c r="A21" s="1225"/>
    </row>
    <row r="22" customFormat="false" ht="12.75" hidden="false" customHeight="false" outlineLevel="0" collapsed="false">
      <c r="A22" s="1225"/>
    </row>
    <row r="23" customFormat="false" ht="12.75" hidden="false" customHeight="false" outlineLevel="0" collapsed="false">
      <c r="A23" s="1225"/>
    </row>
    <row r="24" customFormat="false" ht="12.75" hidden="false" customHeight="false" outlineLevel="0" collapsed="false">
      <c r="A24" s="1225"/>
    </row>
    <row r="25" customFormat="false" ht="12.75" hidden="false" customHeight="false" outlineLevel="0" collapsed="false">
      <c r="A25" s="1225"/>
    </row>
    <row r="26" customFormat="false" ht="12.75" hidden="false" customHeight="false" outlineLevel="0" collapsed="false">
      <c r="A26" s="1225"/>
    </row>
    <row r="27" customFormat="false" ht="12.75" hidden="false" customHeight="false" outlineLevel="0" collapsed="false">
      <c r="A27" s="1225"/>
    </row>
    <row r="28" customFormat="false" ht="12.75" hidden="false" customHeight="false" outlineLevel="0" collapsed="false">
      <c r="A28" s="1225"/>
    </row>
    <row r="29" customFormat="false" ht="12.75" hidden="false" customHeight="false" outlineLevel="0" collapsed="false">
      <c r="A29" s="1225"/>
    </row>
    <row r="30" customFormat="false" ht="12.75" hidden="false" customHeight="false" outlineLevel="0" collapsed="false">
      <c r="A30" s="1225"/>
    </row>
    <row r="31" customFormat="false" ht="12.75" hidden="false" customHeight="false" outlineLevel="0" collapsed="false">
      <c r="A31" s="1225"/>
    </row>
    <row r="32" customFormat="false" ht="12.75" hidden="false" customHeight="false" outlineLevel="0" collapsed="false">
      <c r="A32" s="1225"/>
    </row>
    <row r="33" customFormat="false" ht="12.75" hidden="false" customHeight="false" outlineLevel="0" collapsed="false">
      <c r="A33" s="1225"/>
    </row>
    <row r="34" customFormat="false" ht="12.75" hidden="false" customHeight="false" outlineLevel="0" collapsed="false">
      <c r="A34" s="1225"/>
    </row>
    <row r="35" customFormat="false" ht="12.75" hidden="false" customHeight="false" outlineLevel="0" collapsed="false">
      <c r="A35" s="1225"/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S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9.44"/>
    <col collapsed="false" customWidth="true" hidden="false" outlineLevel="0" max="3" min="2" style="0" width="9.55"/>
    <col collapsed="false" customWidth="true" hidden="true" outlineLevel="0" max="5" min="4" style="0" width="11.65"/>
    <col collapsed="false" customWidth="true" hidden="false" outlineLevel="0" max="7" min="6" style="0" width="11.65"/>
    <col collapsed="false" customWidth="true" hidden="false" outlineLevel="0" max="8" min="8" style="0" width="9.55"/>
    <col collapsed="false" customWidth="true" hidden="false" outlineLevel="0" max="9" min="9" style="0" width="11.65"/>
    <col collapsed="false" customWidth="true" hidden="true" outlineLevel="0" max="11" min="10" style="0" width="11.65"/>
    <col collapsed="false" customWidth="true" hidden="false" outlineLevel="0" max="13" min="12" style="0" width="11.65"/>
    <col collapsed="false" customWidth="false" hidden="true" outlineLevel="0" max="17" min="16" style="0" width="8.9"/>
  </cols>
  <sheetData>
    <row r="1" customFormat="false" ht="15" hidden="false" customHeight="false" outlineLevel="0" collapsed="false">
      <c r="A1" s="29" t="s">
        <v>826</v>
      </c>
      <c r="B1" s="108" t="n">
        <f aca="false">Weather_Input!A5</f>
        <v>37034</v>
      </c>
      <c r="C1" s="1227"/>
    </row>
    <row r="2" customFormat="false" ht="15" hidden="false" customHeight="false" outlineLevel="0" collapsed="false">
      <c r="A2" s="28" t="s">
        <v>827</v>
      </c>
      <c r="B2" s="1227"/>
      <c r="C2" s="1227"/>
    </row>
    <row r="3" customFormat="false" ht="15.75" hidden="false" customHeight="false" outlineLevel="0" collapsed="false">
      <c r="B3" s="1228" t="s">
        <v>85</v>
      </c>
      <c r="C3" s="1228"/>
      <c r="D3" s="1228"/>
      <c r="E3" s="1228"/>
      <c r="F3" s="1228"/>
      <c r="G3" s="1228"/>
      <c r="H3" s="1229" t="s">
        <v>86</v>
      </c>
      <c r="I3" s="1229"/>
      <c r="J3" s="1229"/>
      <c r="K3" s="1229"/>
      <c r="L3" s="1229"/>
      <c r="M3" s="1229"/>
      <c r="N3" s="975" t="s">
        <v>42</v>
      </c>
      <c r="O3" s="975"/>
      <c r="P3" s="975"/>
      <c r="Q3" s="975"/>
      <c r="R3" s="975"/>
      <c r="S3" s="975"/>
    </row>
    <row r="4" customFormat="false" ht="15" hidden="false" customHeight="false" outlineLevel="0" collapsed="false">
      <c r="B4" s="1230" t="s">
        <v>828</v>
      </c>
      <c r="C4" s="1230"/>
      <c r="D4" s="11" t="s">
        <v>730</v>
      </c>
      <c r="E4" s="11" t="s">
        <v>730</v>
      </c>
      <c r="F4" s="1231" t="s">
        <v>829</v>
      </c>
      <c r="G4" s="1231"/>
      <c r="H4" s="4" t="s">
        <v>828</v>
      </c>
      <c r="I4" s="4"/>
      <c r="J4" s="11" t="s">
        <v>730</v>
      </c>
      <c r="K4" s="11" t="s">
        <v>730</v>
      </c>
      <c r="L4" s="1231" t="s">
        <v>829</v>
      </c>
      <c r="M4" s="1231"/>
      <c r="N4" s="4" t="s">
        <v>828</v>
      </c>
      <c r="O4" s="4"/>
      <c r="P4" s="11" t="s">
        <v>730</v>
      </c>
      <c r="Q4" s="11" t="s">
        <v>730</v>
      </c>
      <c r="R4" s="4" t="s">
        <v>829</v>
      </c>
      <c r="S4" s="4"/>
    </row>
    <row r="5" customFormat="false" ht="15" hidden="false" customHeight="false" outlineLevel="0" collapsed="false">
      <c r="A5" s="926"/>
      <c r="B5" s="1232" t="s">
        <v>830</v>
      </c>
      <c r="C5" s="1233" t="s">
        <v>831</v>
      </c>
      <c r="D5" s="1234" t="s">
        <v>832</v>
      </c>
      <c r="E5" s="1234" t="s">
        <v>833</v>
      </c>
      <c r="F5" s="1234" t="s">
        <v>830</v>
      </c>
      <c r="G5" s="1235" t="s">
        <v>831</v>
      </c>
      <c r="H5" s="1234" t="s">
        <v>830</v>
      </c>
      <c r="I5" s="1234" t="s">
        <v>831</v>
      </c>
      <c r="J5" s="1234" t="s">
        <v>832</v>
      </c>
      <c r="K5" s="1234" t="s">
        <v>833</v>
      </c>
      <c r="L5" s="1234" t="s">
        <v>830</v>
      </c>
      <c r="M5" s="1235" t="s">
        <v>831</v>
      </c>
      <c r="N5" s="1234" t="s">
        <v>830</v>
      </c>
      <c r="O5" s="1234" t="s">
        <v>831</v>
      </c>
      <c r="P5" s="1234" t="s">
        <v>832</v>
      </c>
      <c r="Q5" s="1234" t="s">
        <v>833</v>
      </c>
      <c r="R5" s="1234" t="s">
        <v>830</v>
      </c>
      <c r="S5" s="1234" t="s">
        <v>831</v>
      </c>
    </row>
    <row r="6" customFormat="false" ht="15" hidden="false" customHeight="false" outlineLevel="0" collapsed="false">
      <c r="A6" s="1227" t="n">
        <f aca="false">B1-1</f>
        <v>37033</v>
      </c>
      <c r="B6" s="982" t="e">
        <f aca="false"/>
        <v>#REF!</v>
      </c>
      <c r="C6" s="1236" t="e">
        <f aca="false"/>
        <v>#REF!</v>
      </c>
      <c r="D6" s="1236" t="e">
        <f aca="false"/>
        <v>#REF!</v>
      </c>
      <c r="E6" s="1236" t="e">
        <f aca="false"/>
        <v>#REF!</v>
      </c>
      <c r="F6" s="1236" t="e">
        <f aca="false"/>
        <v>#REF!</v>
      </c>
      <c r="G6" s="1236" t="e">
        <f aca="false"/>
        <v>#REF!</v>
      </c>
      <c r="H6" s="1236" t="e">
        <f aca="false"/>
        <v>#REF!</v>
      </c>
      <c r="I6" s="1236" t="e">
        <f aca="false"/>
        <v>#REF!</v>
      </c>
      <c r="J6" s="1236" t="e">
        <f aca="false"/>
        <v>#REF!</v>
      </c>
      <c r="K6" s="1236" t="e">
        <f aca="false"/>
        <v>#REF!</v>
      </c>
      <c r="L6" s="1236" t="e">
        <f aca="false"/>
        <v>#REF!</v>
      </c>
      <c r="M6" s="1236" t="e">
        <f aca="false"/>
        <v>#REF!</v>
      </c>
      <c r="N6" s="1236" t="n">
        <v>189902</v>
      </c>
      <c r="O6" s="1236" t="n">
        <v>0</v>
      </c>
      <c r="P6" s="1236" t="n">
        <v>48590206</v>
      </c>
      <c r="Q6" s="1236" t="n">
        <v>15045098</v>
      </c>
      <c r="R6" s="1236" t="n">
        <v>33545108</v>
      </c>
      <c r="S6" s="1236" t="n">
        <v>0</v>
      </c>
    </row>
    <row r="7" customFormat="false" ht="15" hidden="false" customHeight="false" outlineLevel="0" collapsed="false">
      <c r="A7" s="1227" t="n">
        <f aca="false">B1</f>
        <v>37034</v>
      </c>
      <c r="B7" s="982" t="e">
        <f aca="false">IF((PGL_Deliveries!$W$5-(PGL_Supplies!$Z$7+PGL_Supplies!$U$7+PGL_Supplies!$R$7+PGL_Supplies!$S$7+NSG_Requirements!$S$7+NSG_Requirements!$T$7+NSG_Requirements!$V$7+NSG_Requirements!$W$7)+#REF!+PGL_Requirements!$U$7+PGL_Requirements!$V$7+PGL_Requirements!$W$7)&lt;0,(PGL_Supplies!$Z$7+PGL_Supplies!$U$7+PGL_Supplies!$R$7+NSG_Requirements!$S$7+PGL_Supplies!$C$7+NSG_Requirements!$T$7+NSG_Requirements!$V$7+NSG_Requirements!$W$7+#REF!+PGL_Requirements!$U$7+PGL_Requirements!$V$7+PGL_Requirements!$W$7-PGL_Deliveries!$W$5),0)</f>
        <v>#REF!</v>
      </c>
      <c r="C7" s="1237" t="e">
        <f aca="false">IF((PGL_Deliveries!$W$5-(PGL_Supplies!$Z$7+PGL_Supplies!$U$7+PGL_Supplies!$R$7+PGL_Supplies!$S$7+NSG_Requirements!$S$7+NSG_Requirements!$T$7+NSG_Requirements!$V$7+NSG_Requirements!$W$7)+#REF!+PGL_Requirements!$U$7+PGL_Requirements!$V$7+PGL_Requirements!$W$7)&lt;0,0,(PGL_Deliveries!$W$5-(PGL_Supplies!$Z$7+PGL_Supplies!$U$7+PGL_Supplies!$R$7+PGL_Supplies!$S$7+NSG_Requirements!$S$7+NSG_Requirements!$T$7+NSG_Requirements!$V$7+NSG_Requirements!$W$7)+#REF!+PGL_Requirements!$U$7+PGL_Requirements!$V$7+PGL_Requirements!$W$7))</f>
        <v>#REF!</v>
      </c>
      <c r="D7" s="0" t="e">
        <f aca="false">IF(B7&gt;0,D6+B7,B6)</f>
        <v>#REF!</v>
      </c>
      <c r="E7" s="0" t="e">
        <f aca="false">IF(C7&gt;0,E6+C7,E6)</f>
        <v>#REF!</v>
      </c>
      <c r="F7" s="0" t="e">
        <f aca="false">IF(D7&gt;E7,D7-E7,0)</f>
        <v>#REF!</v>
      </c>
      <c r="G7" s="430" t="e">
        <f aca="false">IF(E7&gt;D7,E7-D7,0)</f>
        <v>#REF!</v>
      </c>
      <c r="H7" s="0" t="e">
        <f aca="false">IF((PGL_Deliveries!$X$5-(PGL_Supplies!$V$7+#REF!+PGL_Supplies!$Q$7))&lt;0,(PGL_Supplies!$V$7+#REF!+PGL_Supplies!$Q$7-PGL_Deliveries!$X$5),0)</f>
        <v>#REF!</v>
      </c>
      <c r="I7" s="0" t="e">
        <f aca="false">IF((PGL_Deliveries!$X$5-(PGL_Supplies!$V$7+#REF!+PGL_Supplies!$Q$7))&lt;0,0,(PGL_Deliveries!$X$5-(PGL_Supplies!$V$7+#REF!+PGL_Supplies!$Q$7)))</f>
        <v>#REF!</v>
      </c>
      <c r="J7" s="0" t="e">
        <f aca="false">IF(H7&gt;0,J6+H7,H6)</f>
        <v>#REF!</v>
      </c>
      <c r="K7" s="0" t="e">
        <f aca="false">IF(I7&gt;0,K6+I7,K6)</f>
        <v>#REF!</v>
      </c>
      <c r="L7" s="0" t="e">
        <f aca="false">IF(J7&gt;K7,J7-K7,0)</f>
        <v>#REF!</v>
      </c>
      <c r="M7" s="430" t="e">
        <f aca="false">IF(K7&gt;J7,K7-J7,0)</f>
        <v>#REF!</v>
      </c>
      <c r="N7" s="0" t="n">
        <f aca="false">IF((PGL_Deliveries!AB5+PGL_Deliveries!AC5+PGL_Deliveries!AD5)-(PGL_Supplies!P7+PGL_Supplies!Y7+PGL_Supplies!AD7+PGL_Supplies!AE7)+(PGL_Requirements!N7+PGL_Requirements!T7)&lt;0,(PGL_Supplies!$P$7+PGL_Supplies!$Y$7+PGL_Supplies!$AD$7+PGL_Supplies!$AE$7)-(PGL_Requirements!N7+PGL_Requirements!T7)-(PGL_Deliveries!$AB$5+PGL_Deliveries!$AC$5+PGL_Deliveries!$AD$5),0)</f>
        <v>192202</v>
      </c>
      <c r="O7" s="0" t="n">
        <f aca="false">IF((PGL_Deliveries!$AB$5+PGL_Deliveries!$AC$5+PGL_Deliveries!$AD$5)-(PGL_Supplies!$P$7+PGL_Supplies!$Y$7+PGL_Supplies!$AD$7+PGL_Supplies!$AE$7)+PGL_Requirements!N7+PGL_Requirements!T7&lt;0,0,(PGL_Deliveries!$AB$5+PGL_Deliveries!$AC$5+PGL_Deliveries!$AD$5)-(PGL_Supplies!$P$7+PGL_Supplies!$Y$7+PGL_Supplies!$AD$7+PGL_Supplies!$AE$7)+(PGL_Requirements!N7+PGL_Requirements!T7))</f>
        <v>0</v>
      </c>
      <c r="P7" s="0" t="n">
        <f aca="false">IF(N7&gt;0,P6+N7,N6)</f>
        <v>48782408</v>
      </c>
      <c r="Q7" s="0" t="n">
        <f aca="false">IF(O7&gt;0,Q6+O7,Q6)</f>
        <v>15045098</v>
      </c>
      <c r="R7" s="0" t="n">
        <f aca="false">IF(P7&gt;Q7,P7-Q7,0)</f>
        <v>33737310</v>
      </c>
      <c r="S7" s="0" t="n">
        <f aca="false">IF(Q7&gt;P7,Q7-P7,0)</f>
        <v>0</v>
      </c>
    </row>
  </sheetData>
  <mergeCells count="9">
    <mergeCell ref="B3:G3"/>
    <mergeCell ref="H3:M3"/>
    <mergeCell ref="N3:S3"/>
    <mergeCell ref="B4:C4"/>
    <mergeCell ref="F4:G4"/>
    <mergeCell ref="H4:I4"/>
    <mergeCell ref="L4:M4"/>
    <mergeCell ref="N4:O4"/>
    <mergeCell ref="R4:S4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37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false" hidden="false" outlineLevel="0" max="1" min="1" style="1227" width="8.88"/>
    <col collapsed="false" customWidth="true" hidden="false" outlineLevel="0" max="2" min="2" style="0" width="11.99"/>
    <col collapsed="false" customWidth="true" hidden="false" outlineLevel="0" max="3" min="3" style="0" width="10.88"/>
    <col collapsed="false" customWidth="true" hidden="false" outlineLevel="0" max="4" min="4" style="0" width="11.65"/>
  </cols>
  <sheetData>
    <row r="1" customFormat="false" ht="15" hidden="false" customHeight="false" outlineLevel="0" collapsed="false">
      <c r="B1" s="36" t="s">
        <v>834</v>
      </c>
      <c r="C1" s="36" t="s">
        <v>835</v>
      </c>
      <c r="D1" s="1238" t="s">
        <v>836</v>
      </c>
    </row>
    <row r="2" customFormat="false" ht="15" hidden="false" customHeight="false" outlineLevel="0" collapsed="false">
      <c r="B2" s="36" t="s">
        <v>837</v>
      </c>
      <c r="C2" s="36" t="s">
        <v>21</v>
      </c>
      <c r="D2" s="1238" t="s">
        <v>21</v>
      </c>
    </row>
    <row r="3" customFormat="false" ht="15" hidden="false" customHeight="false" outlineLevel="0" collapsed="false">
      <c r="A3" s="1227" t="n">
        <v>36739</v>
      </c>
      <c r="B3" s="0" t="n">
        <v>0</v>
      </c>
      <c r="C3" s="0" t="n">
        <f aca="false">B3</f>
        <v>0</v>
      </c>
      <c r="D3" s="0" t="n">
        <f aca="false">B3</f>
        <v>0</v>
      </c>
    </row>
    <row r="4" customFormat="false" ht="15" hidden="false" customHeight="false" outlineLevel="0" collapsed="false">
      <c r="A4" s="1227" t="n">
        <f aca="false">A3+1</f>
        <v>36740</v>
      </c>
      <c r="B4" s="0" t="n">
        <v>0</v>
      </c>
      <c r="C4" s="0" t="n">
        <f aca="false">IF(DAY(A4)=1,B4,C3+B4)</f>
        <v>0</v>
      </c>
      <c r="D4" s="0" t="n">
        <f aca="false">B4+D3</f>
        <v>0</v>
      </c>
    </row>
    <row r="5" customFormat="false" ht="15" hidden="false" customHeight="false" outlineLevel="0" collapsed="false">
      <c r="A5" s="1227" t="n">
        <f aca="false">A4+1</f>
        <v>36741</v>
      </c>
      <c r="B5" s="0" t="n">
        <v>0</v>
      </c>
      <c r="C5" s="0" t="n">
        <f aca="false">IF(DAY(A5)=1,B5,C4+B5)</f>
        <v>0</v>
      </c>
      <c r="D5" s="0" t="n">
        <f aca="false">B5+D4</f>
        <v>0</v>
      </c>
    </row>
    <row r="6" customFormat="false" ht="15" hidden="false" customHeight="false" outlineLevel="0" collapsed="false">
      <c r="A6" s="1227" t="n">
        <f aca="false">A5+1</f>
        <v>36742</v>
      </c>
      <c r="B6" s="0" t="n">
        <v>0</v>
      </c>
      <c r="C6" s="0" t="n">
        <f aca="false">IF(DAY(A6)=1,B6,C5+B6)</f>
        <v>0</v>
      </c>
      <c r="D6" s="0" t="n">
        <f aca="false">B6+D5</f>
        <v>0</v>
      </c>
    </row>
    <row r="7" customFormat="false" ht="15" hidden="false" customHeight="false" outlineLevel="0" collapsed="false">
      <c r="A7" s="1227" t="n">
        <f aca="false">A6+1</f>
        <v>36743</v>
      </c>
      <c r="B7" s="0" t="n">
        <v>0</v>
      </c>
      <c r="C7" s="0" t="n">
        <f aca="false">IF(DAY(A7)=1,B7,C6+B7)</f>
        <v>0</v>
      </c>
      <c r="D7" s="0" t="n">
        <f aca="false">B7+D6</f>
        <v>0</v>
      </c>
    </row>
    <row r="8" customFormat="false" ht="15" hidden="false" customHeight="false" outlineLevel="0" collapsed="false">
      <c r="A8" s="1227" t="n">
        <f aca="false">A7+1</f>
        <v>36744</v>
      </c>
      <c r="B8" s="0" t="n">
        <v>0</v>
      </c>
      <c r="C8" s="0" t="n">
        <f aca="false">IF(DAY(A8)=1,B8,C7+B8)</f>
        <v>0</v>
      </c>
      <c r="D8" s="0" t="n">
        <f aca="false">B8+D7</f>
        <v>0</v>
      </c>
    </row>
    <row r="9" customFormat="false" ht="15" hidden="false" customHeight="false" outlineLevel="0" collapsed="false">
      <c r="A9" s="1227" t="n">
        <f aca="false">A8+1</f>
        <v>36745</v>
      </c>
      <c r="B9" s="0" t="n">
        <v>0</v>
      </c>
      <c r="C9" s="0" t="n">
        <f aca="false">IF(DAY(A9)=1,B9,C8+B9)</f>
        <v>0</v>
      </c>
      <c r="D9" s="0" t="n">
        <f aca="false">B9+D8</f>
        <v>0</v>
      </c>
    </row>
    <row r="10" customFormat="false" ht="15" hidden="false" customHeight="false" outlineLevel="0" collapsed="false">
      <c r="A10" s="1227" t="n">
        <f aca="false">A9+1</f>
        <v>36746</v>
      </c>
      <c r="B10" s="0" t="n">
        <v>0</v>
      </c>
      <c r="C10" s="0" t="n">
        <f aca="false">IF(DAY(A10)=1,B10,C9+B10)</f>
        <v>0</v>
      </c>
      <c r="D10" s="0" t="n">
        <f aca="false">B10+D9</f>
        <v>0</v>
      </c>
    </row>
    <row r="11" customFormat="false" ht="15" hidden="false" customHeight="false" outlineLevel="0" collapsed="false">
      <c r="A11" s="1227" t="n">
        <f aca="false">A10+1</f>
        <v>36747</v>
      </c>
      <c r="B11" s="0" t="n">
        <v>0</v>
      </c>
      <c r="C11" s="0" t="n">
        <f aca="false">IF(DAY(A11)=1,B11,C10+B11)</f>
        <v>0</v>
      </c>
      <c r="D11" s="0" t="n">
        <f aca="false">B11+D10</f>
        <v>0</v>
      </c>
    </row>
    <row r="12" customFormat="false" ht="15" hidden="false" customHeight="false" outlineLevel="0" collapsed="false">
      <c r="A12" s="1227" t="n">
        <f aca="false">A11+1</f>
        <v>36748</v>
      </c>
      <c r="B12" s="0" t="n">
        <v>0</v>
      </c>
      <c r="C12" s="0" t="n">
        <f aca="false">IF(DAY(A12)=1,B12,C11+B12)</f>
        <v>0</v>
      </c>
      <c r="D12" s="0" t="n">
        <f aca="false">B12+D11</f>
        <v>0</v>
      </c>
    </row>
    <row r="13" customFormat="false" ht="15" hidden="false" customHeight="false" outlineLevel="0" collapsed="false">
      <c r="A13" s="1227" t="n">
        <f aca="false">A12+1</f>
        <v>36749</v>
      </c>
      <c r="B13" s="0" t="n">
        <v>0</v>
      </c>
      <c r="C13" s="0" t="n">
        <f aca="false">IF(DAY(A13)=1,B13,C12+B13)</f>
        <v>0</v>
      </c>
      <c r="D13" s="0" t="n">
        <f aca="false">B13+D12</f>
        <v>0</v>
      </c>
    </row>
    <row r="14" customFormat="false" ht="15" hidden="false" customHeight="false" outlineLevel="0" collapsed="false">
      <c r="A14" s="1227" t="n">
        <f aca="false">A13+1</f>
        <v>36750</v>
      </c>
      <c r="B14" s="0" t="n">
        <v>0</v>
      </c>
      <c r="C14" s="0" t="n">
        <f aca="false">IF(DAY(A14)=1,B14,C13+B14)</f>
        <v>0</v>
      </c>
      <c r="D14" s="0" t="n">
        <f aca="false">B14+D13</f>
        <v>0</v>
      </c>
    </row>
    <row r="15" customFormat="false" ht="15" hidden="false" customHeight="false" outlineLevel="0" collapsed="false">
      <c r="A15" s="1227" t="n">
        <f aca="false">A14+1</f>
        <v>36751</v>
      </c>
      <c r="B15" s="0" t="n">
        <v>0</v>
      </c>
      <c r="C15" s="0" t="n">
        <f aca="false">IF(DAY(A15)=1,B15,C14+B15)</f>
        <v>0</v>
      </c>
      <c r="D15" s="0" t="n">
        <f aca="false">B15+D14</f>
        <v>0</v>
      </c>
    </row>
    <row r="16" customFormat="false" ht="15" hidden="false" customHeight="false" outlineLevel="0" collapsed="false">
      <c r="A16" s="1227" t="n">
        <f aca="false">A15+1</f>
        <v>36752</v>
      </c>
      <c r="B16" s="0" t="n">
        <v>0</v>
      </c>
      <c r="C16" s="0" t="n">
        <f aca="false">IF(DAY(A16)=1,B16,C15+B16)</f>
        <v>0</v>
      </c>
      <c r="D16" s="0" t="n">
        <f aca="false">B16+D15</f>
        <v>0</v>
      </c>
    </row>
    <row r="17" customFormat="false" ht="15" hidden="false" customHeight="false" outlineLevel="0" collapsed="false">
      <c r="A17" s="1227" t="n">
        <f aca="false">A16+1</f>
        <v>36753</v>
      </c>
      <c r="B17" s="0" t="n">
        <v>0</v>
      </c>
      <c r="C17" s="0" t="n">
        <f aca="false">IF(DAY(A17)=1,B17,C16+B17)</f>
        <v>0</v>
      </c>
      <c r="D17" s="0" t="n">
        <f aca="false">B17+D16</f>
        <v>0</v>
      </c>
    </row>
    <row r="18" customFormat="false" ht="15" hidden="false" customHeight="false" outlineLevel="0" collapsed="false">
      <c r="A18" s="1227" t="n">
        <f aca="false">A17+1</f>
        <v>36754</v>
      </c>
      <c r="B18" s="0" t="n">
        <v>0</v>
      </c>
      <c r="C18" s="0" t="n">
        <f aca="false">IF(DAY(A18)=1,B18,C17+B18)</f>
        <v>0</v>
      </c>
      <c r="D18" s="0" t="n">
        <f aca="false">B18+D17</f>
        <v>0</v>
      </c>
    </row>
    <row r="19" customFormat="false" ht="15" hidden="false" customHeight="false" outlineLevel="0" collapsed="false">
      <c r="A19" s="1227" t="n">
        <f aca="false">A18+1</f>
        <v>36755</v>
      </c>
      <c r="B19" s="0" t="n">
        <v>0</v>
      </c>
      <c r="C19" s="0" t="n">
        <f aca="false">IF(DAY(A19)=1,B19,C18+B19)</f>
        <v>0</v>
      </c>
      <c r="D19" s="0" t="n">
        <f aca="false">B19+D18</f>
        <v>0</v>
      </c>
    </row>
    <row r="20" customFormat="false" ht="15" hidden="false" customHeight="false" outlineLevel="0" collapsed="false">
      <c r="A20" s="1227" t="n">
        <f aca="false">A19+1</f>
        <v>36756</v>
      </c>
      <c r="B20" s="0" t="n">
        <v>0</v>
      </c>
      <c r="C20" s="0" t="n">
        <f aca="false">IF(DAY(A20)=1,B20,C19+B20)</f>
        <v>0</v>
      </c>
      <c r="D20" s="0" t="n">
        <f aca="false">B20+D19</f>
        <v>0</v>
      </c>
    </row>
    <row r="21" customFormat="false" ht="15" hidden="false" customHeight="false" outlineLevel="0" collapsed="false">
      <c r="A21" s="1227" t="n">
        <f aca="false">A20+1</f>
        <v>36757</v>
      </c>
      <c r="B21" s="0" t="n">
        <v>0</v>
      </c>
      <c r="C21" s="0" t="n">
        <f aca="false">IF(DAY(A21)=1,B21,C20+B21)</f>
        <v>0</v>
      </c>
      <c r="D21" s="0" t="n">
        <f aca="false">B21+D20</f>
        <v>0</v>
      </c>
    </row>
    <row r="22" customFormat="false" ht="15" hidden="false" customHeight="false" outlineLevel="0" collapsed="false">
      <c r="A22" s="1227" t="n">
        <f aca="false">A21+1</f>
        <v>36758</v>
      </c>
      <c r="B22" s="0" t="n">
        <v>0</v>
      </c>
      <c r="C22" s="0" t="n">
        <f aca="false">IF(DAY(A22)=1,B22,C21+B22)</f>
        <v>0</v>
      </c>
      <c r="D22" s="0" t="n">
        <f aca="false">B22+D21</f>
        <v>0</v>
      </c>
    </row>
    <row r="23" customFormat="false" ht="15" hidden="false" customHeight="false" outlineLevel="0" collapsed="false">
      <c r="A23" s="1227" t="n">
        <f aca="false">A22+1</f>
        <v>36759</v>
      </c>
      <c r="B23" s="0" t="n">
        <v>0</v>
      </c>
      <c r="C23" s="0" t="n">
        <f aca="false">IF(DAY(A23)=1,B23,C22+B23)</f>
        <v>0</v>
      </c>
      <c r="D23" s="0" t="n">
        <f aca="false">B23+D22</f>
        <v>0</v>
      </c>
    </row>
    <row r="24" customFormat="false" ht="15" hidden="false" customHeight="false" outlineLevel="0" collapsed="false">
      <c r="A24" s="1227" t="n">
        <f aca="false">A23+1</f>
        <v>36760</v>
      </c>
      <c r="B24" s="0" t="n">
        <v>0</v>
      </c>
      <c r="C24" s="0" t="n">
        <f aca="false">IF(DAY(A24)=1,B24,C23+B24)</f>
        <v>0</v>
      </c>
      <c r="D24" s="0" t="n">
        <f aca="false">B24+D23</f>
        <v>0</v>
      </c>
    </row>
    <row r="25" customFormat="false" ht="15" hidden="false" customHeight="false" outlineLevel="0" collapsed="false">
      <c r="A25" s="1227" t="n">
        <f aca="false">A24+1</f>
        <v>36761</v>
      </c>
      <c r="B25" s="0" t="n">
        <v>0</v>
      </c>
      <c r="C25" s="0" t="n">
        <f aca="false">IF(DAY(A25)=1,B25,C24+B25)</f>
        <v>0</v>
      </c>
      <c r="D25" s="0" t="n">
        <f aca="false">B25+D24</f>
        <v>0</v>
      </c>
    </row>
    <row r="26" customFormat="false" ht="15" hidden="false" customHeight="false" outlineLevel="0" collapsed="false">
      <c r="A26" s="1227" t="n">
        <f aca="false">A25+1</f>
        <v>36762</v>
      </c>
      <c r="B26" s="0" t="n">
        <v>1</v>
      </c>
      <c r="C26" s="0" t="n">
        <f aca="false">IF(DAY(A26)=1,B26,C25+B26)</f>
        <v>1</v>
      </c>
      <c r="D26" s="0" t="n">
        <f aca="false">B26+D25</f>
        <v>1</v>
      </c>
    </row>
    <row r="27" customFormat="false" ht="15" hidden="false" customHeight="false" outlineLevel="0" collapsed="false">
      <c r="A27" s="1227" t="n">
        <f aca="false">A26+1</f>
        <v>36763</v>
      </c>
      <c r="B27" s="0" t="n">
        <v>1</v>
      </c>
      <c r="C27" s="0" t="n">
        <f aca="false">IF(DAY(A27)=1,B27,C26+B27)</f>
        <v>2</v>
      </c>
      <c r="D27" s="0" t="n">
        <f aca="false">B27+D26</f>
        <v>2</v>
      </c>
    </row>
    <row r="28" customFormat="false" ht="15" hidden="false" customHeight="false" outlineLevel="0" collapsed="false">
      <c r="A28" s="1227" t="n">
        <f aca="false">A27+1</f>
        <v>36764</v>
      </c>
      <c r="B28" s="0" t="n">
        <v>1</v>
      </c>
      <c r="C28" s="0" t="n">
        <f aca="false">IF(DAY(A28)=1,B28,C27+B28)</f>
        <v>3</v>
      </c>
      <c r="D28" s="0" t="n">
        <f aca="false">B28+D27</f>
        <v>3</v>
      </c>
    </row>
    <row r="29" customFormat="false" ht="15" hidden="false" customHeight="false" outlineLevel="0" collapsed="false">
      <c r="A29" s="1227" t="n">
        <f aca="false">A28+1</f>
        <v>36765</v>
      </c>
      <c r="B29" s="0" t="n">
        <v>1</v>
      </c>
      <c r="C29" s="0" t="n">
        <f aca="false">IF(DAY(A29)=1,B29,C28+B29)</f>
        <v>4</v>
      </c>
      <c r="D29" s="0" t="n">
        <f aca="false">B29+D28</f>
        <v>4</v>
      </c>
    </row>
    <row r="30" customFormat="false" ht="15" hidden="false" customHeight="false" outlineLevel="0" collapsed="false">
      <c r="A30" s="1227" t="n">
        <f aca="false">A29+1</f>
        <v>36766</v>
      </c>
      <c r="B30" s="0" t="n">
        <v>1</v>
      </c>
      <c r="C30" s="0" t="n">
        <f aca="false">IF(DAY(A30)=1,B30,C29+B30)</f>
        <v>5</v>
      </c>
      <c r="D30" s="0" t="n">
        <f aca="false">B30+D29</f>
        <v>5</v>
      </c>
    </row>
    <row r="31" customFormat="false" ht="15" hidden="false" customHeight="false" outlineLevel="0" collapsed="false">
      <c r="A31" s="1227" t="n">
        <f aca="false">A30+1</f>
        <v>36767</v>
      </c>
      <c r="B31" s="0" t="n">
        <v>1</v>
      </c>
      <c r="C31" s="0" t="n">
        <f aca="false">IF(DAY(A31)=1,B31,C30+B31)</f>
        <v>6</v>
      </c>
      <c r="D31" s="0" t="n">
        <f aca="false">B31+D30</f>
        <v>6</v>
      </c>
    </row>
    <row r="32" customFormat="false" ht="15" hidden="false" customHeight="false" outlineLevel="0" collapsed="false">
      <c r="A32" s="1227" t="n">
        <f aca="false">A31+1</f>
        <v>36768</v>
      </c>
      <c r="B32" s="0" t="n">
        <v>1</v>
      </c>
      <c r="C32" s="0" t="n">
        <f aca="false">IF(DAY(A32)=1,B32,C31+B32)</f>
        <v>7</v>
      </c>
      <c r="D32" s="0" t="n">
        <f aca="false">B32+D31</f>
        <v>7</v>
      </c>
    </row>
    <row r="33" customFormat="false" ht="15" hidden="false" customHeight="false" outlineLevel="0" collapsed="false">
      <c r="A33" s="1227" t="n">
        <f aca="false">A32+1</f>
        <v>36769</v>
      </c>
      <c r="B33" s="0" t="n">
        <v>1</v>
      </c>
      <c r="C33" s="0" t="n">
        <f aca="false">IF(DAY(A33)=1,B33,C32+B33)</f>
        <v>8</v>
      </c>
      <c r="D33" s="0" t="n">
        <f aca="false">B33+D32</f>
        <v>8</v>
      </c>
    </row>
    <row r="34" customFormat="false" ht="15" hidden="false" customHeight="false" outlineLevel="0" collapsed="false">
      <c r="A34" s="1227" t="n">
        <f aca="false">A33+1</f>
        <v>36770</v>
      </c>
      <c r="B34" s="0" t="n">
        <v>1</v>
      </c>
      <c r="C34" s="0" t="n">
        <f aca="false">IF(DAY(A34)=1,B34,C33+B34)</f>
        <v>1</v>
      </c>
      <c r="D34" s="0" t="n">
        <f aca="false">B34+D33</f>
        <v>9</v>
      </c>
    </row>
    <row r="35" customFormat="false" ht="15" hidden="false" customHeight="false" outlineLevel="0" collapsed="false">
      <c r="A35" s="1227" t="n">
        <f aca="false">A34+1</f>
        <v>36771</v>
      </c>
      <c r="B35" s="0" t="n">
        <v>1</v>
      </c>
      <c r="C35" s="0" t="n">
        <f aca="false">IF(DAY(A35)=1,B35,C34+B35)</f>
        <v>2</v>
      </c>
      <c r="D35" s="0" t="n">
        <f aca="false">B35+D34</f>
        <v>10</v>
      </c>
    </row>
    <row r="36" customFormat="false" ht="15" hidden="false" customHeight="false" outlineLevel="0" collapsed="false">
      <c r="A36" s="1227" t="n">
        <f aca="false">A35+1</f>
        <v>36772</v>
      </c>
      <c r="B36" s="0" t="n">
        <v>1</v>
      </c>
      <c r="C36" s="0" t="n">
        <f aca="false">IF(DAY(A36)=1,B36,C35+B36)</f>
        <v>3</v>
      </c>
      <c r="D36" s="0" t="n">
        <f aca="false">B36+D35</f>
        <v>11</v>
      </c>
    </row>
    <row r="37" customFormat="false" ht="15" hidden="false" customHeight="false" outlineLevel="0" collapsed="false">
      <c r="A37" s="1227" t="n">
        <f aca="false">A36+1</f>
        <v>36773</v>
      </c>
      <c r="B37" s="0" t="n">
        <v>1</v>
      </c>
      <c r="C37" s="0" t="n">
        <f aca="false">IF(DAY(A37)=1,B37,C36+B37)</f>
        <v>4</v>
      </c>
      <c r="D37" s="0" t="n">
        <f aca="false">B37+D36</f>
        <v>12</v>
      </c>
    </row>
    <row r="38" customFormat="false" ht="15" hidden="false" customHeight="false" outlineLevel="0" collapsed="false">
      <c r="A38" s="1227" t="n">
        <f aca="false">A37+1</f>
        <v>36774</v>
      </c>
      <c r="B38" s="0" t="n">
        <v>1</v>
      </c>
      <c r="C38" s="0" t="n">
        <f aca="false">IF(DAY(A38)=1,B38,C37+B38)</f>
        <v>5</v>
      </c>
      <c r="D38" s="0" t="n">
        <f aca="false">B38+D37</f>
        <v>13</v>
      </c>
    </row>
    <row r="39" customFormat="false" ht="15" hidden="false" customHeight="false" outlineLevel="0" collapsed="false">
      <c r="A39" s="1227" t="n">
        <f aca="false">A38+1</f>
        <v>36775</v>
      </c>
      <c r="B39" s="0" t="n">
        <v>1</v>
      </c>
      <c r="C39" s="0" t="n">
        <f aca="false">IF(DAY(A39)=1,B39,C38+B39)</f>
        <v>6</v>
      </c>
      <c r="D39" s="0" t="n">
        <f aca="false">B39+D38</f>
        <v>14</v>
      </c>
    </row>
    <row r="40" customFormat="false" ht="15" hidden="false" customHeight="false" outlineLevel="0" collapsed="false">
      <c r="A40" s="1227" t="n">
        <f aca="false">A39+1</f>
        <v>36776</v>
      </c>
      <c r="B40" s="0" t="n">
        <v>2</v>
      </c>
      <c r="C40" s="0" t="n">
        <f aca="false">IF(DAY(A40)=1,B40,C39+B40)</f>
        <v>8</v>
      </c>
      <c r="D40" s="0" t="n">
        <f aca="false">B40+D39</f>
        <v>16</v>
      </c>
    </row>
    <row r="41" customFormat="false" ht="15" hidden="false" customHeight="false" outlineLevel="0" collapsed="false">
      <c r="A41" s="1227" t="n">
        <f aca="false">A40+1</f>
        <v>36777</v>
      </c>
      <c r="B41" s="0" t="n">
        <v>2</v>
      </c>
      <c r="C41" s="0" t="n">
        <f aca="false">IF(DAY(A41)=1,B41,C40+B41)</f>
        <v>10</v>
      </c>
      <c r="D41" s="0" t="n">
        <f aca="false">B41+D40</f>
        <v>18</v>
      </c>
    </row>
    <row r="42" customFormat="false" ht="15" hidden="false" customHeight="false" outlineLevel="0" collapsed="false">
      <c r="A42" s="1227" t="n">
        <f aca="false">A41+1</f>
        <v>36778</v>
      </c>
      <c r="B42" s="0" t="n">
        <v>2</v>
      </c>
      <c r="C42" s="0" t="n">
        <f aca="false">IF(DAY(A42)=1,B42,C41+B42)</f>
        <v>12</v>
      </c>
      <c r="D42" s="0" t="n">
        <f aca="false">B42+D41</f>
        <v>20</v>
      </c>
    </row>
    <row r="43" customFormat="false" ht="15" hidden="false" customHeight="false" outlineLevel="0" collapsed="false">
      <c r="A43" s="1227" t="n">
        <f aca="false">A42+1</f>
        <v>36779</v>
      </c>
      <c r="B43" s="0" t="n">
        <v>3</v>
      </c>
      <c r="C43" s="0" t="n">
        <f aca="false">IF(DAY(A43)=1,B43,C42+B43)</f>
        <v>15</v>
      </c>
      <c r="D43" s="0" t="n">
        <f aca="false">B43+D42</f>
        <v>23</v>
      </c>
    </row>
    <row r="44" customFormat="false" ht="15" hidden="false" customHeight="false" outlineLevel="0" collapsed="false">
      <c r="A44" s="1227" t="n">
        <f aca="false">A43+1</f>
        <v>36780</v>
      </c>
      <c r="B44" s="0" t="n">
        <v>3</v>
      </c>
      <c r="C44" s="0" t="n">
        <f aca="false">IF(DAY(A44)=1,B44,C43+B44)</f>
        <v>18</v>
      </c>
      <c r="D44" s="0" t="n">
        <f aca="false">B44+D43</f>
        <v>26</v>
      </c>
    </row>
    <row r="45" customFormat="false" ht="15" hidden="false" customHeight="false" outlineLevel="0" collapsed="false">
      <c r="A45" s="1227" t="n">
        <f aca="false">A44+1</f>
        <v>36781</v>
      </c>
      <c r="B45" s="0" t="n">
        <v>3</v>
      </c>
      <c r="C45" s="0" t="n">
        <f aca="false">IF(DAY(A45)=1,B45,C44+B45)</f>
        <v>21</v>
      </c>
      <c r="D45" s="0" t="n">
        <f aca="false">B45+D44</f>
        <v>29</v>
      </c>
    </row>
    <row r="46" customFormat="false" ht="15" hidden="false" customHeight="false" outlineLevel="0" collapsed="false">
      <c r="A46" s="1227" t="n">
        <f aca="false">A45+1</f>
        <v>36782</v>
      </c>
      <c r="B46" s="0" t="n">
        <v>3</v>
      </c>
      <c r="C46" s="0" t="n">
        <f aca="false">IF(DAY(A46)=1,B46,C45+B46)</f>
        <v>24</v>
      </c>
      <c r="D46" s="0" t="n">
        <f aca="false">B46+D45</f>
        <v>32</v>
      </c>
    </row>
    <row r="47" customFormat="false" ht="15" hidden="false" customHeight="false" outlineLevel="0" collapsed="false">
      <c r="A47" s="1227" t="n">
        <f aca="false">A46+1</f>
        <v>36783</v>
      </c>
      <c r="B47" s="0" t="n">
        <v>3</v>
      </c>
      <c r="C47" s="0" t="n">
        <f aca="false">IF(DAY(A47)=1,B47,C46+B47)</f>
        <v>27</v>
      </c>
      <c r="D47" s="0" t="n">
        <f aca="false">B47+D46</f>
        <v>35</v>
      </c>
    </row>
    <row r="48" customFormat="false" ht="15" hidden="false" customHeight="false" outlineLevel="0" collapsed="false">
      <c r="A48" s="1227" t="n">
        <f aca="false">A47+1</f>
        <v>36784</v>
      </c>
      <c r="B48" s="0" t="n">
        <v>3</v>
      </c>
      <c r="C48" s="0" t="n">
        <f aca="false">IF(DAY(A48)=1,B48,C47+B48)</f>
        <v>30</v>
      </c>
      <c r="D48" s="0" t="n">
        <f aca="false">B48+D47</f>
        <v>38</v>
      </c>
    </row>
    <row r="49" customFormat="false" ht="15" hidden="false" customHeight="false" outlineLevel="0" collapsed="false">
      <c r="A49" s="1227" t="n">
        <f aca="false">A48+1</f>
        <v>36785</v>
      </c>
      <c r="B49" s="0" t="n">
        <v>3</v>
      </c>
      <c r="C49" s="0" t="n">
        <f aca="false">IF(DAY(A49)=1,B49,C48+B49)</f>
        <v>33</v>
      </c>
      <c r="D49" s="0" t="n">
        <f aca="false">B49+D48</f>
        <v>41</v>
      </c>
    </row>
    <row r="50" customFormat="false" ht="15" hidden="false" customHeight="false" outlineLevel="0" collapsed="false">
      <c r="A50" s="1227" t="n">
        <f aca="false">A49+1</f>
        <v>36786</v>
      </c>
      <c r="B50" s="0" t="n">
        <v>4</v>
      </c>
      <c r="C50" s="0" t="n">
        <f aca="false">IF(DAY(A50)=1,B50,C49+B50)</f>
        <v>37</v>
      </c>
      <c r="D50" s="0" t="n">
        <f aca="false">B50+D49</f>
        <v>45</v>
      </c>
    </row>
    <row r="51" customFormat="false" ht="15" hidden="false" customHeight="false" outlineLevel="0" collapsed="false">
      <c r="A51" s="1227" t="n">
        <f aca="false">A50+1</f>
        <v>36787</v>
      </c>
      <c r="B51" s="0" t="n">
        <v>4</v>
      </c>
      <c r="C51" s="0" t="n">
        <f aca="false">IF(DAY(A51)=1,B51,C50+B51)</f>
        <v>41</v>
      </c>
      <c r="D51" s="0" t="n">
        <f aca="false">B51+D50</f>
        <v>49</v>
      </c>
    </row>
    <row r="52" customFormat="false" ht="15" hidden="false" customHeight="false" outlineLevel="0" collapsed="false">
      <c r="A52" s="1227" t="n">
        <f aca="false">A51+1</f>
        <v>36788</v>
      </c>
      <c r="B52" s="0" t="n">
        <v>4</v>
      </c>
      <c r="C52" s="0" t="n">
        <f aca="false">IF(DAY(A52)=1,B52,C51+B52)</f>
        <v>45</v>
      </c>
      <c r="D52" s="0" t="n">
        <f aca="false">B52+D51</f>
        <v>53</v>
      </c>
    </row>
    <row r="53" customFormat="false" ht="15" hidden="false" customHeight="false" outlineLevel="0" collapsed="false">
      <c r="A53" s="1227" t="n">
        <f aca="false">A52+1</f>
        <v>36789</v>
      </c>
      <c r="B53" s="0" t="n">
        <v>4</v>
      </c>
      <c r="C53" s="0" t="n">
        <f aca="false">IF(DAY(A53)=1,B53,C52+B53)</f>
        <v>49</v>
      </c>
      <c r="D53" s="0" t="n">
        <f aca="false">B53+D52</f>
        <v>57</v>
      </c>
    </row>
    <row r="54" customFormat="false" ht="15" hidden="false" customHeight="false" outlineLevel="0" collapsed="false">
      <c r="A54" s="1227" t="n">
        <f aca="false">A53+1</f>
        <v>36790</v>
      </c>
      <c r="B54" s="0" t="n">
        <v>4</v>
      </c>
      <c r="C54" s="0" t="n">
        <f aca="false">IF(DAY(A54)=1,B54,C53+B54)</f>
        <v>53</v>
      </c>
      <c r="D54" s="0" t="n">
        <f aca="false">B54+D53</f>
        <v>61</v>
      </c>
    </row>
    <row r="55" customFormat="false" ht="15" hidden="false" customHeight="false" outlineLevel="0" collapsed="false">
      <c r="A55" s="1227" t="n">
        <f aca="false">A54+1</f>
        <v>36791</v>
      </c>
      <c r="B55" s="0" t="n">
        <v>5</v>
      </c>
      <c r="C55" s="0" t="n">
        <f aca="false">IF(DAY(A55)=1,B55,C54+B55)</f>
        <v>58</v>
      </c>
      <c r="D55" s="0" t="n">
        <f aca="false">B55+D54</f>
        <v>66</v>
      </c>
    </row>
    <row r="56" customFormat="false" ht="15" hidden="false" customHeight="false" outlineLevel="0" collapsed="false">
      <c r="A56" s="1227" t="n">
        <f aca="false">A55+1</f>
        <v>36792</v>
      </c>
      <c r="B56" s="0" t="n">
        <v>5</v>
      </c>
      <c r="C56" s="0" t="n">
        <f aca="false">IF(DAY(A56)=1,B56,C55+B56)</f>
        <v>63</v>
      </c>
      <c r="D56" s="0" t="n">
        <f aca="false">B56+D55</f>
        <v>71</v>
      </c>
    </row>
    <row r="57" customFormat="false" ht="15" hidden="false" customHeight="false" outlineLevel="0" collapsed="false">
      <c r="A57" s="1227" t="n">
        <f aca="false">A56+1</f>
        <v>36793</v>
      </c>
      <c r="B57" s="0" t="n">
        <v>5</v>
      </c>
      <c r="C57" s="0" t="n">
        <f aca="false">IF(DAY(A57)=1,B57,C56+B57)</f>
        <v>68</v>
      </c>
      <c r="D57" s="0" t="n">
        <f aca="false">B57+D56</f>
        <v>76</v>
      </c>
    </row>
    <row r="58" customFormat="false" ht="15" hidden="false" customHeight="false" outlineLevel="0" collapsed="false">
      <c r="A58" s="1227" t="n">
        <f aca="false">A57+1</f>
        <v>36794</v>
      </c>
      <c r="B58" s="0" t="n">
        <v>6</v>
      </c>
      <c r="C58" s="0" t="n">
        <f aca="false">IF(DAY(A58)=1,B58,C57+B58)</f>
        <v>74</v>
      </c>
      <c r="D58" s="0" t="n">
        <f aca="false">B58+D57</f>
        <v>82</v>
      </c>
    </row>
    <row r="59" customFormat="false" ht="15" hidden="false" customHeight="false" outlineLevel="0" collapsed="false">
      <c r="A59" s="1227" t="n">
        <f aca="false">A58+1</f>
        <v>36795</v>
      </c>
      <c r="B59" s="0" t="n">
        <v>6</v>
      </c>
      <c r="C59" s="0" t="n">
        <f aca="false">IF(DAY(A59)=1,B59,C58+B59)</f>
        <v>80</v>
      </c>
      <c r="D59" s="0" t="n">
        <f aca="false">B59+D58</f>
        <v>88</v>
      </c>
    </row>
    <row r="60" customFormat="false" ht="15" hidden="false" customHeight="false" outlineLevel="0" collapsed="false">
      <c r="A60" s="1227" t="n">
        <f aca="false">A59+1</f>
        <v>36796</v>
      </c>
      <c r="B60" s="0" t="n">
        <v>6</v>
      </c>
      <c r="C60" s="0" t="n">
        <f aca="false">IF(DAY(A60)=1,B60,C59+B60)</f>
        <v>86</v>
      </c>
      <c r="D60" s="0" t="n">
        <f aca="false">B60+D59</f>
        <v>94</v>
      </c>
    </row>
    <row r="61" customFormat="false" ht="15" hidden="false" customHeight="false" outlineLevel="0" collapsed="false">
      <c r="A61" s="1227" t="n">
        <f aca="false">A60+1</f>
        <v>36797</v>
      </c>
      <c r="B61" s="0" t="n">
        <v>7</v>
      </c>
      <c r="C61" s="0" t="n">
        <f aca="false">IF(DAY(A61)=1,B61,C60+B61)</f>
        <v>93</v>
      </c>
      <c r="D61" s="0" t="n">
        <f aca="false">B61+D60</f>
        <v>101</v>
      </c>
    </row>
    <row r="62" customFormat="false" ht="15" hidden="false" customHeight="false" outlineLevel="0" collapsed="false">
      <c r="A62" s="1227" t="n">
        <f aca="false">A61+1</f>
        <v>36798</v>
      </c>
      <c r="B62" s="0" t="n">
        <v>7</v>
      </c>
      <c r="C62" s="0" t="n">
        <f aca="false">IF(DAY(A62)=1,B62,C61+B62)</f>
        <v>100</v>
      </c>
      <c r="D62" s="0" t="n">
        <f aca="false">B62+D61</f>
        <v>108</v>
      </c>
    </row>
    <row r="63" customFormat="false" ht="15" hidden="false" customHeight="false" outlineLevel="0" collapsed="false">
      <c r="A63" s="1227" t="n">
        <f aca="false">A62+1</f>
        <v>36799</v>
      </c>
      <c r="B63" s="0" t="n">
        <v>7</v>
      </c>
      <c r="C63" s="0" t="n">
        <f aca="false">IF(DAY(A63)=1,B63,C62+B63)</f>
        <v>107</v>
      </c>
      <c r="D63" s="0" t="n">
        <f aca="false">B63+D62</f>
        <v>115</v>
      </c>
    </row>
    <row r="64" customFormat="false" ht="15" hidden="false" customHeight="false" outlineLevel="0" collapsed="false">
      <c r="A64" s="1227" t="n">
        <f aca="false">A63+1</f>
        <v>36800</v>
      </c>
      <c r="B64" s="0" t="n">
        <v>7</v>
      </c>
      <c r="C64" s="0" t="n">
        <f aca="false">IF(DAY(A64)=1,B64,C63+B64)</f>
        <v>7</v>
      </c>
      <c r="D64" s="0" t="n">
        <f aca="false">B64+D63</f>
        <v>122</v>
      </c>
    </row>
    <row r="65" customFormat="false" ht="15" hidden="false" customHeight="false" outlineLevel="0" collapsed="false">
      <c r="A65" s="1227" t="n">
        <f aca="false">A64+1</f>
        <v>36801</v>
      </c>
      <c r="B65" s="0" t="n">
        <v>8</v>
      </c>
      <c r="C65" s="0" t="n">
        <f aca="false">IF(DAY(A65)=1,B65,C64+B65)</f>
        <v>15</v>
      </c>
      <c r="D65" s="0" t="n">
        <f aca="false">B65+D64</f>
        <v>130</v>
      </c>
    </row>
    <row r="66" customFormat="false" ht="15" hidden="false" customHeight="false" outlineLevel="0" collapsed="false">
      <c r="A66" s="1227" t="n">
        <f aca="false">A65+1</f>
        <v>36802</v>
      </c>
      <c r="B66" s="0" t="n">
        <v>8</v>
      </c>
      <c r="C66" s="0" t="n">
        <f aca="false">IF(DAY(A66)=1,B66,C65+B66)</f>
        <v>23</v>
      </c>
      <c r="D66" s="0" t="n">
        <f aca="false">B66+D65</f>
        <v>138</v>
      </c>
    </row>
    <row r="67" customFormat="false" ht="15" hidden="false" customHeight="false" outlineLevel="0" collapsed="false">
      <c r="A67" s="1227" t="n">
        <f aca="false">A66+1</f>
        <v>36803</v>
      </c>
      <c r="B67" s="0" t="n">
        <v>8</v>
      </c>
      <c r="C67" s="0" t="n">
        <f aca="false">IF(DAY(A67)=1,B67,C66+B67)</f>
        <v>31</v>
      </c>
      <c r="D67" s="0" t="n">
        <f aca="false">B67+D66</f>
        <v>146</v>
      </c>
    </row>
    <row r="68" customFormat="false" ht="15" hidden="false" customHeight="false" outlineLevel="0" collapsed="false">
      <c r="A68" s="1227" t="n">
        <f aca="false">A67+1</f>
        <v>36804</v>
      </c>
      <c r="B68" s="0" t="n">
        <v>9</v>
      </c>
      <c r="C68" s="0" t="n">
        <f aca="false">IF(DAY(A68)=1,B68,C67+B68)</f>
        <v>40</v>
      </c>
      <c r="D68" s="0" t="n">
        <f aca="false">B68+D67</f>
        <v>155</v>
      </c>
    </row>
    <row r="69" customFormat="false" ht="15" hidden="false" customHeight="false" outlineLevel="0" collapsed="false">
      <c r="A69" s="1227" t="n">
        <f aca="false">A68+1</f>
        <v>36805</v>
      </c>
      <c r="B69" s="0" t="n">
        <v>9</v>
      </c>
      <c r="C69" s="0" t="n">
        <f aca="false">IF(DAY(A69)=1,B69,C68+B69)</f>
        <v>49</v>
      </c>
      <c r="D69" s="0" t="n">
        <f aca="false">B69+D68</f>
        <v>164</v>
      </c>
    </row>
    <row r="70" customFormat="false" ht="15" hidden="false" customHeight="false" outlineLevel="0" collapsed="false">
      <c r="A70" s="1227" t="n">
        <f aca="false">A69+1</f>
        <v>36806</v>
      </c>
      <c r="B70" s="0" t="n">
        <v>10</v>
      </c>
      <c r="C70" s="0" t="n">
        <f aca="false">IF(DAY(A70)=1,B70,C69+B70)</f>
        <v>59</v>
      </c>
      <c r="D70" s="0" t="n">
        <f aca="false">B70+D69</f>
        <v>174</v>
      </c>
    </row>
    <row r="71" customFormat="false" ht="15" hidden="false" customHeight="false" outlineLevel="0" collapsed="false">
      <c r="A71" s="1227" t="n">
        <f aca="false">A70+1</f>
        <v>36807</v>
      </c>
      <c r="B71" s="0" t="n">
        <v>10</v>
      </c>
      <c r="C71" s="0" t="n">
        <f aca="false">IF(DAY(A71)=1,B71,C70+B71)</f>
        <v>69</v>
      </c>
      <c r="D71" s="0" t="n">
        <f aca="false">B71+D70</f>
        <v>184</v>
      </c>
    </row>
    <row r="72" customFormat="false" ht="15" hidden="false" customHeight="false" outlineLevel="0" collapsed="false">
      <c r="A72" s="1227" t="n">
        <f aca="false">A71+1</f>
        <v>36808</v>
      </c>
      <c r="B72" s="0" t="n">
        <v>10</v>
      </c>
      <c r="C72" s="0" t="n">
        <f aca="false">IF(DAY(A72)=1,B72,C71+B72)</f>
        <v>79</v>
      </c>
      <c r="D72" s="0" t="n">
        <f aca="false">B72+D71</f>
        <v>194</v>
      </c>
    </row>
    <row r="73" customFormat="false" ht="15" hidden="false" customHeight="false" outlineLevel="0" collapsed="false">
      <c r="A73" s="1227" t="n">
        <f aca="false">A72+1</f>
        <v>36809</v>
      </c>
      <c r="B73" s="0" t="n">
        <v>11</v>
      </c>
      <c r="C73" s="0" t="n">
        <f aca="false">IF(DAY(A73)=1,B73,C72+B73)</f>
        <v>90</v>
      </c>
      <c r="D73" s="0" t="n">
        <f aca="false">B73+D72</f>
        <v>205</v>
      </c>
    </row>
    <row r="74" customFormat="false" ht="15" hidden="false" customHeight="false" outlineLevel="0" collapsed="false">
      <c r="A74" s="1227" t="n">
        <f aca="false">A73+1</f>
        <v>36810</v>
      </c>
      <c r="B74" s="0" t="n">
        <v>11</v>
      </c>
      <c r="C74" s="0" t="n">
        <f aca="false">IF(DAY(A74)=1,B74,C73+B74)</f>
        <v>101</v>
      </c>
      <c r="D74" s="0" t="n">
        <f aca="false">B74+D73</f>
        <v>216</v>
      </c>
    </row>
    <row r="75" customFormat="false" ht="15" hidden="false" customHeight="false" outlineLevel="0" collapsed="false">
      <c r="A75" s="1227" t="n">
        <f aca="false">A74+1</f>
        <v>36811</v>
      </c>
      <c r="B75" s="0" t="n">
        <v>11</v>
      </c>
      <c r="C75" s="0" t="n">
        <f aca="false">IF(DAY(A75)=1,B75,C74+B75)</f>
        <v>112</v>
      </c>
      <c r="D75" s="0" t="n">
        <f aca="false">B75+D74</f>
        <v>227</v>
      </c>
    </row>
    <row r="76" customFormat="false" ht="15" hidden="false" customHeight="false" outlineLevel="0" collapsed="false">
      <c r="A76" s="1227" t="n">
        <f aca="false">A75+1</f>
        <v>36812</v>
      </c>
      <c r="B76" s="0" t="n">
        <v>11</v>
      </c>
      <c r="C76" s="0" t="n">
        <f aca="false">IF(DAY(A76)=1,B76,C75+B76)</f>
        <v>123</v>
      </c>
      <c r="D76" s="0" t="n">
        <f aca="false">B76+D75</f>
        <v>238</v>
      </c>
    </row>
    <row r="77" customFormat="false" ht="15" hidden="false" customHeight="false" outlineLevel="0" collapsed="false">
      <c r="A77" s="1227" t="n">
        <f aca="false">A76+1</f>
        <v>36813</v>
      </c>
      <c r="B77" s="0" t="n">
        <v>11</v>
      </c>
      <c r="C77" s="0" t="n">
        <f aca="false">IF(DAY(A77)=1,B77,C76+B77)</f>
        <v>134</v>
      </c>
      <c r="D77" s="0" t="n">
        <f aca="false">B77+D76</f>
        <v>249</v>
      </c>
    </row>
    <row r="78" customFormat="false" ht="15" hidden="false" customHeight="false" outlineLevel="0" collapsed="false">
      <c r="A78" s="1227" t="n">
        <f aca="false">A77+1</f>
        <v>36814</v>
      </c>
      <c r="B78" s="0" t="n">
        <v>12</v>
      </c>
      <c r="C78" s="0" t="n">
        <f aca="false">IF(DAY(A78)=1,B78,C77+B78)</f>
        <v>146</v>
      </c>
      <c r="D78" s="0" t="n">
        <f aca="false">B78+D77</f>
        <v>261</v>
      </c>
    </row>
    <row r="79" customFormat="false" ht="15" hidden="false" customHeight="false" outlineLevel="0" collapsed="false">
      <c r="A79" s="1227" t="n">
        <f aca="false">A78+1</f>
        <v>36815</v>
      </c>
      <c r="B79" s="0" t="n">
        <v>12</v>
      </c>
      <c r="C79" s="0" t="n">
        <f aca="false">IF(DAY(A79)=1,B79,C78+B79)</f>
        <v>158</v>
      </c>
      <c r="D79" s="0" t="n">
        <f aca="false">B79+D78</f>
        <v>273</v>
      </c>
    </row>
    <row r="80" customFormat="false" ht="15" hidden="false" customHeight="false" outlineLevel="0" collapsed="false">
      <c r="A80" s="1227" t="n">
        <f aca="false">A79+1</f>
        <v>36816</v>
      </c>
      <c r="B80" s="0" t="n">
        <v>13</v>
      </c>
      <c r="C80" s="0" t="n">
        <f aca="false">IF(DAY(A80)=1,B80,C79+B80)</f>
        <v>171</v>
      </c>
      <c r="D80" s="0" t="n">
        <f aca="false">B80+D79</f>
        <v>286</v>
      </c>
    </row>
    <row r="81" customFormat="false" ht="15" hidden="false" customHeight="false" outlineLevel="0" collapsed="false">
      <c r="A81" s="1227" t="n">
        <f aca="false">A80+1</f>
        <v>36817</v>
      </c>
      <c r="B81" s="0" t="n">
        <v>13</v>
      </c>
      <c r="C81" s="0" t="n">
        <f aca="false">IF(DAY(A81)=1,B81,C80+B81)</f>
        <v>184</v>
      </c>
      <c r="D81" s="0" t="n">
        <f aca="false">B81+D80</f>
        <v>299</v>
      </c>
    </row>
    <row r="82" customFormat="false" ht="15" hidden="false" customHeight="false" outlineLevel="0" collapsed="false">
      <c r="A82" s="1227" t="n">
        <f aca="false">A81+1</f>
        <v>36818</v>
      </c>
      <c r="B82" s="0" t="n">
        <v>13</v>
      </c>
      <c r="C82" s="0" t="n">
        <f aca="false">IF(DAY(A82)=1,B82,C81+B82)</f>
        <v>197</v>
      </c>
      <c r="D82" s="0" t="n">
        <f aca="false">B82+D81</f>
        <v>312</v>
      </c>
    </row>
    <row r="83" customFormat="false" ht="15" hidden="false" customHeight="false" outlineLevel="0" collapsed="false">
      <c r="A83" s="1227" t="n">
        <f aca="false">A82+1</f>
        <v>36819</v>
      </c>
      <c r="B83" s="0" t="n">
        <v>14</v>
      </c>
      <c r="C83" s="0" t="n">
        <f aca="false">IF(DAY(A83)=1,B83,C82+B83)</f>
        <v>211</v>
      </c>
      <c r="D83" s="0" t="n">
        <f aca="false">B83+D82</f>
        <v>326</v>
      </c>
    </row>
    <row r="84" customFormat="false" ht="15" hidden="false" customHeight="false" outlineLevel="0" collapsed="false">
      <c r="A84" s="1227" t="n">
        <f aca="false">A83+1</f>
        <v>36820</v>
      </c>
      <c r="B84" s="0" t="n">
        <v>14</v>
      </c>
      <c r="C84" s="0" t="n">
        <f aca="false">IF(DAY(A84)=1,B84,C83+B84)</f>
        <v>225</v>
      </c>
      <c r="D84" s="0" t="n">
        <f aca="false">B84+D83</f>
        <v>340</v>
      </c>
    </row>
    <row r="85" customFormat="false" ht="15" hidden="false" customHeight="false" outlineLevel="0" collapsed="false">
      <c r="A85" s="1227" t="n">
        <f aca="false">A84+1</f>
        <v>36821</v>
      </c>
      <c r="B85" s="0" t="n">
        <v>15</v>
      </c>
      <c r="C85" s="0" t="n">
        <f aca="false">IF(DAY(A85)=1,B85,C84+B85)</f>
        <v>240</v>
      </c>
      <c r="D85" s="0" t="n">
        <f aca="false">B85+D84</f>
        <v>355</v>
      </c>
    </row>
    <row r="86" customFormat="false" ht="15" hidden="false" customHeight="false" outlineLevel="0" collapsed="false">
      <c r="A86" s="1227" t="n">
        <f aca="false">A85+1</f>
        <v>36822</v>
      </c>
      <c r="B86" s="0" t="n">
        <v>15</v>
      </c>
      <c r="C86" s="0" t="n">
        <f aca="false">IF(DAY(A86)=1,B86,C85+B86)</f>
        <v>255</v>
      </c>
      <c r="D86" s="0" t="n">
        <f aca="false">B86+D85</f>
        <v>370</v>
      </c>
    </row>
    <row r="87" customFormat="false" ht="15" hidden="false" customHeight="false" outlineLevel="0" collapsed="false">
      <c r="A87" s="1227" t="n">
        <f aca="false">A86+1</f>
        <v>36823</v>
      </c>
      <c r="B87" s="0" t="n">
        <v>16</v>
      </c>
      <c r="C87" s="0" t="n">
        <f aca="false">IF(DAY(A87)=1,B87,C86+B87)</f>
        <v>271</v>
      </c>
      <c r="D87" s="0" t="n">
        <f aca="false">B87+D86</f>
        <v>386</v>
      </c>
    </row>
    <row r="88" customFormat="false" ht="15" hidden="false" customHeight="false" outlineLevel="0" collapsed="false">
      <c r="A88" s="1227" t="n">
        <f aca="false">A87+1</f>
        <v>36824</v>
      </c>
      <c r="B88" s="0" t="n">
        <v>16</v>
      </c>
      <c r="C88" s="0" t="n">
        <f aca="false">IF(DAY(A88)=1,B88,C87+B88)</f>
        <v>287</v>
      </c>
      <c r="D88" s="0" t="n">
        <f aca="false">B88+D87</f>
        <v>402</v>
      </c>
    </row>
    <row r="89" customFormat="false" ht="15" hidden="false" customHeight="false" outlineLevel="0" collapsed="false">
      <c r="A89" s="1227" t="n">
        <f aca="false">A88+1</f>
        <v>36825</v>
      </c>
      <c r="B89" s="0" t="n">
        <v>16</v>
      </c>
      <c r="C89" s="0" t="n">
        <f aca="false">IF(DAY(A89)=1,B89,C88+B89)</f>
        <v>303</v>
      </c>
      <c r="D89" s="0" t="n">
        <f aca="false">B89+D88</f>
        <v>418</v>
      </c>
    </row>
    <row r="90" customFormat="false" ht="15" hidden="false" customHeight="false" outlineLevel="0" collapsed="false">
      <c r="A90" s="1227" t="n">
        <f aca="false">A89+1</f>
        <v>36826</v>
      </c>
      <c r="B90" s="0" t="n">
        <v>17</v>
      </c>
      <c r="C90" s="0" t="n">
        <f aca="false">IF(DAY(A90)=1,B90,C89+B90)</f>
        <v>320</v>
      </c>
      <c r="D90" s="0" t="n">
        <f aca="false">B90+D89</f>
        <v>435</v>
      </c>
    </row>
    <row r="91" customFormat="false" ht="15" hidden="false" customHeight="false" outlineLevel="0" collapsed="false">
      <c r="A91" s="1227" t="n">
        <f aca="false">A90+1</f>
        <v>36827</v>
      </c>
      <c r="B91" s="0" t="n">
        <v>17</v>
      </c>
      <c r="C91" s="0" t="n">
        <f aca="false">IF(DAY(A91)=1,B91,C90+B91)</f>
        <v>337</v>
      </c>
      <c r="D91" s="0" t="n">
        <f aca="false">B91+D90</f>
        <v>452</v>
      </c>
    </row>
    <row r="92" customFormat="false" ht="15" hidden="false" customHeight="false" outlineLevel="0" collapsed="false">
      <c r="A92" s="1227" t="n">
        <f aca="false">A91+1</f>
        <v>36828</v>
      </c>
      <c r="B92" s="0" t="n">
        <v>18</v>
      </c>
      <c r="C92" s="0" t="n">
        <f aca="false">IF(DAY(A92)=1,B92,C91+B92)</f>
        <v>355</v>
      </c>
      <c r="D92" s="0" t="n">
        <f aca="false">B92+D91</f>
        <v>470</v>
      </c>
    </row>
    <row r="93" customFormat="false" ht="15" hidden="false" customHeight="false" outlineLevel="0" collapsed="false">
      <c r="A93" s="1227" t="n">
        <f aca="false">A92+1</f>
        <v>36829</v>
      </c>
      <c r="B93" s="0" t="n">
        <v>18</v>
      </c>
      <c r="C93" s="0" t="n">
        <f aca="false">IF(DAY(A93)=1,B93,C92+B93)</f>
        <v>373</v>
      </c>
      <c r="D93" s="0" t="n">
        <f aca="false">B93+D92</f>
        <v>488</v>
      </c>
    </row>
    <row r="94" customFormat="false" ht="15" hidden="false" customHeight="false" outlineLevel="0" collapsed="false">
      <c r="A94" s="1227" t="n">
        <f aca="false">A93+1</f>
        <v>36830</v>
      </c>
      <c r="B94" s="0" t="n">
        <v>18</v>
      </c>
      <c r="C94" s="0" t="n">
        <f aca="false">IF(DAY(A94)=1,B94,C93+B94)</f>
        <v>391</v>
      </c>
      <c r="D94" s="0" t="n">
        <f aca="false">B94+D93</f>
        <v>506</v>
      </c>
    </row>
    <row r="95" customFormat="false" ht="15" hidden="false" customHeight="false" outlineLevel="0" collapsed="false">
      <c r="A95" s="1227" t="n">
        <f aca="false">A94+1</f>
        <v>36831</v>
      </c>
      <c r="B95" s="0" t="n">
        <v>19</v>
      </c>
      <c r="C95" s="0" t="n">
        <f aca="false">IF(DAY(A95)=1,B95,C94+B95)</f>
        <v>19</v>
      </c>
      <c r="D95" s="0" t="n">
        <f aca="false">B95+D94</f>
        <v>525</v>
      </c>
    </row>
    <row r="96" customFormat="false" ht="15" hidden="false" customHeight="false" outlineLevel="0" collapsed="false">
      <c r="A96" s="1227" t="n">
        <f aca="false">A95+1</f>
        <v>36832</v>
      </c>
      <c r="B96" s="0" t="n">
        <v>19</v>
      </c>
      <c r="C96" s="0" t="n">
        <f aca="false">IF(DAY(A96)=1,B96,C95+B96)</f>
        <v>38</v>
      </c>
      <c r="D96" s="0" t="n">
        <f aca="false">B96+D95</f>
        <v>544</v>
      </c>
    </row>
    <row r="97" customFormat="false" ht="15" hidden="false" customHeight="false" outlineLevel="0" collapsed="false">
      <c r="A97" s="1227" t="n">
        <f aca="false">A96+1</f>
        <v>36833</v>
      </c>
      <c r="B97" s="0" t="n">
        <v>19</v>
      </c>
      <c r="C97" s="0" t="n">
        <f aca="false">IF(DAY(A97)=1,B97,C96+B97)</f>
        <v>57</v>
      </c>
      <c r="D97" s="0" t="n">
        <f aca="false">B97+D96</f>
        <v>563</v>
      </c>
    </row>
    <row r="98" customFormat="false" ht="15" hidden="false" customHeight="false" outlineLevel="0" collapsed="false">
      <c r="A98" s="1227" t="n">
        <f aca="false">A97+1</f>
        <v>36834</v>
      </c>
      <c r="B98" s="0" t="n">
        <v>20</v>
      </c>
      <c r="C98" s="0" t="n">
        <f aca="false">IF(DAY(A98)=1,B98,C97+B98)</f>
        <v>77</v>
      </c>
      <c r="D98" s="0" t="n">
        <f aca="false">B98+D97</f>
        <v>583</v>
      </c>
    </row>
    <row r="99" customFormat="false" ht="15" hidden="false" customHeight="false" outlineLevel="0" collapsed="false">
      <c r="A99" s="1227" t="n">
        <f aca="false">A98+1</f>
        <v>36835</v>
      </c>
      <c r="B99" s="0" t="n">
        <v>20</v>
      </c>
      <c r="C99" s="0" t="n">
        <f aca="false">IF(DAY(A99)=1,B99,C98+B99)</f>
        <v>97</v>
      </c>
      <c r="D99" s="0" t="n">
        <f aca="false">B99+D98</f>
        <v>603</v>
      </c>
    </row>
    <row r="100" customFormat="false" ht="15" hidden="false" customHeight="false" outlineLevel="0" collapsed="false">
      <c r="A100" s="1227" t="n">
        <f aca="false">A99+1</f>
        <v>36836</v>
      </c>
      <c r="B100" s="0" t="n">
        <v>21</v>
      </c>
      <c r="C100" s="0" t="n">
        <f aca="false">IF(DAY(A100)=1,B100,C99+B100)</f>
        <v>118</v>
      </c>
      <c r="D100" s="0" t="n">
        <f aca="false">B100+D99</f>
        <v>624</v>
      </c>
    </row>
    <row r="101" customFormat="false" ht="15" hidden="false" customHeight="false" outlineLevel="0" collapsed="false">
      <c r="A101" s="1227" t="n">
        <f aca="false">A100+1</f>
        <v>36837</v>
      </c>
      <c r="B101" s="0" t="n">
        <v>21</v>
      </c>
      <c r="C101" s="0" t="n">
        <f aca="false">IF(DAY(A101)=1,B101,C100+B101)</f>
        <v>139</v>
      </c>
      <c r="D101" s="0" t="n">
        <f aca="false">B101+D100</f>
        <v>645</v>
      </c>
    </row>
    <row r="102" customFormat="false" ht="15" hidden="false" customHeight="false" outlineLevel="0" collapsed="false">
      <c r="A102" s="1227" t="n">
        <f aca="false">A101+1</f>
        <v>36838</v>
      </c>
      <c r="B102" s="0" t="n">
        <v>22</v>
      </c>
      <c r="C102" s="0" t="n">
        <f aca="false">IF(DAY(A102)=1,B102,C101+B102)</f>
        <v>161</v>
      </c>
      <c r="D102" s="0" t="n">
        <f aca="false">B102+D101</f>
        <v>667</v>
      </c>
    </row>
    <row r="103" customFormat="false" ht="15" hidden="false" customHeight="false" outlineLevel="0" collapsed="false">
      <c r="A103" s="1227" t="n">
        <f aca="false">A102+1</f>
        <v>36839</v>
      </c>
      <c r="B103" s="0" t="n">
        <v>22</v>
      </c>
      <c r="C103" s="0" t="n">
        <f aca="false">IF(DAY(A103)=1,B103,C102+B103)</f>
        <v>183</v>
      </c>
      <c r="D103" s="0" t="n">
        <f aca="false">B103+D102</f>
        <v>689</v>
      </c>
    </row>
    <row r="104" customFormat="false" ht="15" hidden="false" customHeight="false" outlineLevel="0" collapsed="false">
      <c r="A104" s="1227" t="n">
        <f aca="false">A103+1</f>
        <v>36840</v>
      </c>
      <c r="B104" s="0" t="n">
        <v>22</v>
      </c>
      <c r="C104" s="0" t="n">
        <f aca="false">IF(DAY(A104)=1,B104,C103+B104)</f>
        <v>205</v>
      </c>
      <c r="D104" s="0" t="n">
        <f aca="false">B104+D103</f>
        <v>711</v>
      </c>
    </row>
    <row r="105" customFormat="false" ht="15" hidden="false" customHeight="false" outlineLevel="0" collapsed="false">
      <c r="A105" s="1227" t="n">
        <f aca="false">A104+1</f>
        <v>36841</v>
      </c>
      <c r="B105" s="0" t="n">
        <v>23</v>
      </c>
      <c r="C105" s="0" t="n">
        <f aca="false">IF(DAY(A105)=1,B105,C104+B105)</f>
        <v>228</v>
      </c>
      <c r="D105" s="0" t="n">
        <f aca="false">B105+D104</f>
        <v>734</v>
      </c>
    </row>
    <row r="106" customFormat="false" ht="15" hidden="false" customHeight="false" outlineLevel="0" collapsed="false">
      <c r="A106" s="1227" t="n">
        <f aca="false">A105+1</f>
        <v>36842</v>
      </c>
      <c r="B106" s="0" t="n">
        <v>23</v>
      </c>
      <c r="C106" s="0" t="n">
        <f aca="false">IF(DAY(A106)=1,B106,C105+B106)</f>
        <v>251</v>
      </c>
      <c r="D106" s="0" t="n">
        <f aca="false">B106+D105</f>
        <v>757</v>
      </c>
    </row>
    <row r="107" customFormat="false" ht="15" hidden="false" customHeight="false" outlineLevel="0" collapsed="false">
      <c r="A107" s="1227" t="n">
        <f aca="false">A106+1</f>
        <v>36843</v>
      </c>
      <c r="B107" s="0" t="n">
        <v>24</v>
      </c>
      <c r="C107" s="0" t="n">
        <f aca="false">IF(DAY(A107)=1,B107,C106+B107)</f>
        <v>275</v>
      </c>
      <c r="D107" s="0" t="n">
        <f aca="false">B107+D106</f>
        <v>781</v>
      </c>
    </row>
    <row r="108" customFormat="false" ht="15" hidden="false" customHeight="false" outlineLevel="0" collapsed="false">
      <c r="A108" s="1227" t="n">
        <f aca="false">A107+1</f>
        <v>36844</v>
      </c>
      <c r="B108" s="0" t="n">
        <v>24</v>
      </c>
      <c r="C108" s="0" t="n">
        <f aca="false">IF(DAY(A108)=1,B108,C107+B108)</f>
        <v>299</v>
      </c>
      <c r="D108" s="0" t="n">
        <f aca="false">B108+D107</f>
        <v>805</v>
      </c>
    </row>
    <row r="109" customFormat="false" ht="15" hidden="false" customHeight="false" outlineLevel="0" collapsed="false">
      <c r="A109" s="1227" t="n">
        <f aca="false">A108+1</f>
        <v>36845</v>
      </c>
      <c r="B109" s="0" t="n">
        <v>25</v>
      </c>
      <c r="C109" s="0" t="n">
        <f aca="false">IF(DAY(A109)=1,B109,C108+B109)</f>
        <v>324</v>
      </c>
      <c r="D109" s="0" t="n">
        <f aca="false">B109+D108</f>
        <v>830</v>
      </c>
    </row>
    <row r="110" customFormat="false" ht="15" hidden="false" customHeight="false" outlineLevel="0" collapsed="false">
      <c r="A110" s="1227" t="n">
        <f aca="false">A109+1</f>
        <v>36846</v>
      </c>
      <c r="B110" s="0" t="n">
        <v>25</v>
      </c>
      <c r="C110" s="0" t="n">
        <f aca="false">IF(DAY(A110)=1,B110,C109+B110)</f>
        <v>349</v>
      </c>
      <c r="D110" s="0" t="n">
        <f aca="false">B110+D109</f>
        <v>855</v>
      </c>
    </row>
    <row r="111" customFormat="false" ht="15" hidden="false" customHeight="false" outlineLevel="0" collapsed="false">
      <c r="A111" s="1227" t="n">
        <f aca="false">A110+1</f>
        <v>36847</v>
      </c>
      <c r="B111" s="0" t="n">
        <v>26</v>
      </c>
      <c r="C111" s="0" t="n">
        <f aca="false">IF(DAY(A111)=1,B111,C110+B111)</f>
        <v>375</v>
      </c>
      <c r="D111" s="0" t="n">
        <f aca="false">B111+D110</f>
        <v>881</v>
      </c>
    </row>
    <row r="112" customFormat="false" ht="15" hidden="false" customHeight="false" outlineLevel="0" collapsed="false">
      <c r="A112" s="1227" t="n">
        <f aca="false">A111+1</f>
        <v>36848</v>
      </c>
      <c r="B112" s="0" t="n">
        <v>26</v>
      </c>
      <c r="C112" s="0" t="n">
        <f aca="false">IF(DAY(A112)=1,B112,C111+B112)</f>
        <v>401</v>
      </c>
      <c r="D112" s="0" t="n">
        <f aca="false">B112+D111</f>
        <v>907</v>
      </c>
    </row>
    <row r="113" customFormat="false" ht="15" hidden="false" customHeight="false" outlineLevel="0" collapsed="false">
      <c r="A113" s="1227" t="n">
        <f aca="false">A112+1</f>
        <v>36849</v>
      </c>
      <c r="B113" s="0" t="n">
        <v>27</v>
      </c>
      <c r="C113" s="0" t="n">
        <f aca="false">IF(DAY(A113)=1,B113,C112+B113)</f>
        <v>428</v>
      </c>
      <c r="D113" s="0" t="n">
        <f aca="false">B113+D112</f>
        <v>934</v>
      </c>
    </row>
    <row r="114" customFormat="false" ht="15" hidden="false" customHeight="false" outlineLevel="0" collapsed="false">
      <c r="A114" s="1227" t="n">
        <f aca="false">A113+1</f>
        <v>36850</v>
      </c>
      <c r="B114" s="0" t="n">
        <v>27</v>
      </c>
      <c r="C114" s="0" t="n">
        <f aca="false">IF(DAY(A114)=1,B114,C113+B114)</f>
        <v>455</v>
      </c>
      <c r="D114" s="0" t="n">
        <f aca="false">B114+D113</f>
        <v>961</v>
      </c>
    </row>
    <row r="115" customFormat="false" ht="15" hidden="false" customHeight="false" outlineLevel="0" collapsed="false">
      <c r="A115" s="1227" t="n">
        <f aca="false">A114+1</f>
        <v>36851</v>
      </c>
      <c r="B115" s="0" t="n">
        <v>27</v>
      </c>
      <c r="C115" s="0" t="n">
        <f aca="false">IF(DAY(A115)=1,B115,C114+B115)</f>
        <v>482</v>
      </c>
      <c r="D115" s="0" t="n">
        <f aca="false">B115+D114</f>
        <v>988</v>
      </c>
    </row>
    <row r="116" customFormat="false" ht="15" hidden="false" customHeight="false" outlineLevel="0" collapsed="false">
      <c r="A116" s="1227" t="n">
        <f aca="false">A115+1</f>
        <v>36852</v>
      </c>
      <c r="B116" s="0" t="n">
        <v>28</v>
      </c>
      <c r="C116" s="0" t="n">
        <f aca="false">IF(DAY(A116)=1,B116,C115+B116)</f>
        <v>510</v>
      </c>
      <c r="D116" s="0" t="n">
        <f aca="false">B116+D115</f>
        <v>1016</v>
      </c>
    </row>
    <row r="117" customFormat="false" ht="15" hidden="false" customHeight="false" outlineLevel="0" collapsed="false">
      <c r="A117" s="1227" t="n">
        <f aca="false">A116+1</f>
        <v>36853</v>
      </c>
      <c r="B117" s="0" t="n">
        <v>28</v>
      </c>
      <c r="C117" s="0" t="n">
        <f aca="false">IF(DAY(A117)=1,B117,C116+B117)</f>
        <v>538</v>
      </c>
      <c r="D117" s="0" t="n">
        <f aca="false">B117+D116</f>
        <v>1044</v>
      </c>
    </row>
    <row r="118" customFormat="false" ht="15" hidden="false" customHeight="false" outlineLevel="0" collapsed="false">
      <c r="A118" s="1227" t="n">
        <f aca="false">A117+1</f>
        <v>36854</v>
      </c>
      <c r="B118" s="0" t="n">
        <v>29</v>
      </c>
      <c r="C118" s="0" t="n">
        <f aca="false">IF(DAY(A118)=1,B118,C117+B118)</f>
        <v>567</v>
      </c>
      <c r="D118" s="0" t="n">
        <f aca="false">B118+D117</f>
        <v>1073</v>
      </c>
    </row>
    <row r="119" customFormat="false" ht="15" hidden="false" customHeight="false" outlineLevel="0" collapsed="false">
      <c r="A119" s="1227" t="n">
        <f aca="false">A118+1</f>
        <v>36855</v>
      </c>
      <c r="B119" s="0" t="n">
        <v>29</v>
      </c>
      <c r="C119" s="0" t="n">
        <f aca="false">IF(DAY(A119)=1,B119,C118+B119)</f>
        <v>596</v>
      </c>
      <c r="D119" s="0" t="n">
        <f aca="false">B119+D118</f>
        <v>1102</v>
      </c>
    </row>
    <row r="120" customFormat="false" ht="15" hidden="false" customHeight="false" outlineLevel="0" collapsed="false">
      <c r="A120" s="1227" t="n">
        <f aca="false">A119+1</f>
        <v>36856</v>
      </c>
      <c r="B120" s="0" t="n">
        <v>30</v>
      </c>
      <c r="C120" s="0" t="n">
        <f aca="false">IF(DAY(A120)=1,B120,C119+B120)</f>
        <v>626</v>
      </c>
      <c r="D120" s="0" t="n">
        <f aca="false">B120+D119</f>
        <v>1132</v>
      </c>
    </row>
    <row r="121" customFormat="false" ht="15" hidden="false" customHeight="false" outlineLevel="0" collapsed="false">
      <c r="A121" s="1227" t="n">
        <f aca="false">A120+1</f>
        <v>36857</v>
      </c>
      <c r="B121" s="0" t="n">
        <v>30</v>
      </c>
      <c r="C121" s="0" t="n">
        <f aca="false">IF(DAY(A121)=1,B121,C120+B121)</f>
        <v>656</v>
      </c>
      <c r="D121" s="0" t="n">
        <f aca="false">B121+D120</f>
        <v>1162</v>
      </c>
    </row>
    <row r="122" customFormat="false" ht="15" hidden="false" customHeight="false" outlineLevel="0" collapsed="false">
      <c r="A122" s="1227" t="n">
        <f aca="false">A121+1</f>
        <v>36858</v>
      </c>
      <c r="B122" s="0" t="n">
        <v>31</v>
      </c>
      <c r="C122" s="0" t="n">
        <f aca="false">IF(DAY(A122)=1,B122,C121+B122)</f>
        <v>687</v>
      </c>
      <c r="D122" s="0" t="n">
        <f aca="false">B122+D121</f>
        <v>1193</v>
      </c>
    </row>
    <row r="123" customFormat="false" ht="15" hidden="false" customHeight="false" outlineLevel="0" collapsed="false">
      <c r="A123" s="1227" t="n">
        <f aca="false">A122+1</f>
        <v>36859</v>
      </c>
      <c r="B123" s="0" t="n">
        <v>32</v>
      </c>
      <c r="C123" s="0" t="n">
        <f aca="false">IF(DAY(A123)=1,B123,C122+B123)</f>
        <v>719</v>
      </c>
      <c r="D123" s="0" t="n">
        <f aca="false">B123+D122</f>
        <v>1225</v>
      </c>
    </row>
    <row r="124" customFormat="false" ht="15" hidden="false" customHeight="false" outlineLevel="0" collapsed="false">
      <c r="A124" s="1227" t="n">
        <f aca="false">A123+1</f>
        <v>36860</v>
      </c>
      <c r="B124" s="0" t="n">
        <v>32</v>
      </c>
      <c r="C124" s="0" t="n">
        <f aca="false">IF(DAY(A124)=1,B124,C123+B124)</f>
        <v>751</v>
      </c>
      <c r="D124" s="0" t="n">
        <f aca="false">B124+D123</f>
        <v>1257</v>
      </c>
    </row>
    <row r="125" customFormat="false" ht="15" hidden="false" customHeight="false" outlineLevel="0" collapsed="false">
      <c r="A125" s="1227" t="n">
        <f aca="false">A124+1</f>
        <v>36861</v>
      </c>
      <c r="B125" s="0" t="n">
        <v>32</v>
      </c>
      <c r="C125" s="0" t="n">
        <f aca="false">IF(DAY(A125)=1,B125,C124+B125)</f>
        <v>32</v>
      </c>
      <c r="D125" s="0" t="n">
        <f aca="false">B125+D124</f>
        <v>1289</v>
      </c>
    </row>
    <row r="126" customFormat="false" ht="15" hidden="false" customHeight="false" outlineLevel="0" collapsed="false">
      <c r="A126" s="1227" t="n">
        <f aca="false">A125+1</f>
        <v>36862</v>
      </c>
      <c r="B126" s="0" t="n">
        <v>32</v>
      </c>
      <c r="C126" s="0" t="n">
        <f aca="false">IF(DAY(A126)=1,B126,C125+B126)</f>
        <v>64</v>
      </c>
      <c r="D126" s="0" t="n">
        <f aca="false">B126+D125</f>
        <v>1321</v>
      </c>
    </row>
    <row r="127" customFormat="false" ht="15" hidden="false" customHeight="false" outlineLevel="0" collapsed="false">
      <c r="A127" s="1227" t="n">
        <f aca="false">A126+1</f>
        <v>36863</v>
      </c>
      <c r="B127" s="0" t="n">
        <v>32</v>
      </c>
      <c r="C127" s="0" t="n">
        <f aca="false">IF(DAY(A127)=1,B127,C126+B127)</f>
        <v>96</v>
      </c>
      <c r="D127" s="0" t="n">
        <f aca="false">B127+D126</f>
        <v>1353</v>
      </c>
    </row>
    <row r="128" customFormat="false" ht="15" hidden="false" customHeight="false" outlineLevel="0" collapsed="false">
      <c r="A128" s="1227" t="n">
        <f aca="false">A127+1</f>
        <v>36864</v>
      </c>
      <c r="B128" s="0" t="n">
        <v>33</v>
      </c>
      <c r="C128" s="0" t="n">
        <f aca="false">IF(DAY(A128)=1,B128,C127+B128)</f>
        <v>129</v>
      </c>
      <c r="D128" s="0" t="n">
        <f aca="false">B128+D127</f>
        <v>1386</v>
      </c>
    </row>
    <row r="129" customFormat="false" ht="15" hidden="false" customHeight="false" outlineLevel="0" collapsed="false">
      <c r="A129" s="1227" t="n">
        <f aca="false">A128+1</f>
        <v>36865</v>
      </c>
      <c r="B129" s="0" t="n">
        <v>33</v>
      </c>
      <c r="C129" s="0" t="n">
        <f aca="false">IF(DAY(A129)=1,B129,C128+B129)</f>
        <v>162</v>
      </c>
      <c r="D129" s="0" t="n">
        <f aca="false">B129+D128</f>
        <v>1419</v>
      </c>
    </row>
    <row r="130" customFormat="false" ht="15" hidden="false" customHeight="false" outlineLevel="0" collapsed="false">
      <c r="A130" s="1227" t="n">
        <f aca="false">A129+1</f>
        <v>36866</v>
      </c>
      <c r="B130" s="0" t="n">
        <v>34</v>
      </c>
      <c r="C130" s="0" t="n">
        <f aca="false">IF(DAY(A130)=1,B130,C129+B130)</f>
        <v>196</v>
      </c>
      <c r="D130" s="0" t="n">
        <f aca="false">B130+D129</f>
        <v>1453</v>
      </c>
    </row>
    <row r="131" customFormat="false" ht="15" hidden="false" customHeight="false" outlineLevel="0" collapsed="false">
      <c r="A131" s="1227" t="n">
        <f aca="false">A130+1</f>
        <v>36867</v>
      </c>
      <c r="B131" s="0" t="n">
        <v>34</v>
      </c>
      <c r="C131" s="0" t="n">
        <f aca="false">IF(DAY(A131)=1,B131,C130+B131)</f>
        <v>230</v>
      </c>
      <c r="D131" s="0" t="n">
        <f aca="false">B131+D130</f>
        <v>1487</v>
      </c>
    </row>
    <row r="132" customFormat="false" ht="15" hidden="false" customHeight="false" outlineLevel="0" collapsed="false">
      <c r="A132" s="1227" t="n">
        <f aca="false">A131+1</f>
        <v>36868</v>
      </c>
      <c r="B132" s="0" t="n">
        <v>34</v>
      </c>
      <c r="C132" s="0" t="n">
        <f aca="false">IF(DAY(A132)=1,B132,C131+B132)</f>
        <v>264</v>
      </c>
      <c r="D132" s="0" t="n">
        <f aca="false">B132+D131</f>
        <v>1521</v>
      </c>
    </row>
    <row r="133" customFormat="false" ht="15" hidden="false" customHeight="false" outlineLevel="0" collapsed="false">
      <c r="A133" s="1227" t="n">
        <f aca="false">A132+1</f>
        <v>36869</v>
      </c>
      <c r="B133" s="0" t="n">
        <v>34</v>
      </c>
      <c r="C133" s="0" t="n">
        <f aca="false">IF(DAY(A133)=1,B133,C132+B133)</f>
        <v>298</v>
      </c>
      <c r="D133" s="0" t="n">
        <f aca="false">B133+D132</f>
        <v>1555</v>
      </c>
    </row>
    <row r="134" customFormat="false" ht="15" hidden="false" customHeight="false" outlineLevel="0" collapsed="false">
      <c r="A134" s="1227" t="n">
        <f aca="false">A133+1</f>
        <v>36870</v>
      </c>
      <c r="B134" s="0" t="n">
        <v>35</v>
      </c>
      <c r="C134" s="0" t="n">
        <f aca="false">IF(DAY(A134)=1,B134,C133+B134)</f>
        <v>333</v>
      </c>
      <c r="D134" s="0" t="n">
        <f aca="false">B134+D133</f>
        <v>1590</v>
      </c>
    </row>
    <row r="135" customFormat="false" ht="15" hidden="false" customHeight="false" outlineLevel="0" collapsed="false">
      <c r="A135" s="1227" t="n">
        <f aca="false">A134+1</f>
        <v>36871</v>
      </c>
      <c r="B135" s="0" t="n">
        <v>35</v>
      </c>
      <c r="C135" s="0" t="n">
        <f aca="false">IF(DAY(A135)=1,B135,C134+B135)</f>
        <v>368</v>
      </c>
      <c r="D135" s="0" t="n">
        <f aca="false">B135+D134</f>
        <v>1625</v>
      </c>
    </row>
    <row r="136" customFormat="false" ht="15" hidden="false" customHeight="false" outlineLevel="0" collapsed="false">
      <c r="A136" s="1227" t="n">
        <f aca="false">A135+1</f>
        <v>36872</v>
      </c>
      <c r="B136" s="0" t="n">
        <v>35</v>
      </c>
      <c r="C136" s="0" t="n">
        <f aca="false">IF(DAY(A136)=1,B136,C135+B136)</f>
        <v>403</v>
      </c>
      <c r="D136" s="0" t="n">
        <f aca="false">B136+D135</f>
        <v>1660</v>
      </c>
    </row>
    <row r="137" customFormat="false" ht="15" hidden="false" customHeight="false" outlineLevel="0" collapsed="false">
      <c r="A137" s="1227" t="n">
        <f aca="false">A136+1</f>
        <v>36873</v>
      </c>
      <c r="B137" s="0" t="n">
        <v>36</v>
      </c>
      <c r="C137" s="0" t="n">
        <f aca="false">IF(DAY(A137)=1,B137,C136+B137)</f>
        <v>439</v>
      </c>
      <c r="D137" s="0" t="n">
        <f aca="false">B137+D136</f>
        <v>1696</v>
      </c>
    </row>
    <row r="138" customFormat="false" ht="15" hidden="false" customHeight="false" outlineLevel="0" collapsed="false">
      <c r="A138" s="1227" t="n">
        <f aca="false">A137+1</f>
        <v>36874</v>
      </c>
      <c r="B138" s="0" t="n">
        <v>36</v>
      </c>
      <c r="C138" s="0" t="n">
        <f aca="false">IF(DAY(A138)=1,B138,C137+B138)</f>
        <v>475</v>
      </c>
      <c r="D138" s="0" t="n">
        <f aca="false">B138+D137</f>
        <v>1732</v>
      </c>
    </row>
    <row r="139" customFormat="false" ht="15" hidden="false" customHeight="false" outlineLevel="0" collapsed="false">
      <c r="A139" s="1227" t="n">
        <f aca="false">A138+1</f>
        <v>36875</v>
      </c>
      <c r="B139" s="0" t="n">
        <v>36</v>
      </c>
      <c r="C139" s="0" t="n">
        <f aca="false">IF(DAY(A139)=1,B139,C138+B139)</f>
        <v>511</v>
      </c>
      <c r="D139" s="0" t="n">
        <f aca="false">B139+D138</f>
        <v>1768</v>
      </c>
    </row>
    <row r="140" customFormat="false" ht="15" hidden="false" customHeight="false" outlineLevel="0" collapsed="false">
      <c r="A140" s="1227" t="n">
        <f aca="false">A139+1</f>
        <v>36876</v>
      </c>
      <c r="B140" s="0" t="n">
        <v>37</v>
      </c>
      <c r="C140" s="0" t="n">
        <f aca="false">IF(DAY(A140)=1,B140,C139+B140)</f>
        <v>548</v>
      </c>
      <c r="D140" s="0" t="n">
        <f aca="false">B140+D139</f>
        <v>1805</v>
      </c>
    </row>
    <row r="141" customFormat="false" ht="15" hidden="false" customHeight="false" outlineLevel="0" collapsed="false">
      <c r="A141" s="1227" t="n">
        <f aca="false">A140+1</f>
        <v>36877</v>
      </c>
      <c r="B141" s="0" t="n">
        <v>37</v>
      </c>
      <c r="C141" s="0" t="n">
        <f aca="false">IF(DAY(A141)=1,B141,C140+B141)</f>
        <v>585</v>
      </c>
      <c r="D141" s="0" t="n">
        <f aca="false">B141+D140</f>
        <v>1842</v>
      </c>
    </row>
    <row r="142" customFormat="false" ht="15" hidden="false" customHeight="false" outlineLevel="0" collapsed="false">
      <c r="A142" s="1227" t="n">
        <f aca="false">A141+1</f>
        <v>36878</v>
      </c>
      <c r="B142" s="0" t="n">
        <v>38</v>
      </c>
      <c r="C142" s="0" t="n">
        <f aca="false">IF(DAY(A142)=1,B142,C141+B142)</f>
        <v>623</v>
      </c>
      <c r="D142" s="0" t="n">
        <f aca="false">B142+D141</f>
        <v>1880</v>
      </c>
    </row>
    <row r="143" customFormat="false" ht="15" hidden="false" customHeight="false" outlineLevel="0" collapsed="false">
      <c r="A143" s="1227" t="n">
        <f aca="false">A142+1</f>
        <v>36879</v>
      </c>
      <c r="B143" s="0" t="n">
        <v>38</v>
      </c>
      <c r="C143" s="0" t="n">
        <f aca="false">IF(DAY(A143)=1,B143,C142+B143)</f>
        <v>661</v>
      </c>
      <c r="D143" s="0" t="n">
        <f aca="false">B143+D142</f>
        <v>1918</v>
      </c>
    </row>
    <row r="144" customFormat="false" ht="15" hidden="false" customHeight="false" outlineLevel="0" collapsed="false">
      <c r="A144" s="1227" t="n">
        <f aca="false">A143+1</f>
        <v>36880</v>
      </c>
      <c r="B144" s="0" t="n">
        <v>38</v>
      </c>
      <c r="C144" s="0" t="n">
        <f aca="false">IF(DAY(A144)=1,B144,C143+B144)</f>
        <v>699</v>
      </c>
      <c r="D144" s="0" t="n">
        <f aca="false">B144+D143</f>
        <v>1956</v>
      </c>
    </row>
    <row r="145" customFormat="false" ht="15" hidden="false" customHeight="false" outlineLevel="0" collapsed="false">
      <c r="A145" s="1227" t="n">
        <f aca="false">A144+1</f>
        <v>36881</v>
      </c>
      <c r="B145" s="0" t="n">
        <v>38</v>
      </c>
      <c r="C145" s="0" t="n">
        <f aca="false">IF(DAY(A145)=1,B145,C144+B145)</f>
        <v>737</v>
      </c>
      <c r="D145" s="0" t="n">
        <f aca="false">B145+D144</f>
        <v>1994</v>
      </c>
    </row>
    <row r="146" customFormat="false" ht="15" hidden="false" customHeight="false" outlineLevel="0" collapsed="false">
      <c r="A146" s="1227" t="n">
        <f aca="false">A145+1</f>
        <v>36882</v>
      </c>
      <c r="B146" s="0" t="n">
        <v>39</v>
      </c>
      <c r="C146" s="0" t="n">
        <f aca="false">IF(DAY(A146)=1,B146,C145+B146)</f>
        <v>776</v>
      </c>
      <c r="D146" s="0" t="n">
        <f aca="false">B146+D145</f>
        <v>2033</v>
      </c>
    </row>
    <row r="147" customFormat="false" ht="15" hidden="false" customHeight="false" outlineLevel="0" collapsed="false">
      <c r="A147" s="1227" t="n">
        <f aca="false">A146+1</f>
        <v>36883</v>
      </c>
      <c r="B147" s="0" t="n">
        <v>39</v>
      </c>
      <c r="C147" s="0" t="n">
        <f aca="false">IF(DAY(A147)=1,B147,C146+B147)</f>
        <v>815</v>
      </c>
      <c r="D147" s="0" t="n">
        <f aca="false">B147+D146</f>
        <v>2072</v>
      </c>
    </row>
    <row r="148" customFormat="false" ht="15" hidden="false" customHeight="false" outlineLevel="0" collapsed="false">
      <c r="A148" s="1227" t="n">
        <f aca="false">A147+1</f>
        <v>36884</v>
      </c>
      <c r="B148" s="0" t="n">
        <v>39</v>
      </c>
      <c r="C148" s="0" t="n">
        <f aca="false">IF(DAY(A148)=1,B148,C147+B148)</f>
        <v>854</v>
      </c>
      <c r="D148" s="0" t="n">
        <f aca="false">B148+D147</f>
        <v>2111</v>
      </c>
    </row>
    <row r="149" customFormat="false" ht="15" hidden="false" customHeight="false" outlineLevel="0" collapsed="false">
      <c r="A149" s="1227" t="n">
        <f aca="false">A148+1</f>
        <v>36885</v>
      </c>
      <c r="B149" s="0" t="n">
        <v>40</v>
      </c>
      <c r="C149" s="0" t="n">
        <f aca="false">IF(DAY(A149)=1,B149,C148+B149)</f>
        <v>894</v>
      </c>
      <c r="D149" s="0" t="n">
        <f aca="false">B149+D148</f>
        <v>2151</v>
      </c>
    </row>
    <row r="150" customFormat="false" ht="15" hidden="false" customHeight="false" outlineLevel="0" collapsed="false">
      <c r="A150" s="1227" t="n">
        <f aca="false">A149+1</f>
        <v>36886</v>
      </c>
      <c r="B150" s="0" t="n">
        <v>40</v>
      </c>
      <c r="C150" s="0" t="n">
        <f aca="false">IF(DAY(A150)=1,B150,C149+B150)</f>
        <v>934</v>
      </c>
      <c r="D150" s="0" t="n">
        <f aca="false">B150+D149</f>
        <v>2191</v>
      </c>
    </row>
    <row r="151" customFormat="false" ht="15" hidden="false" customHeight="false" outlineLevel="0" collapsed="false">
      <c r="A151" s="1227" t="n">
        <f aca="false">A150+1</f>
        <v>36887</v>
      </c>
      <c r="B151" s="0" t="n">
        <v>40</v>
      </c>
      <c r="C151" s="0" t="n">
        <f aca="false">IF(DAY(A151)=1,B151,C150+B151)</f>
        <v>974</v>
      </c>
      <c r="D151" s="0" t="n">
        <f aca="false">B151+D150</f>
        <v>2231</v>
      </c>
    </row>
    <row r="152" customFormat="false" ht="15" hidden="false" customHeight="false" outlineLevel="0" collapsed="false">
      <c r="A152" s="1227" t="n">
        <f aca="false">A151+1</f>
        <v>36888</v>
      </c>
      <c r="B152" s="0" t="n">
        <v>40</v>
      </c>
      <c r="C152" s="0" t="n">
        <f aca="false">IF(DAY(A152)=1,B152,C151+B152)</f>
        <v>1014</v>
      </c>
      <c r="D152" s="0" t="n">
        <f aca="false">B152+D151</f>
        <v>2271</v>
      </c>
    </row>
    <row r="153" customFormat="false" ht="15" hidden="false" customHeight="false" outlineLevel="0" collapsed="false">
      <c r="A153" s="1227" t="n">
        <f aca="false">A152+1</f>
        <v>36889</v>
      </c>
      <c r="B153" s="0" t="n">
        <v>40</v>
      </c>
      <c r="C153" s="0" t="n">
        <f aca="false">IF(DAY(A153)=1,B153,C152+B153)</f>
        <v>1054</v>
      </c>
      <c r="D153" s="0" t="n">
        <f aca="false">B153+D152</f>
        <v>2311</v>
      </c>
    </row>
    <row r="154" customFormat="false" ht="15" hidden="false" customHeight="false" outlineLevel="0" collapsed="false">
      <c r="A154" s="1227" t="n">
        <f aca="false">A153+1</f>
        <v>36890</v>
      </c>
      <c r="B154" s="0" t="n">
        <v>41</v>
      </c>
      <c r="C154" s="0" t="n">
        <f aca="false">IF(DAY(A154)=1,B154,C153+B154)</f>
        <v>1095</v>
      </c>
      <c r="D154" s="0" t="n">
        <f aca="false">B154+D153</f>
        <v>2352</v>
      </c>
    </row>
    <row r="155" customFormat="false" ht="15" hidden="false" customHeight="false" outlineLevel="0" collapsed="false">
      <c r="A155" s="1227" t="n">
        <f aca="false">A154+1</f>
        <v>36891</v>
      </c>
      <c r="B155" s="0" t="n">
        <v>42</v>
      </c>
      <c r="C155" s="0" t="n">
        <f aca="false">IF(DAY(A155)=1,B155,C154+B155)</f>
        <v>1137</v>
      </c>
      <c r="D155" s="0" t="n">
        <f aca="false">B155+D154</f>
        <v>2394</v>
      </c>
    </row>
    <row r="156" customFormat="false" ht="15" hidden="false" customHeight="false" outlineLevel="0" collapsed="false">
      <c r="A156" s="1227" t="n">
        <f aca="false">A155+1</f>
        <v>36892</v>
      </c>
      <c r="B156" s="0" t="n">
        <v>42</v>
      </c>
      <c r="C156" s="0" t="n">
        <f aca="false">IF(DAY(A156)=1,B156,C155+B156)</f>
        <v>42</v>
      </c>
      <c r="D156" s="0" t="n">
        <f aca="false">B156+D155</f>
        <v>2436</v>
      </c>
    </row>
    <row r="157" customFormat="false" ht="15" hidden="false" customHeight="false" outlineLevel="0" collapsed="false">
      <c r="A157" s="1227" t="n">
        <f aca="false">A156+1</f>
        <v>36893</v>
      </c>
      <c r="B157" s="0" t="n">
        <v>42</v>
      </c>
      <c r="C157" s="0" t="n">
        <f aca="false">IF(DAY(A157)=1,B157,C156+B157)</f>
        <v>84</v>
      </c>
      <c r="D157" s="0" t="n">
        <f aca="false">B157+D156</f>
        <v>2478</v>
      </c>
    </row>
    <row r="158" customFormat="false" ht="15" hidden="false" customHeight="false" outlineLevel="0" collapsed="false">
      <c r="A158" s="1227" t="n">
        <f aca="false">A157+1</f>
        <v>36894</v>
      </c>
      <c r="B158" s="0" t="n">
        <v>42</v>
      </c>
      <c r="C158" s="0" t="n">
        <f aca="false">IF(DAY(A158)=1,B158,C157+B158)</f>
        <v>126</v>
      </c>
      <c r="D158" s="0" t="n">
        <f aca="false">B158+D157</f>
        <v>2520</v>
      </c>
    </row>
    <row r="159" customFormat="false" ht="15" hidden="false" customHeight="false" outlineLevel="0" collapsed="false">
      <c r="A159" s="1227" t="n">
        <f aca="false">A158+1</f>
        <v>36895</v>
      </c>
      <c r="B159" s="0" t="n">
        <v>43</v>
      </c>
      <c r="C159" s="0" t="n">
        <f aca="false">IF(DAY(A159)=1,B159,C158+B159)</f>
        <v>169</v>
      </c>
      <c r="D159" s="0" t="n">
        <f aca="false">B159+D158</f>
        <v>2563</v>
      </c>
    </row>
    <row r="160" customFormat="false" ht="15" hidden="false" customHeight="false" outlineLevel="0" collapsed="false">
      <c r="A160" s="1227" t="n">
        <f aca="false">A159+1</f>
        <v>36896</v>
      </c>
      <c r="B160" s="0" t="n">
        <v>43</v>
      </c>
      <c r="C160" s="0" t="n">
        <f aca="false">IF(DAY(A160)=1,B160,C159+B160)</f>
        <v>212</v>
      </c>
      <c r="D160" s="0" t="n">
        <f aca="false">B160+D159</f>
        <v>2606</v>
      </c>
    </row>
    <row r="161" customFormat="false" ht="15" hidden="false" customHeight="false" outlineLevel="0" collapsed="false">
      <c r="A161" s="1227" t="n">
        <f aca="false">A160+1</f>
        <v>36897</v>
      </c>
      <c r="B161" s="0" t="n">
        <v>43</v>
      </c>
      <c r="C161" s="0" t="n">
        <f aca="false">IF(DAY(A161)=1,B161,C160+B161)</f>
        <v>255</v>
      </c>
      <c r="D161" s="0" t="n">
        <f aca="false">B161+D160</f>
        <v>2649</v>
      </c>
    </row>
    <row r="162" customFormat="false" ht="15" hidden="false" customHeight="false" outlineLevel="0" collapsed="false">
      <c r="A162" s="1227" t="n">
        <f aca="false">A161+1</f>
        <v>36898</v>
      </c>
      <c r="B162" s="0" t="n">
        <v>43</v>
      </c>
      <c r="C162" s="0" t="n">
        <f aca="false">IF(DAY(A162)=1,B162,C161+B162)</f>
        <v>298</v>
      </c>
      <c r="D162" s="0" t="n">
        <f aca="false">B162+D161</f>
        <v>2692</v>
      </c>
    </row>
    <row r="163" customFormat="false" ht="15" hidden="false" customHeight="false" outlineLevel="0" collapsed="false">
      <c r="A163" s="1227" t="n">
        <f aca="false">A162+1</f>
        <v>36899</v>
      </c>
      <c r="B163" s="0" t="n">
        <v>43</v>
      </c>
      <c r="C163" s="0" t="n">
        <f aca="false">IF(DAY(A163)=1,B163,C162+B163)</f>
        <v>341</v>
      </c>
      <c r="D163" s="0" t="n">
        <f aca="false">B163+D162</f>
        <v>2735</v>
      </c>
    </row>
    <row r="164" customFormat="false" ht="15" hidden="false" customHeight="false" outlineLevel="0" collapsed="false">
      <c r="A164" s="1227" t="n">
        <f aca="false">A163+1</f>
        <v>36900</v>
      </c>
      <c r="B164" s="0" t="n">
        <v>43</v>
      </c>
      <c r="C164" s="0" t="n">
        <f aca="false">IF(DAY(A164)=1,B164,C163+B164)</f>
        <v>384</v>
      </c>
      <c r="D164" s="0" t="n">
        <f aca="false">B164+D163</f>
        <v>2778</v>
      </c>
    </row>
    <row r="165" customFormat="false" ht="15" hidden="false" customHeight="false" outlineLevel="0" collapsed="false">
      <c r="A165" s="1227" t="n">
        <f aca="false">A164+1</f>
        <v>36901</v>
      </c>
      <c r="B165" s="0" t="n">
        <v>43</v>
      </c>
      <c r="C165" s="0" t="n">
        <f aca="false">IF(DAY(A165)=1,B165,C164+B165)</f>
        <v>427</v>
      </c>
      <c r="D165" s="0" t="n">
        <f aca="false">B165+D164</f>
        <v>2821</v>
      </c>
    </row>
    <row r="166" customFormat="false" ht="15" hidden="false" customHeight="false" outlineLevel="0" collapsed="false">
      <c r="A166" s="1227" t="n">
        <f aca="false">A165+1</f>
        <v>36902</v>
      </c>
      <c r="B166" s="0" t="n">
        <v>43</v>
      </c>
      <c r="C166" s="0" t="n">
        <f aca="false">IF(DAY(A166)=1,B166,C165+B166)</f>
        <v>470</v>
      </c>
      <c r="D166" s="0" t="n">
        <f aca="false">B166+D165</f>
        <v>2864</v>
      </c>
    </row>
    <row r="167" customFormat="false" ht="15" hidden="false" customHeight="false" outlineLevel="0" collapsed="false">
      <c r="A167" s="1227" t="n">
        <f aca="false">A166+1</f>
        <v>36903</v>
      </c>
      <c r="B167" s="0" t="n">
        <v>43</v>
      </c>
      <c r="C167" s="0" t="n">
        <f aca="false">IF(DAY(A167)=1,B167,C166+B167)</f>
        <v>513</v>
      </c>
      <c r="D167" s="0" t="n">
        <f aca="false">B167+D166</f>
        <v>2907</v>
      </c>
    </row>
    <row r="168" customFormat="false" ht="15" hidden="false" customHeight="false" outlineLevel="0" collapsed="false">
      <c r="A168" s="1227" t="n">
        <f aca="false">A167+1</f>
        <v>36904</v>
      </c>
      <c r="B168" s="0" t="n">
        <v>43</v>
      </c>
      <c r="C168" s="0" t="n">
        <f aca="false">IF(DAY(A168)=1,B168,C167+B168)</f>
        <v>556</v>
      </c>
      <c r="D168" s="0" t="n">
        <f aca="false">B168+D167</f>
        <v>2950</v>
      </c>
    </row>
    <row r="169" customFormat="false" ht="15" hidden="false" customHeight="false" outlineLevel="0" collapsed="false">
      <c r="A169" s="1227" t="n">
        <f aca="false">A168+1</f>
        <v>36905</v>
      </c>
      <c r="B169" s="0" t="n">
        <v>43</v>
      </c>
      <c r="C169" s="0" t="n">
        <f aca="false">IF(DAY(A169)=1,B169,C168+B169)</f>
        <v>599</v>
      </c>
      <c r="D169" s="0" t="n">
        <f aca="false">B169+D168</f>
        <v>2993</v>
      </c>
    </row>
    <row r="170" customFormat="false" ht="15" hidden="false" customHeight="false" outlineLevel="0" collapsed="false">
      <c r="A170" s="1227" t="n">
        <f aca="false">A169+1</f>
        <v>36906</v>
      </c>
      <c r="B170" s="0" t="n">
        <v>44</v>
      </c>
      <c r="C170" s="0" t="n">
        <f aca="false">IF(DAY(A170)=1,B170,C169+B170)</f>
        <v>643</v>
      </c>
      <c r="D170" s="0" t="n">
        <f aca="false">B170+D169</f>
        <v>3037</v>
      </c>
    </row>
    <row r="171" customFormat="false" ht="15" hidden="false" customHeight="false" outlineLevel="0" collapsed="false">
      <c r="A171" s="1227" t="n">
        <f aca="false">A170+1</f>
        <v>36907</v>
      </c>
      <c r="B171" s="0" t="n">
        <v>44</v>
      </c>
      <c r="C171" s="0" t="n">
        <f aca="false">IF(DAY(A171)=1,B171,C170+B171)</f>
        <v>687</v>
      </c>
      <c r="D171" s="0" t="n">
        <f aca="false">B171+D170</f>
        <v>3081</v>
      </c>
    </row>
    <row r="172" customFormat="false" ht="15" hidden="false" customHeight="false" outlineLevel="0" collapsed="false">
      <c r="A172" s="1227" t="n">
        <f aca="false">A171+1</f>
        <v>36908</v>
      </c>
      <c r="B172" s="0" t="n">
        <v>45</v>
      </c>
      <c r="C172" s="0" t="n">
        <f aca="false">IF(DAY(A172)=1,B172,C171+B172)</f>
        <v>732</v>
      </c>
      <c r="D172" s="0" t="n">
        <f aca="false">B172+D171</f>
        <v>3126</v>
      </c>
    </row>
    <row r="173" customFormat="false" ht="15" hidden="false" customHeight="false" outlineLevel="0" collapsed="false">
      <c r="A173" s="1227" t="n">
        <f aca="false">A172+1</f>
        <v>36909</v>
      </c>
      <c r="B173" s="0" t="n">
        <v>44</v>
      </c>
      <c r="C173" s="0" t="n">
        <f aca="false">IF(DAY(A173)=1,B173,C172+B173)</f>
        <v>776</v>
      </c>
      <c r="D173" s="0" t="n">
        <f aca="false">B173+D172</f>
        <v>3170</v>
      </c>
    </row>
    <row r="174" customFormat="false" ht="15" hidden="false" customHeight="false" outlineLevel="0" collapsed="false">
      <c r="A174" s="1227" t="n">
        <f aca="false">A173+1</f>
        <v>36910</v>
      </c>
      <c r="B174" s="0" t="n">
        <v>44</v>
      </c>
      <c r="C174" s="0" t="n">
        <f aca="false">IF(DAY(A174)=1,B174,C173+B174)</f>
        <v>820</v>
      </c>
      <c r="D174" s="0" t="n">
        <f aca="false">B174+D173</f>
        <v>3214</v>
      </c>
    </row>
    <row r="175" customFormat="false" ht="15" hidden="false" customHeight="false" outlineLevel="0" collapsed="false">
      <c r="A175" s="1227" t="n">
        <f aca="false">A174+1</f>
        <v>36911</v>
      </c>
      <c r="B175" s="0" t="n">
        <v>43</v>
      </c>
      <c r="C175" s="0" t="n">
        <f aca="false">IF(DAY(A175)=1,B175,C174+B175)</f>
        <v>863</v>
      </c>
      <c r="D175" s="0" t="n">
        <f aca="false">B175+D174</f>
        <v>3257</v>
      </c>
    </row>
    <row r="176" customFormat="false" ht="15" hidden="false" customHeight="false" outlineLevel="0" collapsed="false">
      <c r="A176" s="1227" t="n">
        <f aca="false">A175+1</f>
        <v>36912</v>
      </c>
      <c r="B176" s="0" t="n">
        <v>43</v>
      </c>
      <c r="C176" s="0" t="n">
        <f aca="false">IF(DAY(A176)=1,B176,C175+B176)</f>
        <v>906</v>
      </c>
      <c r="D176" s="0" t="n">
        <f aca="false">B176+D175</f>
        <v>3300</v>
      </c>
    </row>
    <row r="177" customFormat="false" ht="15" hidden="false" customHeight="false" outlineLevel="0" collapsed="false">
      <c r="A177" s="1227" t="n">
        <f aca="false">A176+1</f>
        <v>36913</v>
      </c>
      <c r="B177" s="0" t="n">
        <v>43</v>
      </c>
      <c r="C177" s="0" t="n">
        <f aca="false">IF(DAY(A177)=1,B177,C176+B177)</f>
        <v>949</v>
      </c>
      <c r="D177" s="0" t="n">
        <f aca="false">B177+D176</f>
        <v>3343</v>
      </c>
    </row>
    <row r="178" customFormat="false" ht="15" hidden="false" customHeight="false" outlineLevel="0" collapsed="false">
      <c r="A178" s="1227" t="n">
        <f aca="false">A177+1</f>
        <v>36914</v>
      </c>
      <c r="B178" s="0" t="n">
        <v>43</v>
      </c>
      <c r="C178" s="0" t="n">
        <f aca="false">IF(DAY(A178)=1,B178,C177+B178)</f>
        <v>992</v>
      </c>
      <c r="D178" s="0" t="n">
        <f aca="false">B178+D177</f>
        <v>3386</v>
      </c>
    </row>
    <row r="179" customFormat="false" ht="15" hidden="false" customHeight="false" outlineLevel="0" collapsed="false">
      <c r="A179" s="1227" t="n">
        <f aca="false">A178+1</f>
        <v>36915</v>
      </c>
      <c r="B179" s="0" t="n">
        <v>43</v>
      </c>
      <c r="C179" s="0" t="n">
        <f aca="false">IF(DAY(A179)=1,B179,C178+B179)</f>
        <v>1035</v>
      </c>
      <c r="D179" s="0" t="n">
        <f aca="false">B179+D178</f>
        <v>3429</v>
      </c>
    </row>
    <row r="180" customFormat="false" ht="15" hidden="false" customHeight="false" outlineLevel="0" collapsed="false">
      <c r="A180" s="1227" t="n">
        <f aca="false">A179+1</f>
        <v>36916</v>
      </c>
      <c r="B180" s="0" t="n">
        <v>43</v>
      </c>
      <c r="C180" s="0" t="n">
        <f aca="false">IF(DAY(A180)=1,B180,C179+B180)</f>
        <v>1078</v>
      </c>
      <c r="D180" s="0" t="n">
        <f aca="false">B180+D179</f>
        <v>3472</v>
      </c>
    </row>
    <row r="181" customFormat="false" ht="15" hidden="false" customHeight="false" outlineLevel="0" collapsed="false">
      <c r="A181" s="1227" t="n">
        <f aca="false">A180+1</f>
        <v>36917</v>
      </c>
      <c r="B181" s="0" t="n">
        <v>43</v>
      </c>
      <c r="C181" s="0" t="n">
        <f aca="false">IF(DAY(A181)=1,B181,C180+B181)</f>
        <v>1121</v>
      </c>
      <c r="D181" s="0" t="n">
        <f aca="false">B181+D180</f>
        <v>3515</v>
      </c>
    </row>
    <row r="182" customFormat="false" ht="15" hidden="false" customHeight="false" outlineLevel="0" collapsed="false">
      <c r="A182" s="1227" t="n">
        <f aca="false">A181+1</f>
        <v>36918</v>
      </c>
      <c r="B182" s="0" t="n">
        <v>43</v>
      </c>
      <c r="C182" s="0" t="n">
        <f aca="false">IF(DAY(A182)=1,B182,C181+B182)</f>
        <v>1164</v>
      </c>
      <c r="D182" s="0" t="n">
        <f aca="false">B182+D181</f>
        <v>3558</v>
      </c>
    </row>
    <row r="183" customFormat="false" ht="15" hidden="false" customHeight="false" outlineLevel="0" collapsed="false">
      <c r="A183" s="1227" t="n">
        <f aca="false">A182+1</f>
        <v>36919</v>
      </c>
      <c r="B183" s="0" t="n">
        <v>42</v>
      </c>
      <c r="C183" s="0" t="n">
        <f aca="false">IF(DAY(A183)=1,B183,C182+B183)</f>
        <v>1206</v>
      </c>
      <c r="D183" s="0" t="n">
        <f aca="false">B183+D182</f>
        <v>3600</v>
      </c>
    </row>
    <row r="184" customFormat="false" ht="15" hidden="false" customHeight="false" outlineLevel="0" collapsed="false">
      <c r="A184" s="1227" t="n">
        <f aca="false">A183+1</f>
        <v>36920</v>
      </c>
      <c r="B184" s="0" t="n">
        <v>42</v>
      </c>
      <c r="C184" s="0" t="n">
        <f aca="false">IF(DAY(A184)=1,B184,C183+B184)</f>
        <v>1248</v>
      </c>
      <c r="D184" s="0" t="n">
        <f aca="false">B184+D183</f>
        <v>3642</v>
      </c>
    </row>
    <row r="185" customFormat="false" ht="15" hidden="false" customHeight="false" outlineLevel="0" collapsed="false">
      <c r="A185" s="1227" t="n">
        <f aca="false">A184+1</f>
        <v>36921</v>
      </c>
      <c r="B185" s="0" t="n">
        <v>42</v>
      </c>
      <c r="C185" s="0" t="n">
        <f aca="false">IF(DAY(A185)=1,B185,C184+B185)</f>
        <v>1290</v>
      </c>
      <c r="D185" s="0" t="n">
        <f aca="false">B185+D184</f>
        <v>3684</v>
      </c>
    </row>
    <row r="186" customFormat="false" ht="15" hidden="false" customHeight="false" outlineLevel="0" collapsed="false">
      <c r="A186" s="1227" t="n">
        <f aca="false">A185+1</f>
        <v>36922</v>
      </c>
      <c r="B186" s="0" t="n">
        <v>42</v>
      </c>
      <c r="C186" s="0" t="n">
        <f aca="false">IF(DAY(A186)=1,B186,C185+B186)</f>
        <v>1332</v>
      </c>
      <c r="D186" s="0" t="n">
        <f aca="false">B186+D185</f>
        <v>3726</v>
      </c>
    </row>
    <row r="187" customFormat="false" ht="15" hidden="false" customHeight="false" outlineLevel="0" collapsed="false">
      <c r="A187" s="1227" t="n">
        <f aca="false">A186+1</f>
        <v>36923</v>
      </c>
      <c r="B187" s="0" t="n">
        <v>42</v>
      </c>
      <c r="C187" s="0" t="n">
        <f aca="false">IF(DAY(A187)=1,B187,C186+B187)</f>
        <v>42</v>
      </c>
      <c r="D187" s="0" t="n">
        <f aca="false">B187+D186</f>
        <v>3768</v>
      </c>
    </row>
    <row r="188" customFormat="false" ht="15" hidden="false" customHeight="false" outlineLevel="0" collapsed="false">
      <c r="A188" s="1227" t="n">
        <f aca="false">A187+1</f>
        <v>36924</v>
      </c>
      <c r="B188" s="0" t="n">
        <v>42</v>
      </c>
      <c r="C188" s="0" t="n">
        <f aca="false">IF(DAY(A188)=1,B188,C187+B188)</f>
        <v>84</v>
      </c>
      <c r="D188" s="0" t="n">
        <f aca="false">B188+D187</f>
        <v>3810</v>
      </c>
    </row>
    <row r="189" customFormat="false" ht="15" hidden="false" customHeight="false" outlineLevel="0" collapsed="false">
      <c r="A189" s="1227" t="n">
        <f aca="false">A188+1</f>
        <v>36925</v>
      </c>
      <c r="B189" s="0" t="n">
        <v>42</v>
      </c>
      <c r="C189" s="0" t="n">
        <f aca="false">IF(DAY(A189)=1,B189,C188+B189)</f>
        <v>126</v>
      </c>
      <c r="D189" s="0" t="n">
        <f aca="false">B189+D188</f>
        <v>3852</v>
      </c>
    </row>
    <row r="190" customFormat="false" ht="15" hidden="false" customHeight="false" outlineLevel="0" collapsed="false">
      <c r="A190" s="1227" t="n">
        <f aca="false">A189+1</f>
        <v>36926</v>
      </c>
      <c r="B190" s="0" t="n">
        <v>42</v>
      </c>
      <c r="C190" s="0" t="n">
        <f aca="false">IF(DAY(A190)=1,B190,C189+B190)</f>
        <v>168</v>
      </c>
      <c r="D190" s="0" t="n">
        <f aca="false">B190+D189</f>
        <v>3894</v>
      </c>
    </row>
    <row r="191" customFormat="false" ht="15" hidden="false" customHeight="false" outlineLevel="0" collapsed="false">
      <c r="A191" s="1227" t="n">
        <f aca="false">A190+1</f>
        <v>36927</v>
      </c>
      <c r="B191" s="0" t="n">
        <v>41</v>
      </c>
      <c r="C191" s="0" t="n">
        <f aca="false">IF(DAY(A191)=1,B191,C190+B191)</f>
        <v>209</v>
      </c>
      <c r="D191" s="0" t="n">
        <f aca="false">B191+D190</f>
        <v>3935</v>
      </c>
    </row>
    <row r="192" customFormat="false" ht="15" hidden="false" customHeight="false" outlineLevel="0" collapsed="false">
      <c r="A192" s="1227" t="n">
        <f aca="false">A191+1</f>
        <v>36928</v>
      </c>
      <c r="B192" s="0" t="n">
        <v>41</v>
      </c>
      <c r="C192" s="0" t="n">
        <f aca="false">IF(DAY(A192)=1,B192,C191+B192)</f>
        <v>250</v>
      </c>
      <c r="D192" s="0" t="n">
        <f aca="false">B192+D191</f>
        <v>3976</v>
      </c>
    </row>
    <row r="193" customFormat="false" ht="15" hidden="false" customHeight="false" outlineLevel="0" collapsed="false">
      <c r="A193" s="1227" t="n">
        <f aca="false">A192+1</f>
        <v>36929</v>
      </c>
      <c r="B193" s="0" t="n">
        <v>41</v>
      </c>
      <c r="C193" s="0" t="n">
        <f aca="false">IF(DAY(A193)=1,B193,C192+B193)</f>
        <v>291</v>
      </c>
      <c r="D193" s="0" t="n">
        <f aca="false">B193+D192</f>
        <v>4017</v>
      </c>
    </row>
    <row r="194" customFormat="false" ht="15" hidden="false" customHeight="false" outlineLevel="0" collapsed="false">
      <c r="A194" s="1227" t="n">
        <f aca="false">A193+1</f>
        <v>36930</v>
      </c>
      <c r="B194" s="0" t="n">
        <v>41</v>
      </c>
      <c r="C194" s="0" t="n">
        <f aca="false">IF(DAY(A194)=1,B194,C193+B194)</f>
        <v>332</v>
      </c>
      <c r="D194" s="0" t="n">
        <f aca="false">B194+D193</f>
        <v>4058</v>
      </c>
    </row>
    <row r="195" customFormat="false" ht="15" hidden="false" customHeight="false" outlineLevel="0" collapsed="false">
      <c r="A195" s="1227" t="n">
        <f aca="false">A194+1</f>
        <v>36931</v>
      </c>
      <c r="B195" s="0" t="n">
        <v>41</v>
      </c>
      <c r="C195" s="0" t="n">
        <f aca="false">IF(DAY(A195)=1,B195,C194+B195)</f>
        <v>373</v>
      </c>
      <c r="D195" s="0" t="n">
        <f aca="false">B195+D194</f>
        <v>4099</v>
      </c>
    </row>
    <row r="196" customFormat="false" ht="15" hidden="false" customHeight="false" outlineLevel="0" collapsed="false">
      <c r="A196" s="1227" t="n">
        <f aca="false">A195+1</f>
        <v>36932</v>
      </c>
      <c r="B196" s="0" t="n">
        <v>40</v>
      </c>
      <c r="C196" s="0" t="n">
        <f aca="false">IF(DAY(A196)=1,B196,C195+B196)</f>
        <v>413</v>
      </c>
      <c r="D196" s="0" t="n">
        <f aca="false">B196+D195</f>
        <v>4139</v>
      </c>
    </row>
    <row r="197" customFormat="false" ht="15" hidden="false" customHeight="false" outlineLevel="0" collapsed="false">
      <c r="A197" s="1227" t="n">
        <f aca="false">A196+1</f>
        <v>36933</v>
      </c>
      <c r="B197" s="0" t="n">
        <v>40</v>
      </c>
      <c r="C197" s="0" t="n">
        <f aca="false">IF(DAY(A197)=1,B197,C196+B197)</f>
        <v>453</v>
      </c>
      <c r="D197" s="0" t="n">
        <f aca="false">B197+D196</f>
        <v>4179</v>
      </c>
    </row>
    <row r="198" customFormat="false" ht="15" hidden="false" customHeight="false" outlineLevel="0" collapsed="false">
      <c r="A198" s="1227" t="n">
        <f aca="false">A197+1</f>
        <v>36934</v>
      </c>
      <c r="B198" s="0" t="n">
        <v>40</v>
      </c>
      <c r="C198" s="0" t="n">
        <f aca="false">IF(DAY(A198)=1,B198,C197+B198)</f>
        <v>493</v>
      </c>
      <c r="D198" s="0" t="n">
        <f aca="false">B198+D197</f>
        <v>4219</v>
      </c>
    </row>
    <row r="199" customFormat="false" ht="15" hidden="false" customHeight="false" outlineLevel="0" collapsed="false">
      <c r="A199" s="1227" t="n">
        <f aca="false">A198+1</f>
        <v>36935</v>
      </c>
      <c r="B199" s="0" t="n">
        <v>39</v>
      </c>
      <c r="C199" s="0" t="n">
        <f aca="false">IF(DAY(A199)=1,B199,C198+B199)</f>
        <v>532</v>
      </c>
      <c r="D199" s="0" t="n">
        <f aca="false">B199+D198</f>
        <v>4258</v>
      </c>
    </row>
    <row r="200" customFormat="false" ht="15" hidden="false" customHeight="false" outlineLevel="0" collapsed="false">
      <c r="A200" s="1227" t="n">
        <f aca="false">A199+1</f>
        <v>36936</v>
      </c>
      <c r="B200" s="0" t="n">
        <v>39</v>
      </c>
      <c r="C200" s="0" t="n">
        <f aca="false">IF(DAY(A200)=1,B200,C199+B200)</f>
        <v>571</v>
      </c>
      <c r="D200" s="0" t="n">
        <f aca="false">B200+D199</f>
        <v>4297</v>
      </c>
    </row>
    <row r="201" customFormat="false" ht="15" hidden="false" customHeight="false" outlineLevel="0" collapsed="false">
      <c r="A201" s="1227" t="n">
        <f aca="false">A200+1</f>
        <v>36937</v>
      </c>
      <c r="B201" s="0" t="n">
        <v>39</v>
      </c>
      <c r="C201" s="0" t="n">
        <f aca="false">IF(DAY(A201)=1,B201,C200+B201)</f>
        <v>610</v>
      </c>
      <c r="D201" s="0" t="n">
        <f aca="false">B201+D200</f>
        <v>4336</v>
      </c>
    </row>
    <row r="202" customFormat="false" ht="15" hidden="false" customHeight="false" outlineLevel="0" collapsed="false">
      <c r="A202" s="1227" t="n">
        <f aca="false">A201+1</f>
        <v>36938</v>
      </c>
      <c r="B202" s="0" t="n">
        <v>38</v>
      </c>
      <c r="C202" s="0" t="n">
        <f aca="false">IF(DAY(A202)=1,B202,C201+B202)</f>
        <v>648</v>
      </c>
      <c r="D202" s="0" t="n">
        <f aca="false">B202+D201</f>
        <v>4374</v>
      </c>
    </row>
    <row r="203" customFormat="false" ht="15" hidden="false" customHeight="false" outlineLevel="0" collapsed="false">
      <c r="A203" s="1227" t="n">
        <f aca="false">A202+1</f>
        <v>36939</v>
      </c>
      <c r="B203" s="0" t="n">
        <v>37</v>
      </c>
      <c r="C203" s="0" t="n">
        <f aca="false">IF(DAY(A203)=1,B203,C202+B203)</f>
        <v>685</v>
      </c>
      <c r="D203" s="0" t="n">
        <f aca="false">B203+D202</f>
        <v>4411</v>
      </c>
    </row>
    <row r="204" customFormat="false" ht="15" hidden="false" customHeight="false" outlineLevel="0" collapsed="false">
      <c r="A204" s="1227" t="n">
        <f aca="false">A203+1</f>
        <v>36940</v>
      </c>
      <c r="B204" s="0" t="n">
        <v>37</v>
      </c>
      <c r="C204" s="0" t="n">
        <f aca="false">IF(DAY(A204)=1,B204,C203+B204)</f>
        <v>722</v>
      </c>
      <c r="D204" s="0" t="n">
        <f aca="false">B204+D203</f>
        <v>4448</v>
      </c>
    </row>
    <row r="205" customFormat="false" ht="15" hidden="false" customHeight="false" outlineLevel="0" collapsed="false">
      <c r="A205" s="1227" t="n">
        <f aca="false">A204+1</f>
        <v>36941</v>
      </c>
      <c r="B205" s="0" t="n">
        <v>36</v>
      </c>
      <c r="C205" s="0" t="n">
        <f aca="false">IF(DAY(A205)=1,B205,C204+B205)</f>
        <v>758</v>
      </c>
      <c r="D205" s="0" t="n">
        <f aca="false">B205+D204</f>
        <v>4484</v>
      </c>
    </row>
    <row r="206" customFormat="false" ht="15" hidden="false" customHeight="false" outlineLevel="0" collapsed="false">
      <c r="A206" s="1227" t="n">
        <f aca="false">A205+1</f>
        <v>36942</v>
      </c>
      <c r="B206" s="0" t="n">
        <v>36</v>
      </c>
      <c r="C206" s="0" t="n">
        <f aca="false">IF(DAY(A206)=1,B206,C205+B206)</f>
        <v>794</v>
      </c>
      <c r="D206" s="0" t="n">
        <f aca="false">B206+D205</f>
        <v>4520</v>
      </c>
    </row>
    <row r="207" customFormat="false" ht="15" hidden="false" customHeight="false" outlineLevel="0" collapsed="false">
      <c r="A207" s="1227" t="n">
        <f aca="false">A206+1</f>
        <v>36943</v>
      </c>
      <c r="B207" s="0" t="n">
        <v>36</v>
      </c>
      <c r="C207" s="0" t="n">
        <f aca="false">IF(DAY(A207)=1,B207,C206+B207)</f>
        <v>830</v>
      </c>
      <c r="D207" s="0" t="n">
        <f aca="false">B207+D206</f>
        <v>4556</v>
      </c>
    </row>
    <row r="208" customFormat="false" ht="15" hidden="false" customHeight="false" outlineLevel="0" collapsed="false">
      <c r="A208" s="1227" t="n">
        <f aca="false">A207+1</f>
        <v>36944</v>
      </c>
      <c r="B208" s="0" t="n">
        <v>35</v>
      </c>
      <c r="C208" s="0" t="n">
        <f aca="false">IF(DAY(A208)=1,B208,C207+B208)</f>
        <v>865</v>
      </c>
      <c r="D208" s="0" t="n">
        <f aca="false">B208+D207</f>
        <v>4591</v>
      </c>
    </row>
    <row r="209" customFormat="false" ht="15" hidden="false" customHeight="false" outlineLevel="0" collapsed="false">
      <c r="A209" s="1227" t="n">
        <f aca="false">A208+1</f>
        <v>36945</v>
      </c>
      <c r="B209" s="0" t="n">
        <v>35</v>
      </c>
      <c r="C209" s="0" t="n">
        <f aca="false">IF(DAY(A209)=1,B209,C208+B209)</f>
        <v>900</v>
      </c>
      <c r="D209" s="0" t="n">
        <f aca="false">B209+D208</f>
        <v>4626</v>
      </c>
    </row>
    <row r="210" customFormat="false" ht="15" hidden="false" customHeight="false" outlineLevel="0" collapsed="false">
      <c r="A210" s="1227" t="n">
        <f aca="false">A209+1</f>
        <v>36946</v>
      </c>
      <c r="B210" s="0" t="n">
        <v>35</v>
      </c>
      <c r="C210" s="0" t="n">
        <f aca="false">IF(DAY(A210)=1,B210,C209+B210)</f>
        <v>935</v>
      </c>
      <c r="D210" s="0" t="n">
        <f aca="false">B210+D209</f>
        <v>4661</v>
      </c>
    </row>
    <row r="211" customFormat="false" ht="15" hidden="false" customHeight="false" outlineLevel="0" collapsed="false">
      <c r="A211" s="1227" t="n">
        <f aca="false">A210+1</f>
        <v>36947</v>
      </c>
      <c r="B211" s="0" t="n">
        <v>34</v>
      </c>
      <c r="C211" s="0" t="n">
        <f aca="false">IF(DAY(A211)=1,B211,C210+B211)</f>
        <v>969</v>
      </c>
      <c r="D211" s="0" t="n">
        <f aca="false">B211+D210</f>
        <v>4695</v>
      </c>
    </row>
    <row r="212" customFormat="false" ht="15" hidden="false" customHeight="false" outlineLevel="0" collapsed="false">
      <c r="A212" s="1227" t="n">
        <f aca="false">A211+1</f>
        <v>36948</v>
      </c>
      <c r="B212" s="0" t="n">
        <v>34</v>
      </c>
      <c r="C212" s="0" t="n">
        <f aca="false">IF(DAY(A212)=1,B212,C211+B212)</f>
        <v>1003</v>
      </c>
      <c r="D212" s="0" t="n">
        <f aca="false">B212+D211</f>
        <v>4729</v>
      </c>
    </row>
    <row r="213" customFormat="false" ht="15" hidden="false" customHeight="false" outlineLevel="0" collapsed="false">
      <c r="A213" s="1227" t="n">
        <f aca="false">A212+1</f>
        <v>36949</v>
      </c>
      <c r="B213" s="0" t="n">
        <v>33</v>
      </c>
      <c r="C213" s="0" t="n">
        <f aca="false">IF(DAY(A213)=1,B213,C212+B213)</f>
        <v>1036</v>
      </c>
      <c r="D213" s="0" t="n">
        <f aca="false">B213+D212</f>
        <v>4762</v>
      </c>
    </row>
    <row r="214" customFormat="false" ht="15" hidden="false" customHeight="false" outlineLevel="0" collapsed="false">
      <c r="A214" s="1227" t="n">
        <f aca="false">A213+1</f>
        <v>36950</v>
      </c>
      <c r="B214" s="0" t="n">
        <v>33</v>
      </c>
      <c r="C214" s="0" t="n">
        <f aca="false">IF(DAY(A214)=1,B214,C213+B214)</f>
        <v>1069</v>
      </c>
      <c r="D214" s="0" t="n">
        <f aca="false">B214+D213</f>
        <v>4795</v>
      </c>
    </row>
    <row r="215" customFormat="false" ht="15" hidden="false" customHeight="false" outlineLevel="0" collapsed="false">
      <c r="A215" s="1227" t="n">
        <f aca="false">A214+1</f>
        <v>36951</v>
      </c>
      <c r="B215" s="0" t="n">
        <v>33</v>
      </c>
      <c r="C215" s="0" t="n">
        <f aca="false">IF(DAY(A215)=1,B215,C214+B215)</f>
        <v>33</v>
      </c>
      <c r="D215" s="0" t="n">
        <f aca="false">B215+D214</f>
        <v>4828</v>
      </c>
    </row>
    <row r="216" customFormat="false" ht="15" hidden="false" customHeight="false" outlineLevel="0" collapsed="false">
      <c r="A216" s="1227" t="n">
        <f aca="false">A215+1</f>
        <v>36952</v>
      </c>
      <c r="B216" s="0" t="n">
        <v>33</v>
      </c>
      <c r="C216" s="0" t="n">
        <f aca="false">IF(DAY(A216)=1,B216,C215+B216)</f>
        <v>66</v>
      </c>
      <c r="D216" s="0" t="n">
        <f aca="false">B216+D215</f>
        <v>4861</v>
      </c>
    </row>
    <row r="217" customFormat="false" ht="15" hidden="false" customHeight="false" outlineLevel="0" collapsed="false">
      <c r="A217" s="1227" t="n">
        <f aca="false">A216+1</f>
        <v>36953</v>
      </c>
      <c r="B217" s="0" t="n">
        <v>32</v>
      </c>
      <c r="C217" s="0" t="n">
        <f aca="false">IF(DAY(A217)=1,B217,C216+B217)</f>
        <v>98</v>
      </c>
      <c r="D217" s="0" t="n">
        <f aca="false">B217+D216</f>
        <v>4893</v>
      </c>
    </row>
    <row r="218" customFormat="false" ht="15" hidden="false" customHeight="false" outlineLevel="0" collapsed="false">
      <c r="A218" s="1227" t="n">
        <f aca="false">A217+1</f>
        <v>36954</v>
      </c>
      <c r="B218" s="0" t="n">
        <v>32</v>
      </c>
      <c r="C218" s="0" t="n">
        <f aca="false">IF(DAY(A218)=1,B218,C217+B218)</f>
        <v>130</v>
      </c>
      <c r="D218" s="0" t="n">
        <f aca="false">B218+D217</f>
        <v>4925</v>
      </c>
    </row>
    <row r="219" customFormat="false" ht="15" hidden="false" customHeight="false" outlineLevel="0" collapsed="false">
      <c r="A219" s="1227" t="n">
        <f aca="false">A218+1</f>
        <v>36955</v>
      </c>
      <c r="B219" s="0" t="n">
        <v>31</v>
      </c>
      <c r="C219" s="0" t="n">
        <f aca="false">IF(DAY(A219)=1,B219,C218+B219)</f>
        <v>161</v>
      </c>
      <c r="D219" s="0" t="n">
        <f aca="false">B219+D218</f>
        <v>4956</v>
      </c>
    </row>
    <row r="220" customFormat="false" ht="15" hidden="false" customHeight="false" outlineLevel="0" collapsed="false">
      <c r="A220" s="1227" t="n">
        <f aca="false">A219+1</f>
        <v>36956</v>
      </c>
      <c r="B220" s="0" t="n">
        <v>31</v>
      </c>
      <c r="C220" s="0" t="n">
        <f aca="false">IF(DAY(A220)=1,B220,C219+B220)</f>
        <v>192</v>
      </c>
      <c r="D220" s="0" t="n">
        <f aca="false">B220+D219</f>
        <v>4987</v>
      </c>
    </row>
    <row r="221" customFormat="false" ht="15" hidden="false" customHeight="false" outlineLevel="0" collapsed="false">
      <c r="A221" s="1227" t="n">
        <f aca="false">A220+1</f>
        <v>36957</v>
      </c>
      <c r="B221" s="0" t="n">
        <v>31</v>
      </c>
      <c r="C221" s="0" t="n">
        <f aca="false">IF(DAY(A221)=1,B221,C220+B221)</f>
        <v>223</v>
      </c>
      <c r="D221" s="0" t="n">
        <f aca="false">B221+D220</f>
        <v>5018</v>
      </c>
    </row>
    <row r="222" customFormat="false" ht="15" hidden="false" customHeight="false" outlineLevel="0" collapsed="false">
      <c r="A222" s="1227" t="n">
        <f aca="false">A221+1</f>
        <v>36958</v>
      </c>
      <c r="B222" s="0" t="n">
        <v>30</v>
      </c>
      <c r="C222" s="0" t="n">
        <f aca="false">IF(DAY(A222)=1,B222,C221+B222)</f>
        <v>253</v>
      </c>
      <c r="D222" s="0" t="n">
        <f aca="false">B222+D221</f>
        <v>5048</v>
      </c>
    </row>
    <row r="223" customFormat="false" ht="15" hidden="false" customHeight="false" outlineLevel="0" collapsed="false">
      <c r="A223" s="1227" t="n">
        <f aca="false">A222+1</f>
        <v>36959</v>
      </c>
      <c r="B223" s="0" t="n">
        <v>30</v>
      </c>
      <c r="C223" s="0" t="n">
        <f aca="false">IF(DAY(A223)=1,B223,C222+B223)</f>
        <v>283</v>
      </c>
      <c r="D223" s="0" t="n">
        <f aca="false">B223+D222</f>
        <v>5078</v>
      </c>
    </row>
    <row r="224" customFormat="false" ht="15" hidden="false" customHeight="false" outlineLevel="0" collapsed="false">
      <c r="A224" s="1227" t="n">
        <f aca="false">A223+1</f>
        <v>36960</v>
      </c>
      <c r="B224" s="0" t="n">
        <v>30</v>
      </c>
      <c r="C224" s="0" t="n">
        <f aca="false">IF(DAY(A224)=1,B224,C223+B224)</f>
        <v>313</v>
      </c>
      <c r="D224" s="0" t="n">
        <f aca="false">B224+D223</f>
        <v>5108</v>
      </c>
    </row>
    <row r="225" customFormat="false" ht="15" hidden="false" customHeight="false" outlineLevel="0" collapsed="false">
      <c r="A225" s="1227" t="n">
        <f aca="false">A224+1</f>
        <v>36961</v>
      </c>
      <c r="B225" s="0" t="n">
        <v>30</v>
      </c>
      <c r="C225" s="0" t="n">
        <f aca="false">IF(DAY(A225)=1,B225,C224+B225)</f>
        <v>343</v>
      </c>
      <c r="D225" s="0" t="n">
        <f aca="false">B225+D224</f>
        <v>5138</v>
      </c>
    </row>
    <row r="226" customFormat="false" ht="15" hidden="false" customHeight="false" outlineLevel="0" collapsed="false">
      <c r="A226" s="1227" t="n">
        <f aca="false">A225+1</f>
        <v>36962</v>
      </c>
      <c r="B226" s="0" t="n">
        <v>29</v>
      </c>
      <c r="C226" s="0" t="n">
        <f aca="false">IF(DAY(A226)=1,B226,C225+B226)</f>
        <v>372</v>
      </c>
      <c r="D226" s="0" t="n">
        <f aca="false">B226+D225</f>
        <v>5167</v>
      </c>
    </row>
    <row r="227" customFormat="false" ht="15" hidden="false" customHeight="false" outlineLevel="0" collapsed="false">
      <c r="A227" s="1227" t="n">
        <f aca="false">A226+1</f>
        <v>36963</v>
      </c>
      <c r="B227" s="0" t="n">
        <v>29</v>
      </c>
      <c r="C227" s="0" t="n">
        <f aca="false">IF(DAY(A227)=1,B227,C226+B227)</f>
        <v>401</v>
      </c>
      <c r="D227" s="0" t="n">
        <f aca="false">B227+D226</f>
        <v>5196</v>
      </c>
    </row>
    <row r="228" customFormat="false" ht="15" hidden="false" customHeight="false" outlineLevel="0" collapsed="false">
      <c r="A228" s="1227" t="n">
        <f aca="false">A227+1</f>
        <v>36964</v>
      </c>
      <c r="B228" s="0" t="n">
        <v>29</v>
      </c>
      <c r="C228" s="0" t="n">
        <f aca="false">IF(DAY(A228)=1,B228,C227+B228)</f>
        <v>430</v>
      </c>
      <c r="D228" s="0" t="n">
        <f aca="false">B228+D227</f>
        <v>5225</v>
      </c>
    </row>
    <row r="229" customFormat="false" ht="15" hidden="false" customHeight="false" outlineLevel="0" collapsed="false">
      <c r="A229" s="1227" t="n">
        <f aca="false">A228+1</f>
        <v>36965</v>
      </c>
      <c r="B229" s="0" t="n">
        <v>28</v>
      </c>
      <c r="C229" s="0" t="n">
        <f aca="false">IF(DAY(A229)=1,B229,C228+B229)</f>
        <v>458</v>
      </c>
      <c r="D229" s="0" t="n">
        <f aca="false">B229+D228</f>
        <v>5253</v>
      </c>
    </row>
    <row r="230" customFormat="false" ht="15" hidden="false" customHeight="false" outlineLevel="0" collapsed="false">
      <c r="A230" s="1227" t="n">
        <f aca="false">A229+1</f>
        <v>36966</v>
      </c>
      <c r="B230" s="0" t="n">
        <v>28</v>
      </c>
      <c r="C230" s="0" t="n">
        <f aca="false">IF(DAY(A230)=1,B230,C229+B230)</f>
        <v>486</v>
      </c>
      <c r="D230" s="0" t="n">
        <f aca="false">B230+D229</f>
        <v>5281</v>
      </c>
    </row>
    <row r="231" customFormat="false" ht="15" hidden="false" customHeight="false" outlineLevel="0" collapsed="false">
      <c r="A231" s="1227" t="n">
        <f aca="false">A230+1</f>
        <v>36967</v>
      </c>
      <c r="B231" s="0" t="n">
        <v>27</v>
      </c>
      <c r="C231" s="0" t="n">
        <f aca="false">IF(DAY(A231)=1,B231,C230+B231)</f>
        <v>513</v>
      </c>
      <c r="D231" s="0" t="n">
        <f aca="false">B231+D230</f>
        <v>5308</v>
      </c>
    </row>
    <row r="232" customFormat="false" ht="15" hidden="false" customHeight="false" outlineLevel="0" collapsed="false">
      <c r="A232" s="1227" t="n">
        <f aca="false">A231+1</f>
        <v>36968</v>
      </c>
      <c r="B232" s="0" t="n">
        <v>27</v>
      </c>
      <c r="C232" s="0" t="n">
        <f aca="false">IF(DAY(A232)=1,B232,C231+B232)</f>
        <v>540</v>
      </c>
      <c r="D232" s="0" t="n">
        <f aca="false">B232+D231</f>
        <v>5335</v>
      </c>
    </row>
    <row r="233" customFormat="false" ht="15" hidden="false" customHeight="false" outlineLevel="0" collapsed="false">
      <c r="A233" s="1227" t="n">
        <f aca="false">A232+1</f>
        <v>36969</v>
      </c>
      <c r="B233" s="0" t="n">
        <v>26</v>
      </c>
      <c r="C233" s="0" t="n">
        <f aca="false">IF(DAY(A233)=1,B233,C232+B233)</f>
        <v>566</v>
      </c>
      <c r="D233" s="0" t="n">
        <f aca="false">B233+D232</f>
        <v>5361</v>
      </c>
    </row>
    <row r="234" customFormat="false" ht="15" hidden="false" customHeight="false" outlineLevel="0" collapsed="false">
      <c r="A234" s="1227" t="n">
        <f aca="false">A233+1</f>
        <v>36970</v>
      </c>
      <c r="B234" s="0" t="n">
        <v>26</v>
      </c>
      <c r="C234" s="0" t="n">
        <f aca="false">IF(DAY(A234)=1,B234,C233+B234)</f>
        <v>592</v>
      </c>
      <c r="D234" s="0" t="n">
        <f aca="false">B234+D233</f>
        <v>5387</v>
      </c>
    </row>
    <row r="235" customFormat="false" ht="15" hidden="false" customHeight="false" outlineLevel="0" collapsed="false">
      <c r="A235" s="1227" t="n">
        <f aca="false">A234+1</f>
        <v>36971</v>
      </c>
      <c r="B235" s="0" t="n">
        <v>26</v>
      </c>
      <c r="C235" s="0" t="n">
        <f aca="false">IF(DAY(A235)=1,B235,C234+B235)</f>
        <v>618</v>
      </c>
      <c r="D235" s="0" t="n">
        <f aca="false">B235+D234</f>
        <v>5413</v>
      </c>
    </row>
    <row r="236" customFormat="false" ht="15" hidden="false" customHeight="false" outlineLevel="0" collapsed="false">
      <c r="A236" s="1227" t="n">
        <f aca="false">A235+1</f>
        <v>36972</v>
      </c>
      <c r="B236" s="0" t="n">
        <v>25</v>
      </c>
      <c r="C236" s="0" t="n">
        <f aca="false">IF(DAY(A236)=1,B236,C235+B236)</f>
        <v>643</v>
      </c>
      <c r="D236" s="0" t="n">
        <f aca="false">B236+D235</f>
        <v>5438</v>
      </c>
    </row>
    <row r="237" customFormat="false" ht="15" hidden="false" customHeight="false" outlineLevel="0" collapsed="false">
      <c r="A237" s="1227" t="n">
        <f aca="false">A236+1</f>
        <v>36973</v>
      </c>
      <c r="B237" s="0" t="n">
        <v>25</v>
      </c>
      <c r="C237" s="0" t="n">
        <f aca="false">IF(DAY(A237)=1,B237,C236+B237)</f>
        <v>668</v>
      </c>
      <c r="D237" s="0" t="n">
        <f aca="false">B237+D236</f>
        <v>5463</v>
      </c>
    </row>
    <row r="238" customFormat="false" ht="15" hidden="false" customHeight="false" outlineLevel="0" collapsed="false">
      <c r="A238" s="1227" t="n">
        <f aca="false">A237+1</f>
        <v>36974</v>
      </c>
      <c r="B238" s="0" t="n">
        <v>24</v>
      </c>
      <c r="C238" s="0" t="n">
        <f aca="false">IF(DAY(A238)=1,B238,C237+B238)</f>
        <v>692</v>
      </c>
      <c r="D238" s="0" t="n">
        <f aca="false">B238+D237</f>
        <v>5487</v>
      </c>
    </row>
    <row r="239" customFormat="false" ht="15" hidden="false" customHeight="false" outlineLevel="0" collapsed="false">
      <c r="A239" s="1227" t="n">
        <f aca="false">A238+1</f>
        <v>36975</v>
      </c>
      <c r="B239" s="0" t="n">
        <v>24</v>
      </c>
      <c r="C239" s="0" t="n">
        <f aca="false">IF(DAY(A239)=1,B239,C238+B239)</f>
        <v>716</v>
      </c>
      <c r="D239" s="0" t="n">
        <f aca="false">B239+D238</f>
        <v>5511</v>
      </c>
    </row>
    <row r="240" customFormat="false" ht="15" hidden="false" customHeight="false" outlineLevel="0" collapsed="false">
      <c r="A240" s="1227" t="n">
        <f aca="false">A239+1</f>
        <v>36976</v>
      </c>
      <c r="B240" s="0" t="n">
        <v>24</v>
      </c>
      <c r="C240" s="0" t="n">
        <f aca="false">IF(DAY(A240)=1,B240,C239+B240)</f>
        <v>740</v>
      </c>
      <c r="D240" s="0" t="n">
        <f aca="false">B240+D239</f>
        <v>5535</v>
      </c>
    </row>
    <row r="241" customFormat="false" ht="15" hidden="false" customHeight="false" outlineLevel="0" collapsed="false">
      <c r="A241" s="1227" t="n">
        <f aca="false">A240+1</f>
        <v>36977</v>
      </c>
      <c r="B241" s="0" t="n">
        <v>23</v>
      </c>
      <c r="C241" s="0" t="n">
        <f aca="false">IF(DAY(A241)=1,B241,C240+B241)</f>
        <v>763</v>
      </c>
      <c r="D241" s="0" t="n">
        <f aca="false">B241+D240</f>
        <v>5558</v>
      </c>
    </row>
    <row r="242" customFormat="false" ht="15" hidden="false" customHeight="false" outlineLevel="0" collapsed="false">
      <c r="A242" s="1227" t="n">
        <f aca="false">A241+1</f>
        <v>36978</v>
      </c>
      <c r="B242" s="0" t="n">
        <v>23</v>
      </c>
      <c r="C242" s="0" t="n">
        <f aca="false">IF(DAY(A242)=1,B242,C241+B242)</f>
        <v>786</v>
      </c>
      <c r="D242" s="0" t="n">
        <f aca="false">B242+D241</f>
        <v>5581</v>
      </c>
    </row>
    <row r="243" customFormat="false" ht="15" hidden="false" customHeight="false" outlineLevel="0" collapsed="false">
      <c r="A243" s="1227" t="n">
        <f aca="false">A242+1</f>
        <v>36979</v>
      </c>
      <c r="B243" s="0" t="n">
        <v>23</v>
      </c>
      <c r="C243" s="0" t="n">
        <f aca="false">IF(DAY(A243)=1,B243,C242+B243)</f>
        <v>809</v>
      </c>
      <c r="D243" s="0" t="n">
        <f aca="false">B243+D242</f>
        <v>5604</v>
      </c>
    </row>
    <row r="244" customFormat="false" ht="15" hidden="false" customHeight="false" outlineLevel="0" collapsed="false">
      <c r="A244" s="1227" t="n">
        <f aca="false">A243+1</f>
        <v>36980</v>
      </c>
      <c r="B244" s="0" t="n">
        <v>22</v>
      </c>
      <c r="C244" s="0" t="n">
        <f aca="false">IF(DAY(A244)=1,B244,C243+B244)</f>
        <v>831</v>
      </c>
      <c r="D244" s="0" t="n">
        <f aca="false">B244+D243</f>
        <v>5626</v>
      </c>
    </row>
    <row r="245" customFormat="false" ht="15" hidden="false" customHeight="false" outlineLevel="0" collapsed="false">
      <c r="A245" s="1227" t="n">
        <f aca="false">A244+1</f>
        <v>36981</v>
      </c>
      <c r="B245" s="0" t="n">
        <v>22</v>
      </c>
      <c r="C245" s="0" t="n">
        <f aca="false">IF(DAY(A245)=1,B245,C244+B245)</f>
        <v>853</v>
      </c>
      <c r="D245" s="0" t="n">
        <f aca="false">B245+D244</f>
        <v>5648</v>
      </c>
    </row>
    <row r="246" customFormat="false" ht="15" hidden="false" customHeight="false" outlineLevel="0" collapsed="false">
      <c r="A246" s="1227" t="n">
        <f aca="false">A245+1</f>
        <v>36982</v>
      </c>
      <c r="B246" s="0" t="n">
        <v>22</v>
      </c>
      <c r="C246" s="0" t="n">
        <f aca="false">IF(DAY(A246)=1,B246,C245+B246)</f>
        <v>22</v>
      </c>
      <c r="D246" s="0" t="n">
        <f aca="false">B246+D245</f>
        <v>5670</v>
      </c>
    </row>
    <row r="247" customFormat="false" ht="15" hidden="false" customHeight="false" outlineLevel="0" collapsed="false">
      <c r="A247" s="1227" t="n">
        <f aca="false">A246+1</f>
        <v>36983</v>
      </c>
      <c r="B247" s="0" t="n">
        <v>22</v>
      </c>
      <c r="C247" s="0" t="n">
        <f aca="false">IF(DAY(A247)=1,B247,C246+B247)</f>
        <v>44</v>
      </c>
      <c r="D247" s="0" t="n">
        <f aca="false">B247+D246</f>
        <v>5692</v>
      </c>
    </row>
    <row r="248" customFormat="false" ht="15" hidden="false" customHeight="false" outlineLevel="0" collapsed="false">
      <c r="A248" s="1227" t="n">
        <f aca="false">A247+1</f>
        <v>36984</v>
      </c>
      <c r="B248" s="0" t="n">
        <v>22</v>
      </c>
      <c r="C248" s="0" t="n">
        <f aca="false">IF(DAY(A248)=1,B248,C247+B248)</f>
        <v>66</v>
      </c>
      <c r="D248" s="0" t="n">
        <f aca="false">B248+D247</f>
        <v>5714</v>
      </c>
    </row>
    <row r="249" customFormat="false" ht="15" hidden="false" customHeight="false" outlineLevel="0" collapsed="false">
      <c r="A249" s="1227" t="n">
        <f aca="false">A248+1</f>
        <v>36985</v>
      </c>
      <c r="B249" s="0" t="n">
        <v>21</v>
      </c>
      <c r="C249" s="0" t="n">
        <f aca="false">IF(DAY(A249)=1,B249,C248+B249)</f>
        <v>87</v>
      </c>
      <c r="D249" s="0" t="n">
        <f aca="false">B249+D248</f>
        <v>5735</v>
      </c>
    </row>
    <row r="250" customFormat="false" ht="15" hidden="false" customHeight="false" outlineLevel="0" collapsed="false">
      <c r="A250" s="1227" t="n">
        <f aca="false">A249+1</f>
        <v>36986</v>
      </c>
      <c r="B250" s="0" t="n">
        <v>21</v>
      </c>
      <c r="C250" s="0" t="n">
        <f aca="false">IF(DAY(A250)=1,B250,C249+B250)</f>
        <v>108</v>
      </c>
      <c r="D250" s="0" t="n">
        <f aca="false">B250+D249</f>
        <v>5756</v>
      </c>
    </row>
    <row r="251" customFormat="false" ht="15" hidden="false" customHeight="false" outlineLevel="0" collapsed="false">
      <c r="A251" s="1227" t="n">
        <f aca="false">A250+1</f>
        <v>36987</v>
      </c>
      <c r="B251" s="0" t="n">
        <v>21</v>
      </c>
      <c r="C251" s="0" t="n">
        <f aca="false">IF(DAY(A251)=1,B251,C250+B251)</f>
        <v>129</v>
      </c>
      <c r="D251" s="0" t="n">
        <f aca="false">B251+D250</f>
        <v>5777</v>
      </c>
    </row>
    <row r="252" customFormat="false" ht="15" hidden="false" customHeight="false" outlineLevel="0" collapsed="false">
      <c r="A252" s="1227" t="n">
        <f aca="false">A251+1</f>
        <v>36988</v>
      </c>
      <c r="B252" s="0" t="n">
        <v>20</v>
      </c>
      <c r="C252" s="0" t="n">
        <f aca="false">IF(DAY(A252)=1,B252,C251+B252)</f>
        <v>149</v>
      </c>
      <c r="D252" s="0" t="n">
        <f aca="false">B252+D251</f>
        <v>5797</v>
      </c>
    </row>
    <row r="253" customFormat="false" ht="15" hidden="false" customHeight="false" outlineLevel="0" collapsed="false">
      <c r="A253" s="1227" t="n">
        <f aca="false">A252+1</f>
        <v>36989</v>
      </c>
      <c r="B253" s="0" t="n">
        <v>20</v>
      </c>
      <c r="C253" s="0" t="n">
        <f aca="false">IF(DAY(A253)=1,B253,C252+B253)</f>
        <v>169</v>
      </c>
      <c r="D253" s="0" t="n">
        <f aca="false">B253+D252</f>
        <v>5817</v>
      </c>
    </row>
    <row r="254" customFormat="false" ht="15" hidden="false" customHeight="false" outlineLevel="0" collapsed="false">
      <c r="A254" s="1227" t="n">
        <f aca="false">A253+1</f>
        <v>36990</v>
      </c>
      <c r="B254" s="0" t="n">
        <v>20</v>
      </c>
      <c r="C254" s="0" t="n">
        <f aca="false">IF(DAY(A254)=1,B254,C253+B254)</f>
        <v>189</v>
      </c>
      <c r="D254" s="0" t="n">
        <f aca="false">B254+D253</f>
        <v>5837</v>
      </c>
    </row>
    <row r="255" customFormat="false" ht="15" hidden="false" customHeight="false" outlineLevel="0" collapsed="false">
      <c r="A255" s="1227" t="n">
        <f aca="false">A254+1</f>
        <v>36991</v>
      </c>
      <c r="B255" s="0" t="n">
        <v>19</v>
      </c>
      <c r="C255" s="0" t="n">
        <f aca="false">IF(DAY(A255)=1,B255,C254+B255)</f>
        <v>208</v>
      </c>
      <c r="D255" s="0" t="n">
        <f aca="false">B255+D254</f>
        <v>5856</v>
      </c>
    </row>
    <row r="256" customFormat="false" ht="15" hidden="false" customHeight="false" outlineLevel="0" collapsed="false">
      <c r="A256" s="1227" t="n">
        <f aca="false">A255+1</f>
        <v>36992</v>
      </c>
      <c r="B256" s="0" t="n">
        <v>19</v>
      </c>
      <c r="C256" s="0" t="n">
        <f aca="false">IF(DAY(A256)=1,B256,C255+B256)</f>
        <v>227</v>
      </c>
      <c r="D256" s="0" t="n">
        <f aca="false">B256+D255</f>
        <v>5875</v>
      </c>
    </row>
    <row r="257" customFormat="false" ht="15" hidden="false" customHeight="false" outlineLevel="0" collapsed="false">
      <c r="A257" s="1227" t="n">
        <f aca="false">A256+1</f>
        <v>36993</v>
      </c>
      <c r="B257" s="0" t="n">
        <v>18</v>
      </c>
      <c r="C257" s="0" t="n">
        <f aca="false">IF(DAY(A257)=1,B257,C256+B257)</f>
        <v>245</v>
      </c>
      <c r="D257" s="0" t="n">
        <f aca="false">B257+D256</f>
        <v>5893</v>
      </c>
    </row>
    <row r="258" customFormat="false" ht="15" hidden="false" customHeight="false" outlineLevel="0" collapsed="false">
      <c r="A258" s="1227" t="n">
        <f aca="false">A257+1</f>
        <v>36994</v>
      </c>
      <c r="B258" s="0" t="n">
        <v>17</v>
      </c>
      <c r="C258" s="0" t="n">
        <f aca="false">IF(DAY(A258)=1,B258,C257+B258)</f>
        <v>262</v>
      </c>
      <c r="D258" s="0" t="n">
        <f aca="false">B258+D257</f>
        <v>5910</v>
      </c>
    </row>
    <row r="259" customFormat="false" ht="15" hidden="false" customHeight="false" outlineLevel="0" collapsed="false">
      <c r="A259" s="1227" t="n">
        <f aca="false">A258+1</f>
        <v>36995</v>
      </c>
      <c r="B259" s="0" t="n">
        <v>17</v>
      </c>
      <c r="C259" s="0" t="n">
        <f aca="false">IF(DAY(A259)=1,B259,C258+B259)</f>
        <v>279</v>
      </c>
      <c r="D259" s="0" t="n">
        <f aca="false">B259+D258</f>
        <v>5927</v>
      </c>
    </row>
    <row r="260" customFormat="false" ht="15" hidden="false" customHeight="false" outlineLevel="0" collapsed="false">
      <c r="A260" s="1227" t="n">
        <f aca="false">A259+1</f>
        <v>36996</v>
      </c>
      <c r="B260" s="0" t="n">
        <v>17</v>
      </c>
      <c r="C260" s="0" t="n">
        <f aca="false">IF(DAY(A260)=1,B260,C259+B260)</f>
        <v>296</v>
      </c>
      <c r="D260" s="0" t="n">
        <f aca="false">B260+D259</f>
        <v>5944</v>
      </c>
    </row>
    <row r="261" customFormat="false" ht="15" hidden="false" customHeight="false" outlineLevel="0" collapsed="false">
      <c r="A261" s="1227" t="n">
        <f aca="false">A260+1</f>
        <v>36997</v>
      </c>
      <c r="B261" s="0" t="n">
        <v>16</v>
      </c>
      <c r="C261" s="0" t="n">
        <f aca="false">IF(DAY(A261)=1,B261,C260+B261)</f>
        <v>312</v>
      </c>
      <c r="D261" s="0" t="n">
        <f aca="false">B261+D260</f>
        <v>5960</v>
      </c>
    </row>
    <row r="262" customFormat="false" ht="15" hidden="false" customHeight="false" outlineLevel="0" collapsed="false">
      <c r="A262" s="1227" t="n">
        <f aca="false">A261+1</f>
        <v>36998</v>
      </c>
      <c r="B262" s="0" t="n">
        <v>16</v>
      </c>
      <c r="C262" s="0" t="n">
        <f aca="false">IF(DAY(A262)=1,B262,C261+B262)</f>
        <v>328</v>
      </c>
      <c r="D262" s="0" t="n">
        <f aca="false">B262+D261</f>
        <v>5976</v>
      </c>
    </row>
    <row r="263" customFormat="false" ht="15" hidden="false" customHeight="false" outlineLevel="0" collapsed="false">
      <c r="A263" s="1227" t="n">
        <f aca="false">A262+1</f>
        <v>36999</v>
      </c>
      <c r="B263" s="0" t="n">
        <v>16</v>
      </c>
      <c r="C263" s="0" t="n">
        <f aca="false">IF(DAY(A263)=1,B263,C262+B263)</f>
        <v>344</v>
      </c>
      <c r="D263" s="0" t="n">
        <f aca="false">B263+D262</f>
        <v>5992</v>
      </c>
    </row>
    <row r="264" customFormat="false" ht="15" hidden="false" customHeight="false" outlineLevel="0" collapsed="false">
      <c r="A264" s="1227" t="n">
        <f aca="false">A263+1</f>
        <v>37000</v>
      </c>
      <c r="B264" s="0" t="n">
        <v>15</v>
      </c>
      <c r="C264" s="0" t="n">
        <f aca="false">IF(DAY(A264)=1,B264,C263+B264)</f>
        <v>359</v>
      </c>
      <c r="D264" s="0" t="n">
        <f aca="false">B264+D263</f>
        <v>6007</v>
      </c>
    </row>
    <row r="265" customFormat="false" ht="15" hidden="false" customHeight="false" outlineLevel="0" collapsed="false">
      <c r="A265" s="1227" t="n">
        <f aca="false">A264+1</f>
        <v>37001</v>
      </c>
      <c r="B265" s="0" t="n">
        <v>15</v>
      </c>
      <c r="C265" s="0" t="n">
        <f aca="false">IF(DAY(A265)=1,B265,C264+B265)</f>
        <v>374</v>
      </c>
      <c r="D265" s="0" t="n">
        <f aca="false">B265+D264</f>
        <v>6022</v>
      </c>
    </row>
    <row r="266" customFormat="false" ht="15" hidden="false" customHeight="false" outlineLevel="0" collapsed="false">
      <c r="A266" s="1227" t="n">
        <f aca="false">A265+1</f>
        <v>37002</v>
      </c>
      <c r="B266" s="0" t="n">
        <v>14</v>
      </c>
      <c r="C266" s="0" t="n">
        <f aca="false">IF(DAY(A266)=1,B266,C265+B266)</f>
        <v>388</v>
      </c>
      <c r="D266" s="0" t="n">
        <f aca="false">B266+D265</f>
        <v>6036</v>
      </c>
    </row>
    <row r="267" customFormat="false" ht="15" hidden="false" customHeight="false" outlineLevel="0" collapsed="false">
      <c r="A267" s="1227" t="n">
        <f aca="false">A266+1</f>
        <v>37003</v>
      </c>
      <c r="B267" s="0" t="n">
        <v>14</v>
      </c>
      <c r="C267" s="0" t="n">
        <f aca="false">IF(DAY(A267)=1,B267,C266+B267)</f>
        <v>402</v>
      </c>
      <c r="D267" s="0" t="n">
        <f aca="false">B267+D266</f>
        <v>6050</v>
      </c>
    </row>
    <row r="268" customFormat="false" ht="15" hidden="false" customHeight="false" outlineLevel="0" collapsed="false">
      <c r="A268" s="1227" t="n">
        <f aca="false">A267+1</f>
        <v>37004</v>
      </c>
      <c r="B268" s="0" t="n">
        <v>14</v>
      </c>
      <c r="C268" s="0" t="n">
        <f aca="false">IF(DAY(A268)=1,B268,C267+B268)</f>
        <v>416</v>
      </c>
      <c r="D268" s="0" t="n">
        <f aca="false">B268+D267</f>
        <v>6064</v>
      </c>
    </row>
    <row r="269" customFormat="false" ht="15" hidden="false" customHeight="false" outlineLevel="0" collapsed="false">
      <c r="A269" s="1227" t="n">
        <f aca="false">A268+1</f>
        <v>37005</v>
      </c>
      <c r="B269" s="0" t="n">
        <v>13</v>
      </c>
      <c r="C269" s="0" t="n">
        <f aca="false">IF(DAY(A269)=1,B269,C268+B269)</f>
        <v>429</v>
      </c>
      <c r="D269" s="0" t="n">
        <f aca="false">B269+D268</f>
        <v>6077</v>
      </c>
    </row>
    <row r="270" customFormat="false" ht="15" hidden="false" customHeight="false" outlineLevel="0" collapsed="false">
      <c r="A270" s="1227" t="n">
        <f aca="false">A269+1</f>
        <v>37006</v>
      </c>
      <c r="B270" s="0" t="n">
        <v>13</v>
      </c>
      <c r="C270" s="0" t="n">
        <f aca="false">IF(DAY(A270)=1,B270,C269+B270)</f>
        <v>442</v>
      </c>
      <c r="D270" s="0" t="n">
        <f aca="false">B270+D269</f>
        <v>6090</v>
      </c>
    </row>
    <row r="271" customFormat="false" ht="15" hidden="false" customHeight="false" outlineLevel="0" collapsed="false">
      <c r="A271" s="1227" t="n">
        <f aca="false">A270+1</f>
        <v>37007</v>
      </c>
      <c r="B271" s="0" t="n">
        <v>13</v>
      </c>
      <c r="C271" s="0" t="n">
        <f aca="false">IF(DAY(A271)=1,B271,C270+B271)</f>
        <v>455</v>
      </c>
      <c r="D271" s="0" t="n">
        <f aca="false">B271+D270</f>
        <v>6103</v>
      </c>
    </row>
    <row r="272" customFormat="false" ht="15" hidden="false" customHeight="false" outlineLevel="0" collapsed="false">
      <c r="A272" s="1227" t="n">
        <f aca="false">A271+1</f>
        <v>37008</v>
      </c>
      <c r="B272" s="0" t="n">
        <v>12</v>
      </c>
      <c r="C272" s="0" t="n">
        <f aca="false">IF(DAY(A272)=1,B272,C271+B272)</f>
        <v>467</v>
      </c>
      <c r="D272" s="0" t="n">
        <f aca="false">B272+D271</f>
        <v>6115</v>
      </c>
    </row>
    <row r="273" customFormat="false" ht="15" hidden="false" customHeight="false" outlineLevel="0" collapsed="false">
      <c r="A273" s="1227" t="n">
        <f aca="false">A272+1</f>
        <v>37009</v>
      </c>
      <c r="B273" s="0" t="n">
        <v>12</v>
      </c>
      <c r="C273" s="0" t="n">
        <f aca="false">IF(DAY(A273)=1,B273,C272+B273)</f>
        <v>479</v>
      </c>
      <c r="D273" s="0" t="n">
        <f aca="false">B273+D272</f>
        <v>6127</v>
      </c>
    </row>
    <row r="274" customFormat="false" ht="15" hidden="false" customHeight="false" outlineLevel="0" collapsed="false">
      <c r="A274" s="1227" t="n">
        <f aca="false">A273+1</f>
        <v>37010</v>
      </c>
      <c r="B274" s="0" t="n">
        <v>12</v>
      </c>
      <c r="C274" s="0" t="n">
        <f aca="false">IF(DAY(A274)=1,B274,C273+B274)</f>
        <v>491</v>
      </c>
      <c r="D274" s="0" t="n">
        <f aca="false">B274+D273</f>
        <v>6139</v>
      </c>
    </row>
    <row r="275" customFormat="false" ht="15" hidden="false" customHeight="false" outlineLevel="0" collapsed="false">
      <c r="A275" s="1227" t="n">
        <f aca="false">A274+1</f>
        <v>37011</v>
      </c>
      <c r="B275" s="0" t="n">
        <v>12</v>
      </c>
      <c r="C275" s="0" t="n">
        <f aca="false">IF(DAY(A275)=1,B275,C274+B275)</f>
        <v>503</v>
      </c>
      <c r="D275" s="0" t="n">
        <f aca="false">B275+D274</f>
        <v>6151</v>
      </c>
    </row>
    <row r="276" customFormat="false" ht="15" hidden="false" customHeight="false" outlineLevel="0" collapsed="false">
      <c r="A276" s="1227" t="n">
        <f aca="false">A275+1</f>
        <v>37012</v>
      </c>
      <c r="B276" s="0" t="n">
        <v>11</v>
      </c>
      <c r="C276" s="0" t="n">
        <f aca="false">IF(DAY(A276)=1,B276,C275+B276)</f>
        <v>11</v>
      </c>
      <c r="D276" s="0" t="n">
        <f aca="false">B276+D275</f>
        <v>6162</v>
      </c>
    </row>
    <row r="277" customFormat="false" ht="15" hidden="false" customHeight="false" outlineLevel="0" collapsed="false">
      <c r="A277" s="1227" t="n">
        <f aca="false">A276+1</f>
        <v>37013</v>
      </c>
      <c r="B277" s="0" t="n">
        <v>11</v>
      </c>
      <c r="C277" s="0" t="n">
        <f aca="false">IF(DAY(A277)=1,B277,C276+B277)</f>
        <v>22</v>
      </c>
      <c r="D277" s="0" t="n">
        <f aca="false">B277+D276</f>
        <v>6173</v>
      </c>
    </row>
    <row r="278" customFormat="false" ht="15" hidden="false" customHeight="false" outlineLevel="0" collapsed="false">
      <c r="A278" s="1227" t="n">
        <f aca="false">A277+1</f>
        <v>37014</v>
      </c>
      <c r="B278" s="0" t="n">
        <v>11</v>
      </c>
      <c r="C278" s="0" t="n">
        <f aca="false">IF(DAY(A278)=1,B278,C277+B278)</f>
        <v>33</v>
      </c>
      <c r="D278" s="0" t="n">
        <f aca="false">B278+D277</f>
        <v>6184</v>
      </c>
    </row>
    <row r="279" customFormat="false" ht="15" hidden="false" customHeight="false" outlineLevel="0" collapsed="false">
      <c r="A279" s="1227" t="n">
        <f aca="false">A278+1</f>
        <v>37015</v>
      </c>
      <c r="B279" s="0" t="n">
        <v>11</v>
      </c>
      <c r="C279" s="0" t="n">
        <f aca="false">IF(DAY(A279)=1,B279,C278+B279)</f>
        <v>44</v>
      </c>
      <c r="D279" s="0" t="n">
        <f aca="false">B279+D278</f>
        <v>6195</v>
      </c>
    </row>
    <row r="280" customFormat="false" ht="15" hidden="false" customHeight="false" outlineLevel="0" collapsed="false">
      <c r="A280" s="1227" t="n">
        <f aca="false">A279+1</f>
        <v>37016</v>
      </c>
      <c r="B280" s="0" t="n">
        <v>10</v>
      </c>
      <c r="C280" s="0" t="n">
        <f aca="false">IF(DAY(A280)=1,B280,C279+B280)</f>
        <v>54</v>
      </c>
      <c r="D280" s="0" t="n">
        <f aca="false">B280+D279</f>
        <v>6205</v>
      </c>
    </row>
    <row r="281" customFormat="false" ht="15" hidden="false" customHeight="false" outlineLevel="0" collapsed="false">
      <c r="A281" s="1227" t="n">
        <f aca="false">A280+1</f>
        <v>37017</v>
      </c>
      <c r="B281" s="0" t="n">
        <v>10</v>
      </c>
      <c r="C281" s="0" t="n">
        <f aca="false">IF(DAY(A281)=1,B281,C280+B281)</f>
        <v>64</v>
      </c>
      <c r="D281" s="0" t="n">
        <f aca="false">B281+D280</f>
        <v>6215</v>
      </c>
    </row>
    <row r="282" customFormat="false" ht="15" hidden="false" customHeight="false" outlineLevel="0" collapsed="false">
      <c r="A282" s="1227" t="n">
        <f aca="false">A281+1</f>
        <v>37018</v>
      </c>
      <c r="B282" s="0" t="n">
        <v>9</v>
      </c>
      <c r="C282" s="0" t="n">
        <f aca="false">IF(DAY(A282)=1,B282,C281+B282)</f>
        <v>73</v>
      </c>
      <c r="D282" s="0" t="n">
        <f aca="false">B282+D281</f>
        <v>6224</v>
      </c>
    </row>
    <row r="283" customFormat="false" ht="15" hidden="false" customHeight="false" outlineLevel="0" collapsed="false">
      <c r="A283" s="1227" t="n">
        <f aca="false">A282+1</f>
        <v>37019</v>
      </c>
      <c r="B283" s="0" t="n">
        <v>9</v>
      </c>
      <c r="C283" s="0" t="n">
        <f aca="false">IF(DAY(A283)=1,B283,C282+B283)</f>
        <v>82</v>
      </c>
      <c r="D283" s="0" t="n">
        <f aca="false">B283+D282</f>
        <v>6233</v>
      </c>
    </row>
    <row r="284" customFormat="false" ht="15" hidden="false" customHeight="false" outlineLevel="0" collapsed="false">
      <c r="A284" s="1227" t="n">
        <f aca="false">A283+1</f>
        <v>37020</v>
      </c>
      <c r="B284" s="0" t="n">
        <v>9</v>
      </c>
      <c r="C284" s="0" t="n">
        <f aca="false">IF(DAY(A284)=1,B284,C283+B284)</f>
        <v>91</v>
      </c>
      <c r="D284" s="0" t="n">
        <f aca="false">B284+D283</f>
        <v>6242</v>
      </c>
    </row>
    <row r="285" customFormat="false" ht="15" hidden="false" customHeight="false" outlineLevel="0" collapsed="false">
      <c r="A285" s="1227" t="n">
        <f aca="false">A284+1</f>
        <v>37021</v>
      </c>
      <c r="B285" s="0" t="n">
        <v>8</v>
      </c>
      <c r="C285" s="0" t="n">
        <f aca="false">IF(DAY(A285)=1,B285,C284+B285)</f>
        <v>99</v>
      </c>
      <c r="D285" s="0" t="n">
        <f aca="false">B285+D284</f>
        <v>6250</v>
      </c>
    </row>
    <row r="286" customFormat="false" ht="15" hidden="false" customHeight="false" outlineLevel="0" collapsed="false">
      <c r="A286" s="1227" t="n">
        <f aca="false">A285+1</f>
        <v>37022</v>
      </c>
      <c r="B286" s="0" t="n">
        <v>8</v>
      </c>
      <c r="C286" s="0" t="n">
        <f aca="false">IF(DAY(A286)=1,B286,C285+B286)</f>
        <v>107</v>
      </c>
      <c r="D286" s="0" t="n">
        <f aca="false">B286+D285</f>
        <v>6258</v>
      </c>
    </row>
    <row r="287" customFormat="false" ht="15" hidden="false" customHeight="false" outlineLevel="0" collapsed="false">
      <c r="A287" s="1227" t="n">
        <f aca="false">A286+1</f>
        <v>37023</v>
      </c>
      <c r="B287" s="0" t="n">
        <v>8</v>
      </c>
      <c r="C287" s="0" t="n">
        <f aca="false">IF(DAY(A287)=1,B287,C286+B287)</f>
        <v>115</v>
      </c>
      <c r="D287" s="0" t="n">
        <f aca="false">B287+D286</f>
        <v>6266</v>
      </c>
    </row>
    <row r="288" customFormat="false" ht="15" hidden="false" customHeight="false" outlineLevel="0" collapsed="false">
      <c r="A288" s="1227" t="n">
        <f aca="false">A287+1</f>
        <v>37024</v>
      </c>
      <c r="B288" s="0" t="n">
        <v>7</v>
      </c>
      <c r="C288" s="0" t="n">
        <f aca="false">IF(DAY(A288)=1,B288,C287+B288)</f>
        <v>122</v>
      </c>
      <c r="D288" s="0" t="n">
        <f aca="false">B288+D287</f>
        <v>6273</v>
      </c>
    </row>
    <row r="289" customFormat="false" ht="15" hidden="false" customHeight="false" outlineLevel="0" collapsed="false">
      <c r="A289" s="1227" t="n">
        <f aca="false">A288+1</f>
        <v>37025</v>
      </c>
      <c r="B289" s="0" t="n">
        <v>7</v>
      </c>
      <c r="C289" s="0" t="n">
        <f aca="false">IF(DAY(A289)=1,B289,C288+B289)</f>
        <v>129</v>
      </c>
      <c r="D289" s="0" t="n">
        <f aca="false">B289+D288</f>
        <v>6280</v>
      </c>
    </row>
    <row r="290" customFormat="false" ht="15" hidden="false" customHeight="false" outlineLevel="0" collapsed="false">
      <c r="A290" s="1227" t="n">
        <f aca="false">A289+1</f>
        <v>37026</v>
      </c>
      <c r="B290" s="0" t="n">
        <v>7</v>
      </c>
      <c r="C290" s="0" t="n">
        <f aca="false">IF(DAY(A290)=1,B290,C289+B290)</f>
        <v>136</v>
      </c>
      <c r="D290" s="0" t="n">
        <f aca="false">B290+D289</f>
        <v>6287</v>
      </c>
    </row>
    <row r="291" customFormat="false" ht="15" hidden="false" customHeight="false" outlineLevel="0" collapsed="false">
      <c r="A291" s="1227" t="n">
        <f aca="false">A290+1</f>
        <v>37027</v>
      </c>
      <c r="B291" s="0" t="n">
        <v>7</v>
      </c>
      <c r="C291" s="0" t="n">
        <f aca="false">IF(DAY(A291)=1,B291,C290+B291)</f>
        <v>143</v>
      </c>
      <c r="D291" s="0" t="n">
        <f aca="false">B291+D290</f>
        <v>6294</v>
      </c>
    </row>
    <row r="292" customFormat="false" ht="15" hidden="false" customHeight="false" outlineLevel="0" collapsed="false">
      <c r="A292" s="1227" t="n">
        <f aca="false">A291+1</f>
        <v>37028</v>
      </c>
      <c r="B292" s="0" t="n">
        <v>7</v>
      </c>
      <c r="C292" s="0" t="n">
        <f aca="false">IF(DAY(A292)=1,B292,C291+B292)</f>
        <v>150</v>
      </c>
      <c r="D292" s="0" t="n">
        <f aca="false">B292+D291</f>
        <v>6301</v>
      </c>
    </row>
    <row r="293" customFormat="false" ht="15" hidden="false" customHeight="false" outlineLevel="0" collapsed="false">
      <c r="A293" s="1227" t="n">
        <f aca="false">A292+1</f>
        <v>37029</v>
      </c>
      <c r="B293" s="0" t="n">
        <v>7</v>
      </c>
      <c r="C293" s="0" t="n">
        <f aca="false">IF(DAY(A293)=1,B293,C292+B293)</f>
        <v>157</v>
      </c>
      <c r="D293" s="0" t="n">
        <f aca="false">B293+D292</f>
        <v>6308</v>
      </c>
    </row>
    <row r="294" customFormat="false" ht="15" hidden="false" customHeight="false" outlineLevel="0" collapsed="false">
      <c r="A294" s="1227" t="n">
        <f aca="false">A293+1</f>
        <v>37030</v>
      </c>
      <c r="B294" s="0" t="n">
        <v>7</v>
      </c>
      <c r="C294" s="0" t="n">
        <f aca="false">IF(DAY(A294)=1,B294,C293+B294)</f>
        <v>164</v>
      </c>
      <c r="D294" s="0" t="n">
        <f aca="false">B294+D293</f>
        <v>6315</v>
      </c>
    </row>
    <row r="295" customFormat="false" ht="15" hidden="false" customHeight="false" outlineLevel="0" collapsed="false">
      <c r="A295" s="1227" t="n">
        <f aca="false">A294+1</f>
        <v>37031</v>
      </c>
      <c r="B295" s="0" t="n">
        <v>7</v>
      </c>
      <c r="C295" s="0" t="n">
        <f aca="false">IF(DAY(A295)=1,B295,C294+B295)</f>
        <v>171</v>
      </c>
      <c r="D295" s="0" t="n">
        <f aca="false">B295+D294</f>
        <v>6322</v>
      </c>
    </row>
    <row r="296" customFormat="false" ht="15" hidden="false" customHeight="false" outlineLevel="0" collapsed="false">
      <c r="A296" s="1227" t="n">
        <f aca="false">A295+1</f>
        <v>37032</v>
      </c>
      <c r="B296" s="0" t="n">
        <v>6</v>
      </c>
      <c r="C296" s="0" t="n">
        <f aca="false">IF(DAY(A296)=1,B296,C295+B296)</f>
        <v>177</v>
      </c>
      <c r="D296" s="0" t="n">
        <f aca="false">B296+D295</f>
        <v>6328</v>
      </c>
    </row>
    <row r="297" customFormat="false" ht="15" hidden="false" customHeight="false" outlineLevel="0" collapsed="false">
      <c r="A297" s="1227" t="n">
        <f aca="false">A296+1</f>
        <v>37033</v>
      </c>
      <c r="B297" s="0" t="n">
        <v>6</v>
      </c>
      <c r="C297" s="0" t="n">
        <f aca="false">IF(DAY(A297)=1,B297,C296+B297)</f>
        <v>183</v>
      </c>
      <c r="D297" s="0" t="n">
        <f aca="false">B297+D296</f>
        <v>6334</v>
      </c>
    </row>
    <row r="298" customFormat="false" ht="15" hidden="false" customHeight="false" outlineLevel="0" collapsed="false">
      <c r="A298" s="1227" t="n">
        <f aca="false">A297+1</f>
        <v>37034</v>
      </c>
      <c r="B298" s="0" t="n">
        <v>6</v>
      </c>
      <c r="C298" s="0" t="n">
        <f aca="false">IF(DAY(A298)=1,B298,C297+B298)</f>
        <v>189</v>
      </c>
      <c r="D298" s="0" t="n">
        <f aca="false">B298+D297</f>
        <v>6340</v>
      </c>
    </row>
    <row r="299" customFormat="false" ht="15" hidden="false" customHeight="false" outlineLevel="0" collapsed="false">
      <c r="A299" s="1227" t="n">
        <f aca="false">A298+1</f>
        <v>37035</v>
      </c>
      <c r="B299" s="0" t="n">
        <v>5</v>
      </c>
      <c r="C299" s="0" t="n">
        <f aca="false">IF(DAY(A299)=1,B299,C298+B299)</f>
        <v>194</v>
      </c>
      <c r="D299" s="0" t="n">
        <f aca="false">B299+D298</f>
        <v>6345</v>
      </c>
    </row>
    <row r="300" customFormat="false" ht="15" hidden="false" customHeight="false" outlineLevel="0" collapsed="false">
      <c r="A300" s="1227" t="n">
        <f aca="false">A299+1</f>
        <v>37036</v>
      </c>
      <c r="B300" s="0" t="n">
        <v>5</v>
      </c>
      <c r="C300" s="0" t="n">
        <f aca="false">IF(DAY(A300)=1,B300,C299+B300)</f>
        <v>199</v>
      </c>
      <c r="D300" s="0" t="n">
        <f aca="false">B300+D299</f>
        <v>6350</v>
      </c>
    </row>
    <row r="301" customFormat="false" ht="15" hidden="false" customHeight="false" outlineLevel="0" collapsed="false">
      <c r="A301" s="1227" t="n">
        <f aca="false">A300+1</f>
        <v>37037</v>
      </c>
      <c r="B301" s="0" t="n">
        <v>5</v>
      </c>
      <c r="C301" s="0" t="n">
        <f aca="false">IF(DAY(A301)=1,B301,C300+B301)</f>
        <v>204</v>
      </c>
      <c r="D301" s="0" t="n">
        <f aca="false">B301+D300</f>
        <v>6355</v>
      </c>
    </row>
    <row r="302" customFormat="false" ht="15" hidden="false" customHeight="false" outlineLevel="0" collapsed="false">
      <c r="A302" s="1227" t="n">
        <f aca="false">A301+1</f>
        <v>37038</v>
      </c>
      <c r="B302" s="0" t="n">
        <v>5</v>
      </c>
      <c r="C302" s="0" t="n">
        <f aca="false">IF(DAY(A302)=1,B302,C301+B302)</f>
        <v>209</v>
      </c>
      <c r="D302" s="0" t="n">
        <f aca="false">B302+D301</f>
        <v>6360</v>
      </c>
    </row>
    <row r="303" customFormat="false" ht="15" hidden="false" customHeight="false" outlineLevel="0" collapsed="false">
      <c r="A303" s="1227" t="n">
        <f aca="false">A302+1</f>
        <v>37039</v>
      </c>
      <c r="B303" s="0" t="n">
        <v>4</v>
      </c>
      <c r="C303" s="0" t="n">
        <f aca="false">IF(DAY(A303)=1,B303,C302+B303)</f>
        <v>213</v>
      </c>
      <c r="D303" s="0" t="n">
        <f aca="false">B303+D302</f>
        <v>6364</v>
      </c>
    </row>
    <row r="304" customFormat="false" ht="15" hidden="false" customHeight="false" outlineLevel="0" collapsed="false">
      <c r="A304" s="1227" t="n">
        <f aca="false">A303+1</f>
        <v>37040</v>
      </c>
      <c r="B304" s="0" t="n">
        <v>4</v>
      </c>
      <c r="C304" s="0" t="n">
        <f aca="false">IF(DAY(A304)=1,B304,C303+B304)</f>
        <v>217</v>
      </c>
      <c r="D304" s="0" t="n">
        <f aca="false">B304+D303</f>
        <v>6368</v>
      </c>
    </row>
    <row r="305" customFormat="false" ht="15" hidden="false" customHeight="false" outlineLevel="0" collapsed="false">
      <c r="A305" s="1227" t="n">
        <f aca="false">A304+1</f>
        <v>37041</v>
      </c>
      <c r="B305" s="0" t="n">
        <v>4</v>
      </c>
      <c r="C305" s="0" t="n">
        <f aca="false">IF(DAY(A305)=1,B305,C304+B305)</f>
        <v>221</v>
      </c>
      <c r="D305" s="0" t="n">
        <f aca="false">B305+D304</f>
        <v>6372</v>
      </c>
    </row>
    <row r="306" customFormat="false" ht="15" hidden="false" customHeight="false" outlineLevel="0" collapsed="false">
      <c r="A306" s="1227" t="n">
        <f aca="false">A305+1</f>
        <v>37042</v>
      </c>
      <c r="B306" s="0" t="n">
        <v>4</v>
      </c>
      <c r="C306" s="0" t="n">
        <f aca="false">IF(DAY(A306)=1,B306,C305+B306)</f>
        <v>225</v>
      </c>
      <c r="D306" s="0" t="n">
        <f aca="false">B306+D305</f>
        <v>6376</v>
      </c>
    </row>
    <row r="307" customFormat="false" ht="15" hidden="false" customHeight="false" outlineLevel="0" collapsed="false">
      <c r="A307" s="1227" t="n">
        <f aca="false">A306+1</f>
        <v>37043</v>
      </c>
      <c r="B307" s="0" t="n">
        <v>4</v>
      </c>
      <c r="C307" s="0" t="n">
        <f aca="false">IF(DAY(A307)=1,B307,C306+B307)</f>
        <v>4</v>
      </c>
      <c r="D307" s="0" t="n">
        <f aca="false">B307+D306</f>
        <v>6380</v>
      </c>
    </row>
    <row r="308" customFormat="false" ht="15" hidden="false" customHeight="false" outlineLevel="0" collapsed="false">
      <c r="A308" s="1227" t="n">
        <f aca="false">A307+1</f>
        <v>37044</v>
      </c>
      <c r="B308" s="0" t="n">
        <v>4</v>
      </c>
      <c r="C308" s="0" t="n">
        <f aca="false">IF(DAY(A308)=1,B308,C307+B308)</f>
        <v>8</v>
      </c>
      <c r="D308" s="0" t="n">
        <f aca="false">B308+D307</f>
        <v>6384</v>
      </c>
    </row>
    <row r="309" customFormat="false" ht="15" hidden="false" customHeight="false" outlineLevel="0" collapsed="false">
      <c r="A309" s="1227" t="n">
        <f aca="false">A308+1</f>
        <v>37045</v>
      </c>
      <c r="B309" s="0" t="n">
        <v>4</v>
      </c>
      <c r="C309" s="0" t="n">
        <f aca="false">IF(DAY(A309)=1,B309,C308+B309)</f>
        <v>12</v>
      </c>
      <c r="D309" s="0" t="n">
        <f aca="false">B309+D308</f>
        <v>6388</v>
      </c>
    </row>
    <row r="310" customFormat="false" ht="15" hidden="false" customHeight="false" outlineLevel="0" collapsed="false">
      <c r="A310" s="1227" t="n">
        <f aca="false">A309+1</f>
        <v>37046</v>
      </c>
      <c r="B310" s="0" t="n">
        <v>3</v>
      </c>
      <c r="C310" s="0" t="n">
        <f aca="false">IF(DAY(A310)=1,B310,C309+B310)</f>
        <v>15</v>
      </c>
      <c r="D310" s="0" t="n">
        <f aca="false">B310+D309</f>
        <v>6391</v>
      </c>
    </row>
    <row r="311" customFormat="false" ht="15" hidden="false" customHeight="false" outlineLevel="0" collapsed="false">
      <c r="A311" s="1227" t="n">
        <f aca="false">A310+1</f>
        <v>37047</v>
      </c>
      <c r="B311" s="0" t="n">
        <v>3</v>
      </c>
      <c r="C311" s="0" t="n">
        <f aca="false">IF(DAY(A311)=1,B311,C310+B311)</f>
        <v>18</v>
      </c>
      <c r="D311" s="0" t="n">
        <f aca="false">B311+D310</f>
        <v>6394</v>
      </c>
    </row>
    <row r="312" customFormat="false" ht="15" hidden="false" customHeight="false" outlineLevel="0" collapsed="false">
      <c r="A312" s="1227" t="n">
        <f aca="false">A311+1</f>
        <v>37048</v>
      </c>
      <c r="B312" s="0" t="n">
        <v>3</v>
      </c>
      <c r="C312" s="0" t="n">
        <f aca="false">IF(DAY(A312)=1,B312,C311+B312)</f>
        <v>21</v>
      </c>
      <c r="D312" s="0" t="n">
        <f aca="false">B312+D311</f>
        <v>6397</v>
      </c>
    </row>
    <row r="313" customFormat="false" ht="15" hidden="false" customHeight="false" outlineLevel="0" collapsed="false">
      <c r="A313" s="1227" t="n">
        <f aca="false">A312+1</f>
        <v>37049</v>
      </c>
      <c r="B313" s="0" t="n">
        <v>3</v>
      </c>
      <c r="C313" s="0" t="n">
        <f aca="false">IF(DAY(A313)=1,B313,C312+B313)</f>
        <v>24</v>
      </c>
      <c r="D313" s="0" t="n">
        <f aca="false">B313+D312</f>
        <v>6400</v>
      </c>
    </row>
    <row r="314" customFormat="false" ht="15" hidden="false" customHeight="false" outlineLevel="0" collapsed="false">
      <c r="A314" s="1227" t="n">
        <f aca="false">A313+1</f>
        <v>37050</v>
      </c>
      <c r="B314" s="0" t="n">
        <v>3</v>
      </c>
      <c r="C314" s="0" t="n">
        <f aca="false">IF(DAY(A314)=1,B314,C313+B314)</f>
        <v>27</v>
      </c>
      <c r="D314" s="0" t="n">
        <f aca="false">B314+D313</f>
        <v>6403</v>
      </c>
    </row>
    <row r="315" customFormat="false" ht="15" hidden="false" customHeight="false" outlineLevel="0" collapsed="false">
      <c r="A315" s="1227" t="n">
        <f aca="false">A314+1</f>
        <v>37051</v>
      </c>
      <c r="B315" s="0" t="n">
        <v>3</v>
      </c>
      <c r="C315" s="0" t="n">
        <f aca="false">IF(DAY(A315)=1,B315,C314+B315)</f>
        <v>30</v>
      </c>
      <c r="D315" s="0" t="n">
        <f aca="false">B315+D314</f>
        <v>6406</v>
      </c>
    </row>
    <row r="316" customFormat="false" ht="15" hidden="false" customHeight="false" outlineLevel="0" collapsed="false">
      <c r="A316" s="1227" t="n">
        <f aca="false">A315+1</f>
        <v>37052</v>
      </c>
      <c r="B316" s="0" t="n">
        <v>3</v>
      </c>
      <c r="C316" s="0" t="n">
        <f aca="false">IF(DAY(A316)=1,B316,C315+B316)</f>
        <v>33</v>
      </c>
      <c r="D316" s="0" t="n">
        <f aca="false">B316+D315</f>
        <v>6409</v>
      </c>
    </row>
    <row r="317" customFormat="false" ht="15" hidden="false" customHeight="false" outlineLevel="0" collapsed="false">
      <c r="A317" s="1227" t="n">
        <f aca="false">A316+1</f>
        <v>37053</v>
      </c>
      <c r="B317" s="0" t="n">
        <v>3</v>
      </c>
      <c r="C317" s="0" t="n">
        <f aca="false">IF(DAY(A317)=1,B317,C316+B317)</f>
        <v>36</v>
      </c>
      <c r="D317" s="0" t="n">
        <f aca="false">B317+D316</f>
        <v>6412</v>
      </c>
    </row>
    <row r="318" customFormat="false" ht="15" hidden="false" customHeight="false" outlineLevel="0" collapsed="false">
      <c r="A318" s="1227" t="n">
        <f aca="false">A317+1</f>
        <v>37054</v>
      </c>
      <c r="B318" s="0" t="n">
        <v>2</v>
      </c>
      <c r="C318" s="0" t="n">
        <f aca="false">IF(DAY(A318)=1,B318,C317+B318)</f>
        <v>38</v>
      </c>
      <c r="D318" s="0" t="n">
        <f aca="false">B318+D317</f>
        <v>6414</v>
      </c>
    </row>
    <row r="319" customFormat="false" ht="15" hidden="false" customHeight="false" outlineLevel="0" collapsed="false">
      <c r="A319" s="1227" t="n">
        <f aca="false">A318+1</f>
        <v>37055</v>
      </c>
      <c r="B319" s="0" t="n">
        <v>2</v>
      </c>
      <c r="C319" s="0" t="n">
        <f aca="false">IF(DAY(A319)=1,B319,C318+B319)</f>
        <v>40</v>
      </c>
      <c r="D319" s="0" t="n">
        <f aca="false">B319+D318</f>
        <v>6416</v>
      </c>
    </row>
    <row r="320" customFormat="false" ht="15" hidden="false" customHeight="false" outlineLevel="0" collapsed="false">
      <c r="A320" s="1227" t="n">
        <f aca="false">A319+1</f>
        <v>37056</v>
      </c>
      <c r="B320" s="0" t="n">
        <v>1</v>
      </c>
      <c r="C320" s="0" t="n">
        <f aca="false">IF(DAY(A320)=1,B320,C319+B320)</f>
        <v>41</v>
      </c>
      <c r="D320" s="0" t="n">
        <f aca="false">B320+D319</f>
        <v>6417</v>
      </c>
    </row>
    <row r="321" customFormat="false" ht="15" hidden="false" customHeight="false" outlineLevel="0" collapsed="false">
      <c r="A321" s="1227" t="n">
        <f aca="false">A320+1</f>
        <v>37057</v>
      </c>
      <c r="B321" s="0" t="n">
        <v>1</v>
      </c>
      <c r="C321" s="0" t="n">
        <f aca="false">IF(DAY(A321)=1,B321,C320+B321)</f>
        <v>42</v>
      </c>
      <c r="D321" s="0" t="n">
        <f aca="false">B321+D320</f>
        <v>6418</v>
      </c>
    </row>
    <row r="322" customFormat="false" ht="15" hidden="false" customHeight="false" outlineLevel="0" collapsed="false">
      <c r="A322" s="1227" t="n">
        <f aca="false">A321+1</f>
        <v>37058</v>
      </c>
      <c r="B322" s="0" t="n">
        <v>1</v>
      </c>
      <c r="C322" s="0" t="n">
        <f aca="false">IF(DAY(A322)=1,B322,C321+B322)</f>
        <v>43</v>
      </c>
      <c r="D322" s="0" t="n">
        <f aca="false">B322+D321</f>
        <v>6419</v>
      </c>
    </row>
    <row r="323" customFormat="false" ht="15" hidden="false" customHeight="false" outlineLevel="0" collapsed="false">
      <c r="A323" s="1227" t="n">
        <f aca="false">A322+1</f>
        <v>37059</v>
      </c>
      <c r="B323" s="0" t="n">
        <v>1</v>
      </c>
      <c r="C323" s="0" t="n">
        <f aca="false">IF(DAY(A323)=1,B323,C322+B323)</f>
        <v>44</v>
      </c>
      <c r="D323" s="0" t="n">
        <f aca="false">B323+D322</f>
        <v>6420</v>
      </c>
    </row>
    <row r="324" customFormat="false" ht="15" hidden="false" customHeight="false" outlineLevel="0" collapsed="false">
      <c r="A324" s="1227" t="n">
        <f aca="false">A323+1</f>
        <v>37060</v>
      </c>
      <c r="B324" s="0" t="n">
        <v>1</v>
      </c>
      <c r="C324" s="0" t="n">
        <f aca="false">IF(DAY(A324)=1,B324,C323+B324)</f>
        <v>45</v>
      </c>
      <c r="D324" s="0" t="n">
        <f aca="false">B324+D323</f>
        <v>6421</v>
      </c>
    </row>
    <row r="325" customFormat="false" ht="15" hidden="false" customHeight="false" outlineLevel="0" collapsed="false">
      <c r="A325" s="1227" t="n">
        <f aca="false">A324+1</f>
        <v>37061</v>
      </c>
      <c r="B325" s="0" t="n">
        <v>1</v>
      </c>
      <c r="C325" s="0" t="n">
        <f aca="false">IF(DAY(A325)=1,B325,C324+B325)</f>
        <v>46</v>
      </c>
      <c r="D325" s="0" t="n">
        <f aca="false">B325+D324</f>
        <v>6422</v>
      </c>
    </row>
    <row r="326" customFormat="false" ht="15" hidden="false" customHeight="false" outlineLevel="0" collapsed="false">
      <c r="A326" s="1227" t="n">
        <f aca="false">A325+1</f>
        <v>37062</v>
      </c>
      <c r="B326" s="0" t="n">
        <v>0</v>
      </c>
      <c r="C326" s="0" t="n">
        <f aca="false">IF(DAY(A326)=1,B326,C325+B326)</f>
        <v>46</v>
      </c>
      <c r="D326" s="0" t="n">
        <f aca="false">B326+D325</f>
        <v>6422</v>
      </c>
    </row>
    <row r="327" customFormat="false" ht="15" hidden="false" customHeight="false" outlineLevel="0" collapsed="false">
      <c r="A327" s="1227" t="n">
        <f aca="false">A326+1</f>
        <v>37063</v>
      </c>
      <c r="B327" s="0" t="n">
        <v>0</v>
      </c>
      <c r="C327" s="0" t="n">
        <f aca="false">IF(DAY(A327)=1,B327,C326+B327)</f>
        <v>46</v>
      </c>
      <c r="D327" s="0" t="n">
        <f aca="false">B327+D326</f>
        <v>6422</v>
      </c>
    </row>
    <row r="328" customFormat="false" ht="15" hidden="false" customHeight="false" outlineLevel="0" collapsed="false">
      <c r="A328" s="1227" t="n">
        <f aca="false">A327+1</f>
        <v>37064</v>
      </c>
      <c r="B328" s="0" t="n">
        <v>0</v>
      </c>
      <c r="C328" s="0" t="n">
        <f aca="false">IF(DAY(A328)=1,B328,C327+B328)</f>
        <v>46</v>
      </c>
      <c r="D328" s="0" t="n">
        <f aca="false">B328+D327</f>
        <v>6422</v>
      </c>
    </row>
    <row r="329" customFormat="false" ht="15" hidden="false" customHeight="false" outlineLevel="0" collapsed="false">
      <c r="A329" s="1227" t="n">
        <f aca="false">A328+1</f>
        <v>37065</v>
      </c>
      <c r="B329" s="0" t="n">
        <v>0</v>
      </c>
      <c r="C329" s="0" t="n">
        <f aca="false">IF(DAY(A329)=1,B329,C328+B329)</f>
        <v>46</v>
      </c>
      <c r="D329" s="0" t="n">
        <f aca="false">B329+D328</f>
        <v>6422</v>
      </c>
    </row>
    <row r="330" customFormat="false" ht="15" hidden="false" customHeight="false" outlineLevel="0" collapsed="false">
      <c r="A330" s="1227" t="n">
        <f aca="false">A329+1</f>
        <v>37066</v>
      </c>
      <c r="B330" s="0" t="n">
        <v>0</v>
      </c>
      <c r="C330" s="0" t="n">
        <f aca="false">IF(DAY(A330)=1,B330,C329+B330)</f>
        <v>46</v>
      </c>
      <c r="D330" s="0" t="n">
        <f aca="false">B330+D329</f>
        <v>6422</v>
      </c>
    </row>
    <row r="331" customFormat="false" ht="15" hidden="false" customHeight="false" outlineLevel="0" collapsed="false">
      <c r="A331" s="1227" t="n">
        <f aca="false">A330+1</f>
        <v>37067</v>
      </c>
      <c r="B331" s="0" t="n">
        <v>0</v>
      </c>
      <c r="C331" s="0" t="n">
        <f aca="false">IF(DAY(A331)=1,B331,C330+B331)</f>
        <v>46</v>
      </c>
      <c r="D331" s="0" t="n">
        <f aca="false">B331+D330</f>
        <v>6422</v>
      </c>
    </row>
    <row r="332" customFormat="false" ht="15" hidden="false" customHeight="false" outlineLevel="0" collapsed="false">
      <c r="A332" s="1227" t="n">
        <f aca="false">A331+1</f>
        <v>37068</v>
      </c>
      <c r="B332" s="0" t="n">
        <v>0</v>
      </c>
      <c r="C332" s="0" t="n">
        <f aca="false">IF(DAY(A332)=1,B332,C331+B332)</f>
        <v>46</v>
      </c>
      <c r="D332" s="0" t="n">
        <f aca="false">B332+D331</f>
        <v>6422</v>
      </c>
    </row>
    <row r="333" customFormat="false" ht="15" hidden="false" customHeight="false" outlineLevel="0" collapsed="false">
      <c r="A333" s="1227" t="n">
        <f aca="false">A332+1</f>
        <v>37069</v>
      </c>
      <c r="B333" s="0" t="n">
        <v>0</v>
      </c>
      <c r="C333" s="0" t="n">
        <f aca="false">IF(DAY(A333)=1,B333,C332+B333)</f>
        <v>46</v>
      </c>
      <c r="D333" s="0" t="n">
        <f aca="false">B333+D332</f>
        <v>6422</v>
      </c>
    </row>
    <row r="334" customFormat="false" ht="15" hidden="false" customHeight="false" outlineLevel="0" collapsed="false">
      <c r="A334" s="1227" t="n">
        <f aca="false">A333+1</f>
        <v>37070</v>
      </c>
      <c r="B334" s="0" t="n">
        <v>0</v>
      </c>
      <c r="C334" s="0" t="n">
        <f aca="false">IF(DAY(A334)=1,B334,C333+B334)</f>
        <v>46</v>
      </c>
      <c r="D334" s="0" t="n">
        <f aca="false">B334+D333</f>
        <v>6422</v>
      </c>
    </row>
    <row r="335" customFormat="false" ht="15" hidden="false" customHeight="false" outlineLevel="0" collapsed="false">
      <c r="A335" s="1227" t="n">
        <f aca="false">A334+1</f>
        <v>37071</v>
      </c>
      <c r="B335" s="0" t="n">
        <v>0</v>
      </c>
      <c r="C335" s="0" t="n">
        <f aca="false">IF(DAY(A335)=1,B335,C334+B335)</f>
        <v>46</v>
      </c>
      <c r="D335" s="0" t="n">
        <f aca="false">B335+D334</f>
        <v>6422</v>
      </c>
    </row>
    <row r="336" customFormat="false" ht="15" hidden="false" customHeight="false" outlineLevel="0" collapsed="false">
      <c r="A336" s="1227" t="n">
        <f aca="false">A335+1</f>
        <v>37072</v>
      </c>
      <c r="B336" s="0" t="n">
        <v>0</v>
      </c>
      <c r="C336" s="0" t="n">
        <f aca="false">IF(DAY(A336)=1,B336,C335+B336)</f>
        <v>46</v>
      </c>
      <c r="D336" s="0" t="n">
        <f aca="false">B336+D335</f>
        <v>6422</v>
      </c>
    </row>
    <row r="337" customFormat="false" ht="15" hidden="false" customHeight="false" outlineLevel="0" collapsed="false">
      <c r="A337" s="1227" t="n">
        <f aca="false">A336+1</f>
        <v>37073</v>
      </c>
      <c r="B337" s="0" t="n">
        <v>0</v>
      </c>
      <c r="C337" s="0" t="n">
        <f aca="false">IF(DAY(A337)=1,B337,C336+B337)</f>
        <v>0</v>
      </c>
      <c r="D337" s="0" t="n">
        <f aca="false">B337+D336</f>
        <v>6422</v>
      </c>
    </row>
    <row r="338" customFormat="false" ht="15" hidden="false" customHeight="false" outlineLevel="0" collapsed="false">
      <c r="A338" s="1227" t="n">
        <f aca="false">A337+1</f>
        <v>37074</v>
      </c>
      <c r="B338" s="0" t="n">
        <v>0</v>
      </c>
      <c r="C338" s="0" t="n">
        <f aca="false">IF(DAY(A338)=1,B338,C337+B338)</f>
        <v>0</v>
      </c>
      <c r="D338" s="0" t="n">
        <f aca="false">B338+D337</f>
        <v>6422</v>
      </c>
    </row>
    <row r="339" customFormat="false" ht="15" hidden="false" customHeight="false" outlineLevel="0" collapsed="false">
      <c r="A339" s="1227" t="n">
        <f aca="false">A338+1</f>
        <v>37075</v>
      </c>
      <c r="B339" s="0" t="n">
        <v>0</v>
      </c>
      <c r="C339" s="0" t="n">
        <f aca="false">IF(DAY(A339)=1,B339,C338+B339)</f>
        <v>0</v>
      </c>
      <c r="D339" s="0" t="n">
        <f aca="false">B339+D338</f>
        <v>6422</v>
      </c>
    </row>
    <row r="340" customFormat="false" ht="15" hidden="false" customHeight="false" outlineLevel="0" collapsed="false">
      <c r="A340" s="1227" t="n">
        <f aca="false">A339+1</f>
        <v>37076</v>
      </c>
      <c r="B340" s="0" t="n">
        <v>0</v>
      </c>
      <c r="C340" s="0" t="n">
        <f aca="false">IF(DAY(A340)=1,B340,C339+B340)</f>
        <v>0</v>
      </c>
      <c r="D340" s="0" t="n">
        <f aca="false">B340+D339</f>
        <v>6422</v>
      </c>
    </row>
    <row r="341" customFormat="false" ht="15" hidden="false" customHeight="false" outlineLevel="0" collapsed="false">
      <c r="A341" s="1227" t="n">
        <f aca="false">A340+1</f>
        <v>37077</v>
      </c>
      <c r="B341" s="0" t="n">
        <v>0</v>
      </c>
      <c r="C341" s="0" t="n">
        <f aca="false">IF(DAY(A341)=1,B341,C340+B341)</f>
        <v>0</v>
      </c>
      <c r="D341" s="0" t="n">
        <f aca="false">B341+D340</f>
        <v>6422</v>
      </c>
    </row>
    <row r="342" customFormat="false" ht="15" hidden="false" customHeight="false" outlineLevel="0" collapsed="false">
      <c r="A342" s="1227" t="n">
        <f aca="false">A341+1</f>
        <v>37078</v>
      </c>
      <c r="B342" s="0" t="n">
        <v>0</v>
      </c>
      <c r="C342" s="0" t="n">
        <f aca="false">IF(DAY(A342)=1,B342,C341+B342)</f>
        <v>0</v>
      </c>
      <c r="D342" s="0" t="n">
        <f aca="false">B342+D341</f>
        <v>6422</v>
      </c>
    </row>
    <row r="343" customFormat="false" ht="15" hidden="false" customHeight="false" outlineLevel="0" collapsed="false">
      <c r="A343" s="1227" t="n">
        <f aca="false">A342+1</f>
        <v>37079</v>
      </c>
      <c r="B343" s="0" t="n">
        <v>0</v>
      </c>
      <c r="C343" s="0" t="n">
        <f aca="false">IF(DAY(A343)=1,B343,C342+B343)</f>
        <v>0</v>
      </c>
      <c r="D343" s="0" t="n">
        <f aca="false">B343+D342</f>
        <v>6422</v>
      </c>
    </row>
    <row r="344" customFormat="false" ht="15" hidden="false" customHeight="false" outlineLevel="0" collapsed="false">
      <c r="A344" s="1227" t="n">
        <f aca="false">A343+1</f>
        <v>37080</v>
      </c>
      <c r="B344" s="0" t="n">
        <v>0</v>
      </c>
      <c r="C344" s="0" t="n">
        <f aca="false">IF(DAY(A344)=1,B344,C343+B344)</f>
        <v>0</v>
      </c>
      <c r="D344" s="0" t="n">
        <f aca="false">B344+D343</f>
        <v>6422</v>
      </c>
    </row>
    <row r="345" customFormat="false" ht="15" hidden="false" customHeight="false" outlineLevel="0" collapsed="false">
      <c r="A345" s="1227" t="n">
        <f aca="false">A344+1</f>
        <v>37081</v>
      </c>
      <c r="B345" s="0" t="n">
        <v>0</v>
      </c>
      <c r="C345" s="0" t="n">
        <f aca="false">IF(DAY(A345)=1,B345,C344+B345)</f>
        <v>0</v>
      </c>
      <c r="D345" s="0" t="n">
        <f aca="false">B345+D344</f>
        <v>6422</v>
      </c>
    </row>
    <row r="346" customFormat="false" ht="15" hidden="false" customHeight="false" outlineLevel="0" collapsed="false">
      <c r="A346" s="1227" t="n">
        <f aca="false">A345+1</f>
        <v>37082</v>
      </c>
      <c r="B346" s="0" t="n">
        <v>0</v>
      </c>
      <c r="C346" s="0" t="n">
        <f aca="false">IF(DAY(A346)=1,B346,C345+B346)</f>
        <v>0</v>
      </c>
      <c r="D346" s="0" t="n">
        <f aca="false">B346+D345</f>
        <v>6422</v>
      </c>
    </row>
    <row r="347" customFormat="false" ht="15" hidden="false" customHeight="false" outlineLevel="0" collapsed="false">
      <c r="A347" s="1227" t="n">
        <f aca="false">A346+1</f>
        <v>37083</v>
      </c>
      <c r="B347" s="0" t="n">
        <v>0</v>
      </c>
      <c r="C347" s="0" t="n">
        <f aca="false">IF(DAY(A347)=1,B347,C346+B347)</f>
        <v>0</v>
      </c>
      <c r="D347" s="0" t="n">
        <f aca="false">B347+D346</f>
        <v>6422</v>
      </c>
    </row>
    <row r="348" customFormat="false" ht="15" hidden="false" customHeight="false" outlineLevel="0" collapsed="false">
      <c r="A348" s="1227" t="n">
        <f aca="false">A347+1</f>
        <v>37084</v>
      </c>
      <c r="B348" s="0" t="n">
        <v>0</v>
      </c>
      <c r="C348" s="0" t="n">
        <f aca="false">IF(DAY(A348)=1,B348,C347+B348)</f>
        <v>0</v>
      </c>
      <c r="D348" s="0" t="n">
        <f aca="false">B348+D347</f>
        <v>6422</v>
      </c>
    </row>
    <row r="349" customFormat="false" ht="15" hidden="false" customHeight="false" outlineLevel="0" collapsed="false">
      <c r="A349" s="1227" t="n">
        <f aca="false">A348+1</f>
        <v>37085</v>
      </c>
      <c r="B349" s="0" t="n">
        <v>0</v>
      </c>
      <c r="C349" s="0" t="n">
        <f aca="false">IF(DAY(A349)=1,B349,C348+B349)</f>
        <v>0</v>
      </c>
      <c r="D349" s="0" t="n">
        <f aca="false">B349+D348</f>
        <v>6422</v>
      </c>
    </row>
    <row r="350" customFormat="false" ht="15" hidden="false" customHeight="false" outlineLevel="0" collapsed="false">
      <c r="A350" s="1227" t="n">
        <f aca="false">A349+1</f>
        <v>37086</v>
      </c>
      <c r="B350" s="0" t="n">
        <v>0</v>
      </c>
      <c r="C350" s="0" t="n">
        <f aca="false">IF(DAY(A350)=1,B350,C349+B350)</f>
        <v>0</v>
      </c>
      <c r="D350" s="0" t="n">
        <f aca="false">B350+D349</f>
        <v>6422</v>
      </c>
    </row>
    <row r="351" customFormat="false" ht="15" hidden="false" customHeight="false" outlineLevel="0" collapsed="false">
      <c r="A351" s="1227" t="n">
        <f aca="false">A350+1</f>
        <v>37087</v>
      </c>
      <c r="B351" s="0" t="n">
        <v>0</v>
      </c>
      <c r="C351" s="0" t="n">
        <f aca="false">IF(DAY(A351)=1,B351,C350+B351)</f>
        <v>0</v>
      </c>
      <c r="D351" s="0" t="n">
        <f aca="false">B351+D350</f>
        <v>6422</v>
      </c>
    </row>
    <row r="352" customFormat="false" ht="15" hidden="false" customHeight="false" outlineLevel="0" collapsed="false">
      <c r="A352" s="1227" t="n">
        <f aca="false">A351+1</f>
        <v>37088</v>
      </c>
      <c r="B352" s="0" t="n">
        <v>0</v>
      </c>
      <c r="C352" s="0" t="n">
        <f aca="false">IF(DAY(A352)=1,B352,C351+B352)</f>
        <v>0</v>
      </c>
      <c r="D352" s="0" t="n">
        <f aca="false">B352+D351</f>
        <v>6422</v>
      </c>
    </row>
    <row r="353" customFormat="false" ht="15" hidden="false" customHeight="false" outlineLevel="0" collapsed="false">
      <c r="A353" s="1227" t="n">
        <f aca="false">A352+1</f>
        <v>37089</v>
      </c>
      <c r="B353" s="0" t="n">
        <v>0</v>
      </c>
      <c r="C353" s="0" t="n">
        <f aca="false">IF(DAY(A353)=1,B353,C352+B353)</f>
        <v>0</v>
      </c>
      <c r="D353" s="0" t="n">
        <f aca="false">B353+D352</f>
        <v>6422</v>
      </c>
    </row>
    <row r="354" customFormat="false" ht="15" hidden="false" customHeight="false" outlineLevel="0" collapsed="false">
      <c r="A354" s="1227" t="n">
        <f aca="false">A353+1</f>
        <v>37090</v>
      </c>
      <c r="B354" s="0" t="n">
        <v>0</v>
      </c>
      <c r="C354" s="0" t="n">
        <f aca="false">IF(DAY(A354)=1,B354,C353+B354)</f>
        <v>0</v>
      </c>
      <c r="D354" s="0" t="n">
        <f aca="false">B354+D353</f>
        <v>6422</v>
      </c>
    </row>
    <row r="355" customFormat="false" ht="15" hidden="false" customHeight="false" outlineLevel="0" collapsed="false">
      <c r="A355" s="1227" t="n">
        <f aca="false">A354+1</f>
        <v>37091</v>
      </c>
      <c r="B355" s="0" t="n">
        <v>0</v>
      </c>
      <c r="C355" s="0" t="n">
        <f aca="false">IF(DAY(A355)=1,B355,C354+B355)</f>
        <v>0</v>
      </c>
      <c r="D355" s="0" t="n">
        <f aca="false">B355+D354</f>
        <v>6422</v>
      </c>
    </row>
    <row r="356" customFormat="false" ht="15" hidden="false" customHeight="false" outlineLevel="0" collapsed="false">
      <c r="A356" s="1227" t="n">
        <f aca="false">A355+1</f>
        <v>37092</v>
      </c>
      <c r="B356" s="0" t="n">
        <v>0</v>
      </c>
      <c r="C356" s="0" t="n">
        <f aca="false">IF(DAY(A356)=1,B356,C355+B356)</f>
        <v>0</v>
      </c>
      <c r="D356" s="0" t="n">
        <f aca="false">B356+D355</f>
        <v>6422</v>
      </c>
    </row>
    <row r="357" customFormat="false" ht="15" hidden="false" customHeight="false" outlineLevel="0" collapsed="false">
      <c r="A357" s="1227" t="n">
        <f aca="false">A356+1</f>
        <v>37093</v>
      </c>
      <c r="B357" s="0" t="n">
        <v>0</v>
      </c>
      <c r="C357" s="0" t="n">
        <f aca="false">IF(DAY(A357)=1,B357,C356+B357)</f>
        <v>0</v>
      </c>
      <c r="D357" s="0" t="n">
        <f aca="false">B357+D356</f>
        <v>6422</v>
      </c>
    </row>
    <row r="358" customFormat="false" ht="15" hidden="false" customHeight="false" outlineLevel="0" collapsed="false">
      <c r="A358" s="1227" t="n">
        <f aca="false">A357+1</f>
        <v>37094</v>
      </c>
      <c r="B358" s="0" t="n">
        <v>0</v>
      </c>
      <c r="C358" s="0" t="n">
        <f aca="false">IF(DAY(A358)=1,B358,C357+B358)</f>
        <v>0</v>
      </c>
      <c r="D358" s="0" t="n">
        <f aca="false">B358+D357</f>
        <v>6422</v>
      </c>
    </row>
    <row r="359" customFormat="false" ht="15" hidden="false" customHeight="false" outlineLevel="0" collapsed="false">
      <c r="A359" s="1227" t="n">
        <f aca="false">A358+1</f>
        <v>37095</v>
      </c>
      <c r="B359" s="0" t="n">
        <v>0</v>
      </c>
      <c r="C359" s="0" t="n">
        <f aca="false">IF(DAY(A359)=1,B359,C358+B359)</f>
        <v>0</v>
      </c>
      <c r="D359" s="0" t="n">
        <f aca="false">B359+D358</f>
        <v>6422</v>
      </c>
    </row>
    <row r="360" customFormat="false" ht="15" hidden="false" customHeight="false" outlineLevel="0" collapsed="false">
      <c r="A360" s="1227" t="n">
        <f aca="false">A359+1</f>
        <v>37096</v>
      </c>
      <c r="B360" s="0" t="n">
        <v>0</v>
      </c>
      <c r="C360" s="0" t="n">
        <f aca="false">IF(DAY(A360)=1,B360,C359+B360)</f>
        <v>0</v>
      </c>
      <c r="D360" s="0" t="n">
        <f aca="false">B360+D359</f>
        <v>6422</v>
      </c>
    </row>
    <row r="361" customFormat="false" ht="15" hidden="false" customHeight="false" outlineLevel="0" collapsed="false">
      <c r="A361" s="1227" t="n">
        <f aca="false">A360+1</f>
        <v>37097</v>
      </c>
      <c r="B361" s="0" t="n">
        <v>0</v>
      </c>
      <c r="C361" s="0" t="n">
        <f aca="false">IF(DAY(A361)=1,B361,C360+B361)</f>
        <v>0</v>
      </c>
      <c r="D361" s="0" t="n">
        <f aca="false">B361+D360</f>
        <v>6422</v>
      </c>
    </row>
    <row r="362" customFormat="false" ht="15" hidden="false" customHeight="false" outlineLevel="0" collapsed="false">
      <c r="A362" s="1227" t="n">
        <f aca="false">A361+1</f>
        <v>37098</v>
      </c>
      <c r="B362" s="0" t="n">
        <v>0</v>
      </c>
      <c r="C362" s="0" t="n">
        <f aca="false">IF(DAY(A362)=1,B362,C361+B362)</f>
        <v>0</v>
      </c>
      <c r="D362" s="0" t="n">
        <f aca="false">B362+D361</f>
        <v>6422</v>
      </c>
    </row>
    <row r="363" customFormat="false" ht="15" hidden="false" customHeight="false" outlineLevel="0" collapsed="false">
      <c r="A363" s="1227" t="n">
        <f aca="false">A362+1</f>
        <v>37099</v>
      </c>
      <c r="B363" s="0" t="n">
        <v>1</v>
      </c>
      <c r="C363" s="0" t="n">
        <f aca="false">IF(DAY(A363)=1,B363,C362+B363)</f>
        <v>1</v>
      </c>
      <c r="D363" s="0" t="n">
        <f aca="false">B363+D362</f>
        <v>6423</v>
      </c>
    </row>
    <row r="364" customFormat="false" ht="15" hidden="false" customHeight="false" outlineLevel="0" collapsed="false">
      <c r="A364" s="1227" t="n">
        <f aca="false">A363+1</f>
        <v>37100</v>
      </c>
      <c r="B364" s="0" t="n">
        <v>1</v>
      </c>
      <c r="C364" s="0" t="n">
        <f aca="false">IF(DAY(A364)=1,B364,C363+B364)</f>
        <v>2</v>
      </c>
      <c r="D364" s="0" t="n">
        <f aca="false">B364+D363</f>
        <v>6424</v>
      </c>
    </row>
    <row r="365" customFormat="false" ht="15" hidden="false" customHeight="false" outlineLevel="0" collapsed="false">
      <c r="A365" s="1227" t="n">
        <f aca="false">A364+1</f>
        <v>37101</v>
      </c>
      <c r="B365" s="0" t="n">
        <v>1</v>
      </c>
      <c r="C365" s="0" t="n">
        <f aca="false">IF(DAY(A365)=1,B365,C364+B365)</f>
        <v>3</v>
      </c>
      <c r="D365" s="0" t="n">
        <f aca="false">B365+D364</f>
        <v>6425</v>
      </c>
    </row>
    <row r="366" customFormat="false" ht="15" hidden="false" customHeight="false" outlineLevel="0" collapsed="false">
      <c r="A366" s="1227" t="n">
        <f aca="false">A365+1</f>
        <v>37102</v>
      </c>
      <c r="B366" s="0" t="n">
        <v>1</v>
      </c>
      <c r="C366" s="0" t="n">
        <f aca="false">IF(DAY(A366)=1,B366,C365+B366)</f>
        <v>4</v>
      </c>
      <c r="D366" s="0" t="n">
        <f aca="false">B366+D365</f>
        <v>6426</v>
      </c>
    </row>
    <row r="367" customFormat="false" ht="15" hidden="false" customHeight="false" outlineLevel="0" collapsed="false">
      <c r="A367" s="1227" t="n">
        <f aca="false">A366+1</f>
        <v>37103</v>
      </c>
      <c r="B367" s="0" t="n">
        <v>1</v>
      </c>
      <c r="C367" s="0" t="n">
        <f aca="false">IF(DAY(A367)=1,B367,C366+B367)</f>
        <v>5</v>
      </c>
      <c r="D367" s="0" t="n">
        <f aca="false">B367+D366</f>
        <v>6427</v>
      </c>
    </row>
    <row r="368" customFormat="false" ht="15" hidden="false" customHeight="false" outlineLevel="0" collapsed="false">
      <c r="A368" s="1227" t="n">
        <f aca="false">A367+1</f>
        <v>37104</v>
      </c>
      <c r="B368" s="0" t="n">
        <v>0</v>
      </c>
      <c r="C368" s="0" t="n">
        <f aca="false">IF(DAY(A368)=1,B368,C367+B368)</f>
        <v>0</v>
      </c>
      <c r="D368" s="0" t="n">
        <f aca="false">B368+D367</f>
        <v>6427</v>
      </c>
    </row>
    <row r="369" customFormat="false" ht="15" hidden="false" customHeight="false" outlineLevel="0" collapsed="false">
      <c r="A369" s="1227" t="n">
        <f aca="false">A368+1</f>
        <v>37105</v>
      </c>
      <c r="B369" s="0" t="n">
        <v>0</v>
      </c>
      <c r="C369" s="0" t="n">
        <v>0</v>
      </c>
      <c r="D369" s="0" t="n">
        <v>0</v>
      </c>
    </row>
    <row r="370" customFormat="false" ht="15" hidden="false" customHeight="false" outlineLevel="0" collapsed="false">
      <c r="A370" s="1227" t="n">
        <f aca="false">A369+1</f>
        <v>37106</v>
      </c>
      <c r="B370" s="0" t="n">
        <v>0</v>
      </c>
      <c r="C370" s="0" t="n">
        <v>0</v>
      </c>
      <c r="D370" s="0" t="n">
        <v>0</v>
      </c>
    </row>
    <row r="371" customFormat="false" ht="15" hidden="false" customHeight="false" outlineLevel="0" collapsed="false">
      <c r="A371" s="1227" t="n">
        <f aca="false">A370+1</f>
        <v>37107</v>
      </c>
      <c r="B371" s="0" t="n">
        <v>0</v>
      </c>
      <c r="C371" s="0" t="n">
        <v>0</v>
      </c>
      <c r="D371" s="0" t="n">
        <v>0</v>
      </c>
    </row>
    <row r="372" customFormat="false" ht="15" hidden="false" customHeight="false" outlineLevel="0" collapsed="false">
      <c r="A372" s="1227" t="n">
        <f aca="false">A371+1</f>
        <v>37108</v>
      </c>
      <c r="B372" s="0" t="n">
        <v>0</v>
      </c>
      <c r="C372" s="0" t="n">
        <v>0</v>
      </c>
      <c r="D372" s="0" t="n">
        <v>0</v>
      </c>
    </row>
    <row r="373" customFormat="false" ht="15" hidden="false" customHeight="false" outlineLevel="0" collapsed="false">
      <c r="A373" s="1227" t="n">
        <f aca="false">A372+1</f>
        <v>37109</v>
      </c>
      <c r="B373" s="0" t="n">
        <v>0</v>
      </c>
      <c r="C373" s="0" t="n">
        <v>0</v>
      </c>
      <c r="D373" s="0" t="n">
        <v>0</v>
      </c>
    </row>
    <row r="374" customFormat="false" ht="15" hidden="false" customHeight="false" outlineLevel="0" collapsed="false">
      <c r="A374" s="1227" t="n">
        <f aca="false">A373+1</f>
        <v>37110</v>
      </c>
      <c r="B374" s="0" t="n">
        <v>0</v>
      </c>
      <c r="C374" s="0" t="n">
        <v>0</v>
      </c>
      <c r="D374" s="0" t="n">
        <v>0</v>
      </c>
    </row>
  </sheetData>
  <sheetProtection sheet="true" objects="true" scenarios="true"/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N10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8828125" defaultRowHeight="12.75" customHeight="true" zeroHeight="false" outlineLevelRow="0" outlineLevelCol="0"/>
  <cols>
    <col collapsed="false" customWidth="false" hidden="false" outlineLevel="0" max="2" min="1" style="29" width="8.88"/>
    <col collapsed="false" customWidth="true" hidden="false" outlineLevel="0" max="3" min="3" style="29" width="11.88"/>
    <col collapsed="false" customWidth="true" hidden="false" outlineLevel="0" max="4" min="4" style="29" width="9.44"/>
    <col collapsed="false" customWidth="true" hidden="false" outlineLevel="0" max="6" min="5" style="29" width="9.1"/>
    <col collapsed="false" customWidth="false" hidden="false" outlineLevel="0" max="7" min="7" style="29" width="8.88"/>
    <col collapsed="false" customWidth="true" hidden="false" outlineLevel="0" max="8" min="8" style="29" width="12.55"/>
    <col collapsed="false" customWidth="false" hidden="false" outlineLevel="0" max="257" min="9" style="29" width="8.88"/>
  </cols>
  <sheetData>
    <row r="1" customFormat="false" ht="12.75" hidden="false" customHeight="false" outlineLevel="0" collapsed="false">
      <c r="A1" s="61" t="s">
        <v>1</v>
      </c>
      <c r="B1" s="61"/>
      <c r="C1" s="61"/>
      <c r="M1" s="29" t="s">
        <v>85</v>
      </c>
      <c r="N1" s="29" t="s">
        <v>85</v>
      </c>
    </row>
    <row r="2" customFormat="false" ht="15" hidden="false" customHeight="false" outlineLevel="0" collapsed="false">
      <c r="K2" s="0" t="s">
        <v>120</v>
      </c>
      <c r="L2" s="0" t="s">
        <v>120</v>
      </c>
      <c r="M2" s="0" t="s">
        <v>120</v>
      </c>
      <c r="N2" s="0" t="s">
        <v>120</v>
      </c>
    </row>
    <row r="3" customFormat="false" ht="15" hidden="false" customHeight="false" outlineLevel="0" collapsed="false">
      <c r="B3" s="18" t="s">
        <v>46</v>
      </c>
      <c r="C3" s="29" t="s">
        <v>70</v>
      </c>
      <c r="D3" s="36" t="s">
        <v>121</v>
      </c>
      <c r="F3" s="36" t="s">
        <v>122</v>
      </c>
      <c r="G3" s="36" t="s">
        <v>123</v>
      </c>
      <c r="H3" s="36" t="s">
        <v>9</v>
      </c>
      <c r="I3" s="36" t="s">
        <v>124</v>
      </c>
      <c r="K3" s="0" t="s">
        <v>125</v>
      </c>
      <c r="L3" s="0" t="s">
        <v>125</v>
      </c>
      <c r="M3" s="0" t="s">
        <v>125</v>
      </c>
      <c r="N3" s="0" t="s">
        <v>125</v>
      </c>
    </row>
    <row r="4" customFormat="false" ht="12.75" hidden="false" customHeight="false" outlineLevel="0" collapsed="false">
      <c r="B4" s="18" t="s">
        <v>126</v>
      </c>
      <c r="D4" s="36" t="s">
        <v>127</v>
      </c>
      <c r="E4" s="36" t="s">
        <v>128</v>
      </c>
      <c r="F4" s="36" t="s">
        <v>127</v>
      </c>
      <c r="G4" s="36" t="s">
        <v>127</v>
      </c>
      <c r="H4" s="36" t="s">
        <v>70</v>
      </c>
      <c r="I4" s="36" t="s">
        <v>129</v>
      </c>
      <c r="K4" s="29" t="s">
        <v>130</v>
      </c>
      <c r="L4" s="29" t="s">
        <v>131</v>
      </c>
      <c r="M4" s="29" t="s">
        <v>130</v>
      </c>
      <c r="N4" s="29" t="s">
        <v>131</v>
      </c>
    </row>
    <row r="5" customFormat="false" ht="12.75" hidden="false" customHeight="false" outlineLevel="0" collapsed="false">
      <c r="A5" s="62" t="n">
        <f aca="false">Weather_Input!A5</f>
        <v>37034</v>
      </c>
      <c r="B5" s="29" t="n">
        <f aca="false">(Weather_Input!B5+Weather_Input!C5)/2</f>
        <v>53</v>
      </c>
      <c r="C5" s="46" t="n">
        <v>63000</v>
      </c>
      <c r="D5" s="46" t="n">
        <v>0</v>
      </c>
      <c r="E5" s="46" t="n">
        <v>0</v>
      </c>
      <c r="F5" s="46" t="n">
        <v>0</v>
      </c>
      <c r="G5" s="46" t="n">
        <v>0</v>
      </c>
      <c r="H5" s="63" t="n">
        <f aca="false">SUM(D5:G5)</f>
        <v>0</v>
      </c>
      <c r="I5" s="29" t="n">
        <v>1009</v>
      </c>
      <c r="J5" s="29" t="s">
        <v>1</v>
      </c>
      <c r="K5" s="29" t="n">
        <v>1397</v>
      </c>
      <c r="L5" s="29" t="n">
        <v>0</v>
      </c>
      <c r="M5" s="29" t="n">
        <v>11661</v>
      </c>
      <c r="N5" s="29" t="n">
        <v>0</v>
      </c>
    </row>
    <row r="6" customFormat="false" ht="12.75" hidden="false" customHeight="false" outlineLevel="0" collapsed="false">
      <c r="A6" s="62" t="n">
        <f aca="false">A5+1</f>
        <v>37035</v>
      </c>
      <c r="B6" s="51" t="n">
        <f aca="false">(Weather_Input!B6+Weather_Input!C6)/2</f>
        <v>51.5</v>
      </c>
      <c r="C6" s="46" t="n">
        <v>62000</v>
      </c>
      <c r="D6" s="53" t="s">
        <v>1</v>
      </c>
      <c r="E6" s="53"/>
      <c r="F6" s="53"/>
      <c r="G6" s="53"/>
      <c r="H6" s="13"/>
      <c r="I6" s="29" t="s">
        <v>1</v>
      </c>
    </row>
    <row r="7" customFormat="false" ht="12.75" hidden="false" customHeight="false" outlineLevel="0" collapsed="false">
      <c r="A7" s="62" t="n">
        <f aca="false">A6+1</f>
        <v>37036</v>
      </c>
      <c r="B7" s="51" t="n">
        <f aca="false">(Weather_Input!B7+Weather_Input!C7)/2</f>
        <v>52</v>
      </c>
      <c r="C7" s="46" t="n">
        <v>59000</v>
      </c>
      <c r="D7" s="53" t="s">
        <v>1</v>
      </c>
      <c r="E7" s="53" t="s">
        <v>1</v>
      </c>
      <c r="F7" s="53"/>
      <c r="G7" s="53"/>
      <c r="H7" s="13"/>
    </row>
    <row r="8" customFormat="false" ht="12.75" hidden="false" customHeight="false" outlineLevel="0" collapsed="false">
      <c r="A8" s="62" t="n">
        <f aca="false">A7+1</f>
        <v>37037</v>
      </c>
      <c r="B8" s="51" t="n">
        <f aca="false">(Weather_Input!B8+Weather_Input!C8)/2</f>
        <v>53.5</v>
      </c>
      <c r="C8" s="46" t="n">
        <v>53000</v>
      </c>
      <c r="D8" s="53" t="s">
        <v>1</v>
      </c>
      <c r="E8" s="53"/>
      <c r="F8" s="53"/>
      <c r="G8" s="53"/>
      <c r="H8" s="13"/>
    </row>
    <row r="9" customFormat="false" ht="12.75" hidden="false" customHeight="false" outlineLevel="0" collapsed="false">
      <c r="A9" s="62" t="n">
        <f aca="false">A8+1</f>
        <v>37038</v>
      </c>
      <c r="B9" s="51" t="n">
        <f aca="false">(Weather_Input!B9+Weather_Input!C9)/2</f>
        <v>56.5</v>
      </c>
      <c r="C9" s="46" t="n">
        <v>52000</v>
      </c>
      <c r="D9" s="53" t="s">
        <v>1</v>
      </c>
      <c r="E9" s="53"/>
      <c r="F9" s="53"/>
      <c r="G9" s="53"/>
      <c r="H9" s="13"/>
    </row>
    <row r="10" customFormat="false" ht="12.75" hidden="false" customHeight="false" outlineLevel="0" collapsed="false">
      <c r="A10" s="62" t="n">
        <f aca="false">A9+1</f>
        <v>37039</v>
      </c>
      <c r="B10" s="51" t="n">
        <f aca="false">(Weather_Input!B10+Weather_Input!C10)/2</f>
        <v>56.5</v>
      </c>
      <c r="C10" s="46" t="n">
        <v>54000</v>
      </c>
      <c r="D10" s="53" t="s">
        <v>1</v>
      </c>
      <c r="E10" s="53"/>
      <c r="F10" s="53"/>
      <c r="G10" s="53"/>
      <c r="H10" s="13"/>
    </row>
    <row r="11" customFormat="false" ht="12.75" hidden="false" customHeight="false" outlineLevel="0" collapsed="false">
      <c r="A11" s="29" t="s">
        <v>3</v>
      </c>
      <c r="C11" s="64" t="s">
        <v>1</v>
      </c>
    </row>
    <row r="12" customFormat="false" ht="12.75" hidden="false" customHeight="false" outlineLevel="0" collapsed="false">
      <c r="C12" s="29" t="s">
        <v>1</v>
      </c>
    </row>
    <row r="17" customFormat="false" ht="12.75" hidden="false" customHeight="false" outlineLevel="0" collapsed="false">
      <c r="K17" s="29" t="s">
        <v>1</v>
      </c>
    </row>
    <row r="104" customFormat="false" ht="12.75" hidden="false" customHeight="false" outlineLevel="0" collapsed="false">
      <c r="D104" s="29" t="s">
        <v>1</v>
      </c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K1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8" min="1" style="0" width="8.65"/>
    <col collapsed="false" customWidth="true" hidden="false" outlineLevel="0" max="9" min="9" style="0" width="8.99"/>
    <col collapsed="false" customWidth="true" hidden="false" outlineLevel="0" max="10" min="10" style="0" width="10.32"/>
    <col collapsed="false" customWidth="true" hidden="false" outlineLevel="0" max="35" min="11" style="0" width="8.99"/>
    <col collapsed="false" customWidth="true" hidden="false" outlineLevel="0" max="36" min="36" style="0" width="10.11"/>
  </cols>
  <sheetData>
    <row r="1" customFormat="false" ht="15" hidden="false" customHeight="false" outlineLevel="0" collapsed="false">
      <c r="A1" s="61"/>
      <c r="B1" s="65"/>
      <c r="C1" s="65"/>
      <c r="D1" s="65"/>
      <c r="E1" s="65"/>
      <c r="F1" s="65"/>
      <c r="G1" s="65"/>
      <c r="H1" s="65"/>
    </row>
    <row r="2" customFormat="false" ht="12.75" hidden="false" customHeight="false" outlineLevel="0" collapsed="false">
      <c r="A2" s="61"/>
      <c r="B2" s="61"/>
      <c r="C2" s="66"/>
      <c r="D2" s="61"/>
      <c r="E2" s="61"/>
      <c r="F2" s="61"/>
      <c r="G2" s="61"/>
      <c r="H2" s="61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</row>
    <row r="3" customFormat="false" ht="12.75" hidden="false" customHeight="false" outlineLevel="0" collapsed="false">
      <c r="A3" s="67"/>
      <c r="B3" s="68"/>
      <c r="C3" s="69" t="s">
        <v>132</v>
      </c>
      <c r="D3" s="69"/>
      <c r="E3" s="69"/>
      <c r="F3" s="69"/>
      <c r="G3" s="68"/>
      <c r="H3" s="70" t="n">
        <v>1</v>
      </c>
      <c r="I3" s="69" t="s">
        <v>1</v>
      </c>
      <c r="J3" s="69"/>
      <c r="K3" s="69"/>
      <c r="L3" s="69"/>
      <c r="M3" s="69"/>
      <c r="N3" s="69"/>
      <c r="O3" s="69"/>
      <c r="P3" s="71" t="s">
        <v>92</v>
      </c>
      <c r="Q3" s="71"/>
      <c r="R3" s="71"/>
      <c r="S3" s="71"/>
      <c r="T3" s="71"/>
      <c r="U3" s="71"/>
      <c r="V3" s="72" t="s">
        <v>1</v>
      </c>
      <c r="W3" s="72"/>
      <c r="X3" s="72"/>
      <c r="Y3" s="72"/>
      <c r="Z3" s="72"/>
      <c r="AA3" s="67"/>
      <c r="AB3" s="67"/>
      <c r="AC3" s="67"/>
      <c r="AD3" s="67"/>
      <c r="AE3" s="67"/>
      <c r="AF3" s="67"/>
      <c r="AG3" s="67"/>
      <c r="AH3" s="67"/>
      <c r="AI3" s="67"/>
      <c r="AJ3" s="67"/>
    </row>
    <row r="4" customFormat="false" ht="12.75" hidden="false" customHeight="false" outlineLevel="0" collapsed="false">
      <c r="A4" s="29"/>
      <c r="B4" s="73"/>
      <c r="C4" s="74"/>
      <c r="D4" s="29"/>
      <c r="E4" s="29"/>
      <c r="F4" s="73"/>
      <c r="G4" s="73"/>
      <c r="H4" s="75" t="s">
        <v>133</v>
      </c>
      <c r="I4" s="36" t="s">
        <v>134</v>
      </c>
      <c r="J4" s="36" t="s">
        <v>135</v>
      </c>
      <c r="K4" s="36" t="s">
        <v>105</v>
      </c>
      <c r="L4" s="29"/>
      <c r="M4" s="29"/>
      <c r="N4" s="73"/>
      <c r="O4" s="76"/>
      <c r="P4" s="77"/>
      <c r="Q4" s="77"/>
      <c r="R4" s="29"/>
      <c r="S4" s="29"/>
      <c r="T4" s="29"/>
      <c r="U4" s="29"/>
      <c r="V4" s="78" t="s">
        <v>136</v>
      </c>
      <c r="W4" s="78"/>
      <c r="X4" s="78"/>
      <c r="Y4" s="76" t="s">
        <v>43</v>
      </c>
      <c r="Z4" s="76"/>
      <c r="AA4" s="76"/>
      <c r="AB4" s="76"/>
      <c r="AC4" s="37" t="s">
        <v>137</v>
      </c>
      <c r="AD4" s="37"/>
      <c r="AE4" s="37"/>
      <c r="AF4" s="30"/>
      <c r="AG4" s="36" t="s">
        <v>138</v>
      </c>
      <c r="AH4" s="29"/>
      <c r="AI4" s="29"/>
      <c r="AJ4" s="29"/>
    </row>
    <row r="5" customFormat="false" ht="12.75" hidden="false" customHeight="false" outlineLevel="0" collapsed="false">
      <c r="A5" s="29"/>
      <c r="B5" s="79" t="s">
        <v>139</v>
      </c>
      <c r="C5" s="76"/>
      <c r="D5" s="29"/>
      <c r="E5" s="29"/>
      <c r="F5" s="80"/>
      <c r="G5" s="79" t="s">
        <v>1</v>
      </c>
      <c r="H5" s="75" t="s">
        <v>83</v>
      </c>
      <c r="I5" s="33" t="s">
        <v>140</v>
      </c>
      <c r="J5" s="81" t="s">
        <v>84</v>
      </c>
      <c r="K5" s="36" t="s">
        <v>141</v>
      </c>
      <c r="L5" s="29"/>
      <c r="M5" s="29"/>
      <c r="N5" s="73"/>
      <c r="O5" s="76" t="s">
        <v>43</v>
      </c>
      <c r="P5" s="36" t="s">
        <v>63</v>
      </c>
      <c r="Q5" s="36" t="s">
        <v>74</v>
      </c>
      <c r="R5" s="36" t="s">
        <v>74</v>
      </c>
      <c r="S5" s="36" t="s">
        <v>43</v>
      </c>
      <c r="T5" s="33" t="s">
        <v>67</v>
      </c>
      <c r="U5" s="82" t="s">
        <v>142</v>
      </c>
      <c r="V5" s="37" t="s">
        <v>143</v>
      </c>
      <c r="W5" s="37" t="s">
        <v>144</v>
      </c>
      <c r="X5" s="36" t="s">
        <v>145</v>
      </c>
      <c r="Y5" s="36" t="s">
        <v>146</v>
      </c>
      <c r="Z5" s="36" t="s">
        <v>146</v>
      </c>
      <c r="AA5" s="36" t="s">
        <v>146</v>
      </c>
      <c r="AB5" s="36" t="s">
        <v>146</v>
      </c>
      <c r="AC5" s="37" t="s">
        <v>146</v>
      </c>
      <c r="AD5" s="36" t="s">
        <v>146</v>
      </c>
      <c r="AE5" s="36" t="s">
        <v>146</v>
      </c>
      <c r="AF5" s="37" t="s">
        <v>146</v>
      </c>
      <c r="AG5" s="36" t="s">
        <v>146</v>
      </c>
      <c r="AH5" s="36" t="s">
        <v>146</v>
      </c>
      <c r="AI5" s="36" t="s">
        <v>146</v>
      </c>
      <c r="AJ5" s="29"/>
    </row>
    <row r="6" customFormat="false" ht="12.75" hidden="false" customHeight="false" outlineLevel="0" collapsed="false">
      <c r="A6" s="83"/>
      <c r="B6" s="84" t="s">
        <v>147</v>
      </c>
      <c r="C6" s="81" t="s">
        <v>85</v>
      </c>
      <c r="D6" s="81" t="s">
        <v>137</v>
      </c>
      <c r="E6" s="81" t="s">
        <v>138</v>
      </c>
      <c r="F6" s="85" t="s">
        <v>148</v>
      </c>
      <c r="G6" s="81" t="s">
        <v>149</v>
      </c>
      <c r="H6" s="86" t="s">
        <v>138</v>
      </c>
      <c r="I6" s="87" t="s">
        <v>150</v>
      </c>
      <c r="J6" s="81" t="s">
        <v>151</v>
      </c>
      <c r="K6" s="81" t="s">
        <v>152</v>
      </c>
      <c r="L6" s="81" t="s">
        <v>43</v>
      </c>
      <c r="M6" s="81" t="s">
        <v>83</v>
      </c>
      <c r="N6" s="81" t="s">
        <v>148</v>
      </c>
      <c r="O6" s="81" t="s">
        <v>153</v>
      </c>
      <c r="P6" s="81" t="s">
        <v>74</v>
      </c>
      <c r="Q6" s="81" t="s">
        <v>154</v>
      </c>
      <c r="R6" s="81" t="s">
        <v>155</v>
      </c>
      <c r="S6" s="81" t="s">
        <v>156</v>
      </c>
      <c r="T6" s="88" t="s">
        <v>157</v>
      </c>
      <c r="U6" s="87" t="s">
        <v>153</v>
      </c>
      <c r="V6" s="89" t="s">
        <v>158</v>
      </c>
      <c r="W6" s="89" t="s">
        <v>159</v>
      </c>
      <c r="X6" s="81" t="n">
        <v>9</v>
      </c>
      <c r="Y6" s="81" t="s">
        <v>43</v>
      </c>
      <c r="Z6" s="81" t="s">
        <v>85</v>
      </c>
      <c r="AA6" s="81" t="s">
        <v>137</v>
      </c>
      <c r="AB6" s="81" t="s">
        <v>138</v>
      </c>
      <c r="AC6" s="81" t="s">
        <v>85</v>
      </c>
      <c r="AD6" s="81" t="s">
        <v>43</v>
      </c>
      <c r="AE6" s="81" t="s">
        <v>137</v>
      </c>
      <c r="AF6" s="81" t="s">
        <v>85</v>
      </c>
      <c r="AG6" s="81" t="s">
        <v>43</v>
      </c>
      <c r="AH6" s="81" t="s">
        <v>137</v>
      </c>
      <c r="AI6" s="81" t="s">
        <v>138</v>
      </c>
      <c r="AJ6" s="29"/>
    </row>
    <row r="7" customFormat="false" ht="12.75" hidden="false" customHeight="false" outlineLevel="0" collapsed="false">
      <c r="A7" s="90" t="n">
        <f aca="false">Weather_Input!A5</f>
        <v>37034</v>
      </c>
      <c r="B7" s="91" t="n">
        <v>0</v>
      </c>
      <c r="C7" s="92" t="n">
        <v>0</v>
      </c>
      <c r="D7" s="93" t="n">
        <v>0</v>
      </c>
      <c r="E7" s="93" t="n">
        <v>0</v>
      </c>
      <c r="F7" s="91" t="n">
        <v>0</v>
      </c>
      <c r="G7" s="91" t="n">
        <v>0</v>
      </c>
      <c r="H7" s="94" t="n">
        <v>3400</v>
      </c>
      <c r="I7" s="95" t="n">
        <v>0</v>
      </c>
      <c r="J7" s="95" t="n">
        <v>0</v>
      </c>
      <c r="K7" s="93" t="n">
        <v>9000</v>
      </c>
      <c r="L7" s="95" t="n">
        <v>0</v>
      </c>
      <c r="M7" s="93" t="n">
        <v>0</v>
      </c>
      <c r="N7" s="93" t="n">
        <v>0</v>
      </c>
      <c r="O7" s="96" t="n">
        <v>0</v>
      </c>
      <c r="P7" s="93" t="n">
        <v>150000</v>
      </c>
      <c r="Q7" s="50" t="n">
        <f aca="false">P7*0.015</f>
        <v>2250</v>
      </c>
      <c r="R7" s="93" t="n">
        <v>610</v>
      </c>
      <c r="S7" s="93" t="n">
        <v>0</v>
      </c>
      <c r="T7" s="93" t="n">
        <v>0</v>
      </c>
      <c r="U7" s="95" t="n">
        <v>40200</v>
      </c>
      <c r="V7" s="93" t="n">
        <v>0</v>
      </c>
      <c r="W7" s="93" t="n">
        <v>0</v>
      </c>
      <c r="X7" s="93" t="n">
        <v>0</v>
      </c>
      <c r="Y7" s="93" t="n">
        <v>0</v>
      </c>
      <c r="Z7" s="93" t="n">
        <v>0</v>
      </c>
      <c r="AA7" s="95" t="n">
        <v>0</v>
      </c>
      <c r="AB7" s="95" t="n">
        <v>0</v>
      </c>
      <c r="AC7" s="95" t="n">
        <v>0</v>
      </c>
      <c r="AD7" s="95" t="n">
        <v>0</v>
      </c>
      <c r="AE7" s="95" t="n">
        <v>0</v>
      </c>
      <c r="AF7" s="95" t="n">
        <v>0</v>
      </c>
      <c r="AG7" s="95" t="n">
        <v>0</v>
      </c>
      <c r="AH7" s="95" t="n">
        <v>0</v>
      </c>
      <c r="AI7" s="95" t="n">
        <v>0</v>
      </c>
      <c r="AJ7" s="90" t="n">
        <f aca="false">Weather_Input!A5</f>
        <v>37034</v>
      </c>
    </row>
    <row r="8" customFormat="false" ht="12.75" hidden="false" customHeight="false" outlineLevel="0" collapsed="false">
      <c r="A8" s="90" t="n">
        <f aca="false">A7+1</f>
        <v>37035</v>
      </c>
      <c r="B8" s="91" t="n">
        <v>0</v>
      </c>
      <c r="C8" s="92" t="n">
        <v>0</v>
      </c>
      <c r="D8" s="93" t="n">
        <v>0</v>
      </c>
      <c r="E8" s="93" t="n">
        <v>0</v>
      </c>
      <c r="F8" s="91" t="n">
        <v>0</v>
      </c>
      <c r="G8" s="91" t="n">
        <v>0</v>
      </c>
      <c r="H8" s="94" t="n">
        <v>20000</v>
      </c>
      <c r="I8" s="95" t="n">
        <v>0</v>
      </c>
      <c r="J8" s="95" t="n">
        <v>0</v>
      </c>
      <c r="K8" s="93" t="n">
        <v>0</v>
      </c>
      <c r="L8" s="95" t="n">
        <v>0</v>
      </c>
      <c r="M8" s="93" t="n">
        <v>0</v>
      </c>
      <c r="N8" s="93" t="n">
        <v>0</v>
      </c>
      <c r="O8" s="96" t="n">
        <v>0</v>
      </c>
      <c r="P8" s="93" t="n">
        <v>150000</v>
      </c>
      <c r="Q8" s="50" t="n">
        <f aca="false">P8*0.015</f>
        <v>2250</v>
      </c>
      <c r="R8" s="93" t="n">
        <v>610</v>
      </c>
      <c r="S8" s="93" t="n">
        <v>0</v>
      </c>
      <c r="T8" s="93" t="n">
        <v>0</v>
      </c>
      <c r="U8" s="95" t="n">
        <v>40200</v>
      </c>
      <c r="V8" s="93" t="n">
        <v>0</v>
      </c>
      <c r="W8" s="93" t="n">
        <v>0</v>
      </c>
      <c r="X8" s="93" t="n">
        <v>0</v>
      </c>
      <c r="Y8" s="93" t="n">
        <v>0</v>
      </c>
      <c r="Z8" s="93" t="n">
        <v>0</v>
      </c>
      <c r="AA8" s="95" t="n">
        <v>0</v>
      </c>
      <c r="AB8" s="95" t="n">
        <v>0</v>
      </c>
      <c r="AC8" s="95" t="n">
        <v>0</v>
      </c>
      <c r="AD8" s="95" t="n">
        <v>0</v>
      </c>
      <c r="AE8" s="95" t="n">
        <v>0</v>
      </c>
      <c r="AF8" s="95" t="n">
        <v>0</v>
      </c>
      <c r="AG8" s="95" t="n">
        <v>0</v>
      </c>
      <c r="AH8" s="95" t="n">
        <v>0</v>
      </c>
      <c r="AI8" s="95" t="n">
        <v>0</v>
      </c>
      <c r="AJ8" s="90" t="n">
        <f aca="false">AJ7+1</f>
        <v>37035</v>
      </c>
      <c r="AK8" s="95"/>
      <c r="AL8" s="95"/>
      <c r="AM8" s="95"/>
      <c r="AO8" s="95"/>
      <c r="AP8" s="95"/>
      <c r="AQ8" s="95"/>
      <c r="AR8" s="95"/>
      <c r="AS8" s="95"/>
      <c r="AT8" s="95"/>
      <c r="AU8" s="95"/>
      <c r="AV8" s="95"/>
      <c r="AW8" s="95"/>
      <c r="AX8" s="95"/>
      <c r="AY8" s="95"/>
      <c r="AZ8" s="95"/>
      <c r="BA8" s="95"/>
      <c r="BB8" s="95"/>
      <c r="BC8" s="95"/>
    </row>
    <row r="9" customFormat="false" ht="12.75" hidden="false" customHeight="false" outlineLevel="0" collapsed="false">
      <c r="A9" s="90" t="n">
        <f aca="false">A8+1</f>
        <v>37036</v>
      </c>
      <c r="B9" s="91" t="n">
        <v>0</v>
      </c>
      <c r="C9" s="92" t="n">
        <v>0</v>
      </c>
      <c r="D9" s="93" t="n">
        <v>0</v>
      </c>
      <c r="E9" s="93" t="n">
        <v>0</v>
      </c>
      <c r="F9" s="91" t="n">
        <v>0</v>
      </c>
      <c r="G9" s="91" t="n">
        <v>0</v>
      </c>
      <c r="H9" s="94" t="n">
        <v>0</v>
      </c>
      <c r="I9" s="95" t="n">
        <v>0</v>
      </c>
      <c r="J9" s="95" t="n">
        <v>0</v>
      </c>
      <c r="K9" s="93" t="n">
        <v>0</v>
      </c>
      <c r="L9" s="95" t="n">
        <v>0</v>
      </c>
      <c r="M9" s="93" t="n">
        <v>0</v>
      </c>
      <c r="N9" s="93" t="n">
        <v>0</v>
      </c>
      <c r="O9" s="96" t="n">
        <v>0</v>
      </c>
      <c r="P9" s="93" t="n">
        <v>150000</v>
      </c>
      <c r="Q9" s="50" t="n">
        <f aca="false">P9*0.015</f>
        <v>2250</v>
      </c>
      <c r="R9" s="93" t="n">
        <v>610</v>
      </c>
      <c r="S9" s="93" t="n">
        <v>0</v>
      </c>
      <c r="T9" s="93" t="n">
        <v>0</v>
      </c>
      <c r="U9" s="95" t="n">
        <v>40200</v>
      </c>
      <c r="V9" s="93" t="n">
        <v>0</v>
      </c>
      <c r="W9" s="93" t="n">
        <v>0</v>
      </c>
      <c r="X9" s="93" t="n">
        <v>0</v>
      </c>
      <c r="Y9" s="93" t="n">
        <v>0</v>
      </c>
      <c r="Z9" s="93" t="n">
        <v>0</v>
      </c>
      <c r="AA9" s="95" t="n">
        <v>0</v>
      </c>
      <c r="AB9" s="95" t="n">
        <v>0</v>
      </c>
      <c r="AC9" s="95" t="n">
        <v>0</v>
      </c>
      <c r="AD9" s="95" t="n">
        <v>0</v>
      </c>
      <c r="AE9" s="95" t="n">
        <v>0</v>
      </c>
      <c r="AF9" s="95" t="n">
        <v>0</v>
      </c>
      <c r="AG9" s="95" t="n">
        <v>0</v>
      </c>
      <c r="AH9" s="95" t="n">
        <v>0</v>
      </c>
      <c r="AI9" s="95" t="n">
        <v>0</v>
      </c>
      <c r="AJ9" s="90" t="n">
        <f aca="false">AJ8+1</f>
        <v>37036</v>
      </c>
      <c r="AN9" s="95"/>
    </row>
    <row r="10" customFormat="false" ht="12.75" hidden="false" customHeight="false" outlineLevel="0" collapsed="false">
      <c r="A10" s="90" t="n">
        <f aca="false">A9+1</f>
        <v>37037</v>
      </c>
      <c r="B10" s="91" t="n">
        <v>0</v>
      </c>
      <c r="C10" s="92" t="n">
        <v>0</v>
      </c>
      <c r="D10" s="93" t="n">
        <v>0</v>
      </c>
      <c r="E10" s="93" t="n">
        <v>0</v>
      </c>
      <c r="F10" s="91" t="n">
        <v>0</v>
      </c>
      <c r="G10" s="91" t="n">
        <v>0</v>
      </c>
      <c r="H10" s="94" t="n">
        <v>0</v>
      </c>
      <c r="I10" s="95" t="n">
        <v>0</v>
      </c>
      <c r="J10" s="95" t="n">
        <v>0</v>
      </c>
      <c r="K10" s="93" t="n">
        <v>0</v>
      </c>
      <c r="L10" s="95" t="n">
        <v>0</v>
      </c>
      <c r="M10" s="93" t="n">
        <v>0</v>
      </c>
      <c r="N10" s="93" t="n">
        <v>0</v>
      </c>
      <c r="O10" s="96" t="n">
        <v>0</v>
      </c>
      <c r="P10" s="93" t="n">
        <v>150000</v>
      </c>
      <c r="Q10" s="50" t="n">
        <f aca="false">P10*0.015</f>
        <v>2250</v>
      </c>
      <c r="R10" s="93" t="n">
        <v>610</v>
      </c>
      <c r="S10" s="93" t="n">
        <v>0</v>
      </c>
      <c r="T10" s="93" t="n">
        <v>0</v>
      </c>
      <c r="U10" s="95" t="n">
        <v>40200</v>
      </c>
      <c r="V10" s="93" t="n">
        <v>0</v>
      </c>
      <c r="W10" s="93" t="n">
        <v>0</v>
      </c>
      <c r="X10" s="93" t="n">
        <v>0</v>
      </c>
      <c r="Y10" s="93" t="n">
        <v>0</v>
      </c>
      <c r="Z10" s="93" t="n">
        <v>0</v>
      </c>
      <c r="AA10" s="95" t="n">
        <v>0</v>
      </c>
      <c r="AB10" s="95" t="n">
        <v>0</v>
      </c>
      <c r="AC10" s="95" t="n">
        <v>0</v>
      </c>
      <c r="AD10" s="95" t="n">
        <v>0</v>
      </c>
      <c r="AE10" s="95" t="n">
        <v>0</v>
      </c>
      <c r="AF10" s="95" t="n">
        <v>0</v>
      </c>
      <c r="AG10" s="95" t="n">
        <v>0</v>
      </c>
      <c r="AH10" s="95" t="n">
        <v>0</v>
      </c>
      <c r="AI10" s="95" t="n">
        <v>0</v>
      </c>
      <c r="AJ10" s="90" t="n">
        <f aca="false">AJ9+1</f>
        <v>37037</v>
      </c>
    </row>
    <row r="11" customFormat="false" ht="12.75" hidden="false" customHeight="false" outlineLevel="0" collapsed="false">
      <c r="A11" s="90" t="n">
        <f aca="false">A10+1</f>
        <v>37038</v>
      </c>
      <c r="B11" s="91" t="n">
        <v>0</v>
      </c>
      <c r="C11" s="92" t="n">
        <v>0</v>
      </c>
      <c r="D11" s="93" t="n">
        <v>0</v>
      </c>
      <c r="E11" s="93" t="n">
        <v>0</v>
      </c>
      <c r="F11" s="91" t="n">
        <v>0</v>
      </c>
      <c r="G11" s="91" t="n">
        <v>0</v>
      </c>
      <c r="H11" s="94" t="n">
        <v>0</v>
      </c>
      <c r="I11" s="95" t="n">
        <v>0</v>
      </c>
      <c r="J11" s="95" t="n">
        <v>0</v>
      </c>
      <c r="K11" s="93" t="n">
        <v>0</v>
      </c>
      <c r="L11" s="95" t="n">
        <v>0</v>
      </c>
      <c r="M11" s="93" t="n">
        <v>0</v>
      </c>
      <c r="N11" s="93" t="n">
        <v>0</v>
      </c>
      <c r="O11" s="96" t="n">
        <v>0</v>
      </c>
      <c r="P11" s="93" t="n">
        <v>150000</v>
      </c>
      <c r="Q11" s="50" t="n">
        <f aca="false">P11*0.015</f>
        <v>2250</v>
      </c>
      <c r="R11" s="93" t="n">
        <v>610</v>
      </c>
      <c r="S11" s="93" t="n">
        <v>0</v>
      </c>
      <c r="T11" s="93" t="n">
        <v>0</v>
      </c>
      <c r="U11" s="95" t="n">
        <v>40200</v>
      </c>
      <c r="V11" s="93" t="n">
        <v>0</v>
      </c>
      <c r="W11" s="93" t="n">
        <v>0</v>
      </c>
      <c r="X11" s="93" t="n">
        <v>0</v>
      </c>
      <c r="Y11" s="93" t="n">
        <v>0</v>
      </c>
      <c r="Z11" s="93" t="n">
        <v>0</v>
      </c>
      <c r="AA11" s="95" t="n">
        <v>0</v>
      </c>
      <c r="AB11" s="95" t="n">
        <v>0</v>
      </c>
      <c r="AC11" s="95" t="n">
        <v>0</v>
      </c>
      <c r="AD11" s="95" t="n">
        <v>0</v>
      </c>
      <c r="AE11" s="95" t="n">
        <v>0</v>
      </c>
      <c r="AF11" s="95" t="n">
        <v>0</v>
      </c>
      <c r="AG11" s="95" t="n">
        <v>0</v>
      </c>
      <c r="AH11" s="95" t="n">
        <v>0</v>
      </c>
      <c r="AI11" s="95" t="n">
        <v>0</v>
      </c>
      <c r="AJ11" s="90" t="n">
        <f aca="false">AJ10+1</f>
        <v>37038</v>
      </c>
    </row>
    <row r="12" customFormat="false" ht="12.75" hidden="false" customHeight="false" outlineLevel="0" collapsed="false">
      <c r="A12" s="90" t="n">
        <f aca="false">A11+1</f>
        <v>37039</v>
      </c>
      <c r="B12" s="91" t="n">
        <v>0</v>
      </c>
      <c r="C12" s="92" t="n">
        <v>0</v>
      </c>
      <c r="D12" s="93" t="n">
        <v>0</v>
      </c>
      <c r="E12" s="93" t="n">
        <v>0</v>
      </c>
      <c r="F12" s="91" t="n">
        <v>0</v>
      </c>
      <c r="G12" s="91" t="n">
        <v>0</v>
      </c>
      <c r="H12" s="94" t="n">
        <v>0</v>
      </c>
      <c r="I12" s="95" t="n">
        <v>0</v>
      </c>
      <c r="J12" s="95" t="n">
        <v>0</v>
      </c>
      <c r="K12" s="93" t="n">
        <v>0</v>
      </c>
      <c r="L12" s="95" t="n">
        <v>0</v>
      </c>
      <c r="M12" s="93" t="n">
        <v>0</v>
      </c>
      <c r="N12" s="93" t="n">
        <v>0</v>
      </c>
      <c r="O12" s="96" t="n">
        <v>0</v>
      </c>
      <c r="P12" s="93" t="n">
        <v>150000</v>
      </c>
      <c r="Q12" s="50" t="n">
        <f aca="false">P12*0.015</f>
        <v>2250</v>
      </c>
      <c r="R12" s="93" t="n">
        <v>610</v>
      </c>
      <c r="S12" s="93" t="n">
        <v>0</v>
      </c>
      <c r="T12" s="93" t="n">
        <v>0</v>
      </c>
      <c r="U12" s="95" t="n">
        <v>40200</v>
      </c>
      <c r="V12" s="93" t="n">
        <v>0</v>
      </c>
      <c r="W12" s="93" t="n">
        <v>0</v>
      </c>
      <c r="X12" s="93" t="n">
        <v>0</v>
      </c>
      <c r="Y12" s="93" t="n">
        <v>0</v>
      </c>
      <c r="Z12" s="93" t="n">
        <v>0</v>
      </c>
      <c r="AA12" s="95" t="n">
        <v>0</v>
      </c>
      <c r="AB12" s="95" t="n">
        <v>0</v>
      </c>
      <c r="AC12" s="95" t="n">
        <v>0</v>
      </c>
      <c r="AD12" s="95" t="n">
        <v>0</v>
      </c>
      <c r="AE12" s="95" t="n">
        <v>0</v>
      </c>
      <c r="AF12" s="95" t="n">
        <v>0</v>
      </c>
      <c r="AG12" s="95" t="n">
        <v>0</v>
      </c>
      <c r="AH12" s="95" t="n">
        <v>0</v>
      </c>
      <c r="AI12" s="95" t="n">
        <v>0</v>
      </c>
      <c r="AJ12" s="90" t="n">
        <f aca="false">AJ11+1</f>
        <v>37039</v>
      </c>
    </row>
    <row r="13" customFormat="false" ht="15" hidden="false" customHeight="false" outlineLevel="0" collapsed="false">
      <c r="A13" s="29"/>
      <c r="B13" s="29"/>
      <c r="C13" s="29"/>
      <c r="D13" s="29" t="s">
        <v>1</v>
      </c>
      <c r="E13" s="29"/>
      <c r="F13" s="29"/>
      <c r="G13" s="29"/>
      <c r="H13" s="29"/>
      <c r="I13" s="29"/>
      <c r="J13" s="18"/>
      <c r="K13" s="18"/>
      <c r="L13" s="95"/>
      <c r="M13" s="29"/>
      <c r="N13" s="93" t="s">
        <v>1</v>
      </c>
      <c r="O13" s="29"/>
      <c r="P13" s="29"/>
      <c r="Q13" s="29"/>
      <c r="R13" s="29"/>
      <c r="S13" s="29"/>
      <c r="T13" s="29"/>
      <c r="U13" s="95" t="s">
        <v>1</v>
      </c>
      <c r="V13" s="29"/>
      <c r="W13" s="29"/>
      <c r="X13" s="29"/>
      <c r="Y13" s="29"/>
      <c r="Z13" s="29" t="s">
        <v>1</v>
      </c>
      <c r="AA13" s="29"/>
      <c r="AB13" s="95"/>
      <c r="AC13" s="29"/>
      <c r="AD13" s="29"/>
      <c r="AE13" s="29"/>
      <c r="AF13" s="29"/>
      <c r="AG13" s="29"/>
      <c r="AH13" s="29"/>
      <c r="AI13" s="29"/>
      <c r="AJ13" s="29"/>
      <c r="AK13" s="29"/>
      <c r="AL13" s="29"/>
      <c r="AM13" s="29"/>
      <c r="AN13" s="29"/>
      <c r="AO13" s="29"/>
      <c r="AP13" s="29"/>
      <c r="AQ13" s="29"/>
      <c r="AR13" s="29"/>
      <c r="AS13" s="29"/>
      <c r="AT13" s="29"/>
      <c r="AU13" s="29"/>
      <c r="AV13" s="29"/>
      <c r="AW13" s="29"/>
      <c r="AX13" s="29"/>
      <c r="AY13" s="29"/>
      <c r="AZ13" s="29"/>
      <c r="BA13" s="29"/>
      <c r="BB13" s="29"/>
      <c r="BC13" s="29"/>
      <c r="BD13" s="29"/>
      <c r="BE13" s="29"/>
      <c r="BF13" s="29"/>
      <c r="BG13" s="29"/>
      <c r="BH13" s="29"/>
      <c r="BI13" s="29"/>
      <c r="BJ13" s="29"/>
      <c r="BK13" s="29"/>
      <c r="BL13" s="29"/>
      <c r="BM13" s="29"/>
      <c r="BN13" s="29"/>
      <c r="BO13" s="29"/>
      <c r="BP13" s="29"/>
      <c r="BQ13" s="29"/>
      <c r="BR13" s="29"/>
      <c r="BS13" s="29"/>
      <c r="BT13" s="29"/>
      <c r="BU13" s="29"/>
      <c r="BV13" s="29"/>
      <c r="BW13" s="29"/>
      <c r="BX13" s="29"/>
      <c r="BY13" s="29"/>
      <c r="BZ13" s="29"/>
      <c r="CA13" s="29"/>
      <c r="CB13" s="29"/>
      <c r="CC13" s="29"/>
      <c r="CD13" s="29"/>
      <c r="CE13" s="29"/>
      <c r="CF13" s="29"/>
      <c r="CG13" s="29"/>
      <c r="CH13" s="29"/>
      <c r="CI13" s="29"/>
      <c r="CJ13" s="29"/>
      <c r="CK13" s="29"/>
    </row>
    <row r="14" customFormat="false" ht="15" hidden="false" customHeight="false" outlineLevel="0" collapsed="false">
      <c r="A14" s="29"/>
      <c r="B14" s="29"/>
      <c r="C14" s="29"/>
      <c r="D14" s="29" t="s">
        <v>160</v>
      </c>
      <c r="E14" s="29"/>
      <c r="F14" s="29"/>
      <c r="G14" s="29"/>
      <c r="H14" s="29"/>
      <c r="I14" s="29"/>
      <c r="J14" s="29"/>
      <c r="K14" s="29"/>
      <c r="L14" s="29"/>
      <c r="M14" s="29"/>
      <c r="N14" s="29"/>
      <c r="O14" s="29"/>
      <c r="P14" s="29"/>
      <c r="Q14" s="29"/>
      <c r="R14" s="29"/>
      <c r="S14" s="29"/>
      <c r="T14" s="93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29"/>
      <c r="AR14" s="29"/>
      <c r="AS14" s="29"/>
      <c r="AT14" s="29"/>
      <c r="AU14" s="29"/>
      <c r="AV14" s="29"/>
      <c r="AW14" s="29"/>
      <c r="AX14" s="29"/>
      <c r="AY14" s="29"/>
      <c r="AZ14" s="29"/>
      <c r="BA14" s="29"/>
      <c r="BB14" s="29"/>
      <c r="BC14" s="29"/>
      <c r="BD14" s="29"/>
      <c r="BE14" s="29"/>
      <c r="BF14" s="29"/>
      <c r="BG14" s="29"/>
      <c r="BH14" s="29"/>
      <c r="BI14" s="29"/>
      <c r="BJ14" s="29"/>
      <c r="BK14" s="29"/>
      <c r="BL14" s="29"/>
      <c r="BM14" s="29"/>
      <c r="BN14" s="29"/>
      <c r="BO14" s="29"/>
      <c r="BP14" s="29"/>
      <c r="BQ14" s="29"/>
      <c r="BR14" s="29"/>
      <c r="BS14" s="29"/>
      <c r="BT14" s="29"/>
      <c r="BU14" s="29"/>
      <c r="BV14" s="29"/>
      <c r="BW14" s="29"/>
      <c r="BX14" s="29"/>
      <c r="BY14" s="29"/>
      <c r="BZ14" s="29"/>
      <c r="CA14" s="29"/>
      <c r="CB14" s="29"/>
      <c r="CC14" s="29"/>
      <c r="CD14" s="29"/>
      <c r="CE14" s="29"/>
      <c r="CF14" s="29"/>
      <c r="CG14" s="29"/>
      <c r="CH14" s="29"/>
      <c r="CI14" s="29"/>
      <c r="CJ14" s="29"/>
      <c r="CK14" s="29"/>
    </row>
    <row r="15" customFormat="false" ht="15" hidden="false" customHeight="false" outlineLevel="0" collapsed="false">
      <c r="A15" s="29"/>
      <c r="B15" s="29"/>
      <c r="C15" s="29"/>
      <c r="D15" s="29"/>
      <c r="E15" s="29"/>
      <c r="F15" s="29"/>
      <c r="G15" s="29"/>
      <c r="H15" s="29"/>
      <c r="I15" s="29"/>
      <c r="J15" s="18" t="s">
        <v>1</v>
      </c>
      <c r="K15" s="18"/>
      <c r="L15" s="29"/>
      <c r="M15" s="29"/>
      <c r="N15" s="29"/>
      <c r="O15" s="29"/>
      <c r="P15" s="29"/>
      <c r="Q15" s="29"/>
      <c r="R15" s="29"/>
      <c r="S15" s="29"/>
      <c r="T15" s="93"/>
      <c r="U15" s="97"/>
      <c r="V15" s="74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  <c r="AL15" s="29"/>
      <c r="AM15" s="29"/>
      <c r="AN15" s="29"/>
      <c r="AO15" s="29"/>
      <c r="AP15" s="29"/>
      <c r="AQ15" s="29"/>
      <c r="AR15" s="29"/>
      <c r="AS15" s="29"/>
      <c r="AT15" s="29"/>
      <c r="AU15" s="29"/>
      <c r="AV15" s="29"/>
      <c r="AW15" s="29"/>
      <c r="AX15" s="29"/>
      <c r="AY15" s="29"/>
      <c r="AZ15" s="29"/>
      <c r="BA15" s="29"/>
      <c r="BB15" s="29"/>
      <c r="BC15" s="29"/>
      <c r="BD15" s="29"/>
      <c r="BE15" s="29"/>
      <c r="BF15" s="29"/>
      <c r="BG15" s="29"/>
      <c r="BH15" s="29"/>
      <c r="BI15" s="29"/>
      <c r="BJ15" s="29"/>
      <c r="BK15" s="29"/>
      <c r="BL15" s="29"/>
      <c r="BM15" s="29"/>
      <c r="BN15" s="29"/>
      <c r="BO15" s="29"/>
      <c r="BP15" s="29"/>
      <c r="BQ15" s="29"/>
      <c r="BR15" s="29"/>
      <c r="BS15" s="29"/>
      <c r="BT15" s="29"/>
      <c r="BU15" s="29"/>
      <c r="BV15" s="29"/>
      <c r="BW15" s="29"/>
      <c r="BX15" s="29"/>
      <c r="BY15" s="29"/>
      <c r="BZ15" s="29"/>
      <c r="CA15" s="29"/>
      <c r="CB15" s="29"/>
      <c r="CC15" s="29"/>
      <c r="CD15" s="29"/>
      <c r="CE15" s="29"/>
      <c r="CF15" s="29"/>
      <c r="CG15" s="29"/>
      <c r="CH15" s="29"/>
      <c r="CI15" s="29"/>
      <c r="CJ15" s="29"/>
      <c r="CK15" s="29"/>
    </row>
    <row r="16" customFormat="false" ht="15" hidden="false" customHeight="false" outlineLevel="0" collapsed="false">
      <c r="A16" s="29"/>
      <c r="B16" s="29"/>
      <c r="C16" s="29"/>
      <c r="D16" s="29"/>
      <c r="E16" s="29"/>
      <c r="F16" s="29"/>
      <c r="G16" s="29"/>
      <c r="H16" s="29"/>
      <c r="I16" s="29" t="s">
        <v>1</v>
      </c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93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29"/>
      <c r="AO16" s="29"/>
      <c r="AP16" s="29"/>
      <c r="AQ16" s="29"/>
      <c r="AR16" s="29"/>
      <c r="AS16" s="29"/>
      <c r="AT16" s="29"/>
      <c r="AU16" s="29"/>
      <c r="AV16" s="29"/>
      <c r="AW16" s="29"/>
      <c r="AX16" s="29"/>
      <c r="AY16" s="29"/>
      <c r="AZ16" s="29"/>
      <c r="BA16" s="29"/>
      <c r="BB16" s="29"/>
      <c r="BC16" s="29"/>
      <c r="BD16" s="29"/>
      <c r="BE16" s="29"/>
      <c r="BF16" s="29"/>
      <c r="BG16" s="29"/>
      <c r="BH16" s="29"/>
      <c r="BI16" s="29"/>
      <c r="BJ16" s="29"/>
      <c r="BK16" s="29"/>
      <c r="BL16" s="29"/>
      <c r="BM16" s="29"/>
      <c r="BN16" s="29"/>
      <c r="BO16" s="29"/>
      <c r="BP16" s="29"/>
      <c r="BQ16" s="29"/>
      <c r="BR16" s="29"/>
      <c r="BS16" s="29"/>
      <c r="BT16" s="29"/>
      <c r="BU16" s="29"/>
      <c r="BV16" s="29"/>
      <c r="BW16" s="29"/>
      <c r="BX16" s="29"/>
      <c r="BY16" s="29"/>
      <c r="BZ16" s="29"/>
      <c r="CA16" s="29"/>
      <c r="CB16" s="29"/>
      <c r="CC16" s="29"/>
      <c r="CD16" s="29"/>
      <c r="CE16" s="29"/>
      <c r="CF16" s="29"/>
      <c r="CG16" s="29"/>
      <c r="CH16" s="29"/>
      <c r="CI16" s="29"/>
      <c r="CJ16" s="29"/>
      <c r="CK16" s="29"/>
    </row>
    <row r="17" customFormat="false" ht="15" hidden="false" customHeight="false" outlineLevel="0" collapsed="false">
      <c r="T17" s="93"/>
    </row>
  </sheetData>
  <mergeCells count="7">
    <mergeCell ref="C3:F3"/>
    <mergeCell ref="I3:O3"/>
    <mergeCell ref="P3:U3"/>
    <mergeCell ref="V3:Z3"/>
    <mergeCell ref="V4:X4"/>
    <mergeCell ref="Y4:AB4"/>
    <mergeCell ref="AC4:AE4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2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25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7" activeCellId="0" sqref="A7"/>
    </sheetView>
  </sheetViews>
  <sheetFormatPr defaultColWidth="8.76953125" defaultRowHeight="12.75" customHeight="true" zeroHeight="false" outlineLevelRow="0" outlineLevelCol="0"/>
  <cols>
    <col collapsed="false" customWidth="false" hidden="false" outlineLevel="0" max="16" min="1" style="29" width="8.77"/>
    <col collapsed="false" customWidth="true" hidden="false" outlineLevel="0" max="17" min="17" style="29" width="9.55"/>
    <col collapsed="false" customWidth="false" hidden="false" outlineLevel="0" max="23" min="18" style="29" width="8.77"/>
    <col collapsed="false" customWidth="true" hidden="false" outlineLevel="0" max="24" min="24" style="29" width="10.55"/>
    <col collapsed="false" customWidth="false" hidden="false" outlineLevel="0" max="257" min="25" style="29" width="8.77"/>
  </cols>
  <sheetData>
    <row r="1" customFormat="false" ht="12.75" hidden="false" customHeight="false" outlineLevel="0" collapsed="false">
      <c r="A1" s="98"/>
      <c r="B1" s="61"/>
      <c r="C1" s="61"/>
      <c r="D1" s="61"/>
      <c r="E1" s="61"/>
      <c r="F1" s="61"/>
      <c r="G1" s="61"/>
      <c r="H1" s="61"/>
      <c r="I1" s="61"/>
      <c r="J1" s="61"/>
      <c r="X1" s="29" t="s">
        <v>1</v>
      </c>
    </row>
    <row r="2" customFormat="false" ht="12.75" hidden="false" customHeight="false" outlineLevel="0" collapsed="false">
      <c r="U2" s="74"/>
    </row>
    <row r="3" customFormat="false" ht="12.75" hidden="false" customHeight="true" outlineLevel="0" collapsed="false">
      <c r="C3" s="99" t="s">
        <v>161</v>
      </c>
      <c r="D3" s="99"/>
      <c r="E3" s="99"/>
      <c r="F3" s="99"/>
      <c r="G3" s="99"/>
      <c r="H3" s="71" t="s">
        <v>162</v>
      </c>
      <c r="I3" s="71"/>
      <c r="J3" s="71"/>
      <c r="K3" s="71"/>
      <c r="L3" s="71"/>
      <c r="M3" s="71" t="s">
        <v>163</v>
      </c>
      <c r="N3" s="71"/>
      <c r="O3" s="71"/>
      <c r="P3" s="71"/>
      <c r="Q3" s="71"/>
      <c r="R3" s="71"/>
      <c r="S3" s="71"/>
      <c r="T3" s="71"/>
      <c r="U3" s="71"/>
      <c r="V3" s="100"/>
      <c r="W3" s="100"/>
      <c r="X3" s="36"/>
      <c r="Y3" s="76"/>
      <c r="Z3" s="69" t="s">
        <v>164</v>
      </c>
      <c r="AA3" s="69"/>
      <c r="AB3" s="69"/>
      <c r="AC3" s="69"/>
      <c r="AD3" s="69"/>
      <c r="AE3" s="69"/>
    </row>
    <row r="4" customFormat="false" ht="12.75" hidden="false" customHeight="false" outlineLevel="0" collapsed="false">
      <c r="C4" s="30"/>
      <c r="G4" s="73"/>
      <c r="K4" s="73"/>
      <c r="L4" s="76"/>
      <c r="M4" s="37"/>
      <c r="S4" s="73"/>
      <c r="T4" s="75" t="s">
        <v>165</v>
      </c>
      <c r="V4" s="36" t="s">
        <v>166</v>
      </c>
      <c r="Y4" s="73"/>
      <c r="Z4" s="74"/>
      <c r="AE4" s="73"/>
    </row>
    <row r="5" customFormat="false" ht="12.75" hidden="false" customHeight="false" outlineLevel="0" collapsed="false">
      <c r="B5" s="36" t="s">
        <v>167</v>
      </c>
      <c r="C5" s="37"/>
      <c r="D5" s="36"/>
      <c r="E5" s="36"/>
      <c r="F5" s="36"/>
      <c r="G5" s="79"/>
      <c r="H5" s="36"/>
      <c r="I5" s="36"/>
      <c r="J5" s="36"/>
      <c r="K5" s="79" t="s">
        <v>62</v>
      </c>
      <c r="L5" s="76" t="s">
        <v>43</v>
      </c>
      <c r="M5" s="37" t="s">
        <v>63</v>
      </c>
      <c r="N5" s="37" t="s">
        <v>1</v>
      </c>
      <c r="O5" s="36" t="s">
        <v>1</v>
      </c>
      <c r="P5" s="36" t="s">
        <v>1</v>
      </c>
      <c r="Q5" s="36" t="s">
        <v>168</v>
      </c>
      <c r="R5" s="33" t="s">
        <v>85</v>
      </c>
      <c r="S5" s="79" t="s">
        <v>1</v>
      </c>
      <c r="T5" s="75" t="s">
        <v>83</v>
      </c>
      <c r="U5" s="33" t="s">
        <v>140</v>
      </c>
      <c r="V5" s="36" t="s">
        <v>169</v>
      </c>
      <c r="W5" s="36"/>
      <c r="X5" s="76" t="s">
        <v>84</v>
      </c>
      <c r="Y5" s="73"/>
      <c r="Z5" s="36"/>
      <c r="AA5" s="36"/>
      <c r="AB5" s="36"/>
      <c r="AE5" s="79" t="s">
        <v>170</v>
      </c>
    </row>
    <row r="6" customFormat="false" ht="12.75" hidden="false" customHeight="false" outlineLevel="0" collapsed="false">
      <c r="B6" s="81" t="s">
        <v>171</v>
      </c>
      <c r="C6" s="101" t="s">
        <v>85</v>
      </c>
      <c r="D6" s="81" t="s">
        <v>137</v>
      </c>
      <c r="E6" s="81" t="s">
        <v>138</v>
      </c>
      <c r="F6" s="81" t="s">
        <v>83</v>
      </c>
      <c r="G6" s="84" t="s">
        <v>148</v>
      </c>
      <c r="H6" s="81" t="s">
        <v>139</v>
      </c>
      <c r="I6" s="81" t="s">
        <v>94</v>
      </c>
      <c r="J6" s="81" t="s">
        <v>75</v>
      </c>
      <c r="K6" s="84" t="s">
        <v>95</v>
      </c>
      <c r="L6" s="81" t="s">
        <v>172</v>
      </c>
      <c r="M6" s="101" t="s">
        <v>74</v>
      </c>
      <c r="N6" s="81" t="s">
        <v>1</v>
      </c>
      <c r="O6" s="81" t="s">
        <v>1</v>
      </c>
      <c r="P6" s="81" t="s">
        <v>1</v>
      </c>
      <c r="Q6" s="102" t="s">
        <v>173</v>
      </c>
      <c r="R6" s="88" t="s">
        <v>153</v>
      </c>
      <c r="S6" s="84" t="s">
        <v>1</v>
      </c>
      <c r="T6" s="86" t="s">
        <v>174</v>
      </c>
      <c r="U6" s="88" t="s">
        <v>150</v>
      </c>
      <c r="V6" s="81" t="s">
        <v>175</v>
      </c>
      <c r="W6" s="81" t="s">
        <v>1</v>
      </c>
      <c r="X6" s="103" t="s">
        <v>176</v>
      </c>
      <c r="Y6" s="84" t="s">
        <v>84</v>
      </c>
      <c r="Z6" s="81" t="s">
        <v>85</v>
      </c>
      <c r="AA6" s="81" t="s">
        <v>137</v>
      </c>
      <c r="AB6" s="81" t="s">
        <v>138</v>
      </c>
      <c r="AC6" s="81" t="s">
        <v>43</v>
      </c>
      <c r="AD6" s="81" t="s">
        <v>148</v>
      </c>
      <c r="AE6" s="84" t="s">
        <v>177</v>
      </c>
    </row>
    <row r="7" customFormat="false" ht="12.75" hidden="false" customHeight="false" outlineLevel="0" collapsed="false">
      <c r="A7" s="90" t="n">
        <f aca="false">Weather_Input!A5</f>
        <v>37034</v>
      </c>
      <c r="B7" s="50" t="n">
        <v>0</v>
      </c>
      <c r="C7" s="104" t="n">
        <v>0</v>
      </c>
      <c r="D7" s="50" t="n">
        <v>0</v>
      </c>
      <c r="E7" s="50" t="n">
        <v>4600</v>
      </c>
      <c r="F7" s="50" t="n">
        <v>0</v>
      </c>
      <c r="G7" s="91" t="n">
        <v>100</v>
      </c>
      <c r="H7" s="93" t="n">
        <v>1000</v>
      </c>
      <c r="I7" s="93" t="n">
        <v>15000</v>
      </c>
      <c r="J7" s="93" t="n">
        <v>0</v>
      </c>
      <c r="K7" s="105" t="n">
        <v>0</v>
      </c>
      <c r="L7" s="96" t="n">
        <v>12210</v>
      </c>
      <c r="M7" s="106" t="n">
        <v>0</v>
      </c>
      <c r="N7" s="93" t="n">
        <v>0</v>
      </c>
      <c r="O7" s="93" t="n">
        <v>0</v>
      </c>
      <c r="P7" s="93" t="n">
        <v>0</v>
      </c>
      <c r="Q7" s="93" t="n">
        <v>0</v>
      </c>
      <c r="R7" s="93" t="n">
        <v>0</v>
      </c>
      <c r="S7" s="105" t="n">
        <v>0</v>
      </c>
      <c r="T7" s="107" t="n">
        <v>7000</v>
      </c>
      <c r="U7" s="93" t="n">
        <v>0</v>
      </c>
      <c r="V7" s="96" t="n">
        <v>177360</v>
      </c>
      <c r="W7" s="96" t="n">
        <v>0</v>
      </c>
      <c r="X7" s="95" t="n">
        <v>0</v>
      </c>
      <c r="Y7" s="105" t="n">
        <v>175702</v>
      </c>
      <c r="Z7" s="96" t="n">
        <v>40200</v>
      </c>
      <c r="AA7" s="29" t="n">
        <v>0</v>
      </c>
      <c r="AB7" s="95" t="n">
        <v>212579</v>
      </c>
      <c r="AC7" s="95" t="n">
        <v>37567</v>
      </c>
      <c r="AD7" s="95" t="n">
        <v>16500</v>
      </c>
      <c r="AE7" s="105" t="n">
        <v>0</v>
      </c>
      <c r="AF7" s="108" t="n">
        <f aca="false">Weather_Input!A5</f>
        <v>37034</v>
      </c>
      <c r="AI7" s="95"/>
      <c r="AJ7" s="95"/>
      <c r="AK7" s="95"/>
    </row>
    <row r="8" customFormat="false" ht="12.75" hidden="false" customHeight="false" outlineLevel="0" collapsed="false">
      <c r="A8" s="90" t="n">
        <f aca="false">A7+1</f>
        <v>37035</v>
      </c>
      <c r="B8" s="50" t="n">
        <v>0</v>
      </c>
      <c r="C8" s="104" t="n">
        <v>0</v>
      </c>
      <c r="D8" s="50" t="n">
        <v>0</v>
      </c>
      <c r="E8" s="50" t="n">
        <v>0</v>
      </c>
      <c r="F8" s="50" t="n">
        <v>0</v>
      </c>
      <c r="G8" s="91" t="n">
        <v>0</v>
      </c>
      <c r="H8" s="93" t="n">
        <v>1000</v>
      </c>
      <c r="I8" s="93" t="n">
        <v>15000</v>
      </c>
      <c r="J8" s="93" t="n">
        <v>0</v>
      </c>
      <c r="K8" s="105" t="n">
        <v>0</v>
      </c>
      <c r="L8" s="96" t="n">
        <v>0</v>
      </c>
      <c r="M8" s="106" t="n">
        <v>0</v>
      </c>
      <c r="N8" s="93" t="n">
        <v>0</v>
      </c>
      <c r="O8" s="93" t="n">
        <v>0</v>
      </c>
      <c r="P8" s="93" t="n">
        <v>0</v>
      </c>
      <c r="Q8" s="93" t="n">
        <v>0</v>
      </c>
      <c r="R8" s="93" t="n">
        <v>0</v>
      </c>
      <c r="S8" s="105" t="n">
        <v>0</v>
      </c>
      <c r="T8" s="107" t="n">
        <v>7000</v>
      </c>
      <c r="U8" s="93" t="n">
        <v>0</v>
      </c>
      <c r="V8" s="96" t="n">
        <v>177360</v>
      </c>
      <c r="W8" s="96" t="n">
        <v>0</v>
      </c>
      <c r="X8" s="95" t="n">
        <v>0</v>
      </c>
      <c r="Y8" s="105" t="n">
        <v>151785</v>
      </c>
      <c r="Z8" s="96" t="n">
        <v>40200</v>
      </c>
      <c r="AA8" s="29" t="n">
        <v>0</v>
      </c>
      <c r="AB8" s="95" t="n">
        <v>233529</v>
      </c>
      <c r="AC8" s="95" t="n">
        <v>77148</v>
      </c>
      <c r="AD8" s="95" t="n">
        <v>16500</v>
      </c>
      <c r="AE8" s="105" t="n">
        <v>0</v>
      </c>
      <c r="AF8" s="90" t="n">
        <f aca="false">AF7+1</f>
        <v>37035</v>
      </c>
      <c r="AI8" s="95"/>
      <c r="AJ8" s="95"/>
      <c r="AK8" s="95"/>
    </row>
    <row r="9" customFormat="false" ht="12.75" hidden="false" customHeight="false" outlineLevel="0" collapsed="false">
      <c r="A9" s="90" t="n">
        <f aca="false">A8+1</f>
        <v>37036</v>
      </c>
      <c r="B9" s="50" t="n">
        <v>0</v>
      </c>
      <c r="C9" s="104" t="n">
        <v>0</v>
      </c>
      <c r="D9" s="50" t="n">
        <v>0</v>
      </c>
      <c r="E9" s="50" t="n">
        <v>0</v>
      </c>
      <c r="F9" s="50" t="n">
        <v>0</v>
      </c>
      <c r="G9" s="91" t="n">
        <v>0</v>
      </c>
      <c r="H9" s="93" t="n">
        <v>1000</v>
      </c>
      <c r="I9" s="93" t="n">
        <v>15000</v>
      </c>
      <c r="J9" s="93" t="n">
        <v>0</v>
      </c>
      <c r="K9" s="105" t="n">
        <v>0</v>
      </c>
      <c r="L9" s="96" t="n">
        <v>0</v>
      </c>
      <c r="M9" s="106" t="n">
        <v>0</v>
      </c>
      <c r="N9" s="93" t="n">
        <v>0</v>
      </c>
      <c r="O9" s="93" t="n">
        <v>0</v>
      </c>
      <c r="P9" s="93" t="n">
        <v>0</v>
      </c>
      <c r="Q9" s="93" t="n">
        <v>0</v>
      </c>
      <c r="R9" s="93" t="n">
        <v>0</v>
      </c>
      <c r="S9" s="105" t="n">
        <v>0</v>
      </c>
      <c r="T9" s="107" t="n">
        <v>0</v>
      </c>
      <c r="U9" s="93" t="n">
        <v>0</v>
      </c>
      <c r="V9" s="96" t="n">
        <v>177360</v>
      </c>
      <c r="W9" s="96" t="n">
        <v>0</v>
      </c>
      <c r="X9" s="95" t="n">
        <v>0</v>
      </c>
      <c r="Y9" s="105" t="n">
        <v>151785</v>
      </c>
      <c r="Z9" s="96" t="n">
        <v>40200</v>
      </c>
      <c r="AA9" s="29" t="n">
        <v>0</v>
      </c>
      <c r="AB9" s="95" t="n">
        <v>233529</v>
      </c>
      <c r="AC9" s="95" t="n">
        <v>77148</v>
      </c>
      <c r="AD9" s="95" t="n">
        <v>16500</v>
      </c>
      <c r="AE9" s="105" t="n">
        <v>0</v>
      </c>
      <c r="AF9" s="90" t="n">
        <f aca="false">AF8+1</f>
        <v>37036</v>
      </c>
      <c r="AG9" s="95"/>
      <c r="AH9" s="95"/>
      <c r="AI9" s="95"/>
      <c r="AJ9" s="95"/>
      <c r="AK9" s="95"/>
      <c r="AL9" s="95"/>
      <c r="AM9" s="95"/>
      <c r="AN9" s="95"/>
      <c r="AO9" s="95"/>
      <c r="AP9" s="95"/>
      <c r="AQ9" s="95"/>
      <c r="AR9" s="95"/>
      <c r="AS9" s="95"/>
      <c r="AT9" s="95"/>
      <c r="AU9" s="95"/>
      <c r="AV9" s="95"/>
      <c r="AW9" s="95"/>
      <c r="AX9" s="95"/>
      <c r="AY9" s="95"/>
      <c r="AZ9" s="95"/>
      <c r="BA9" s="95"/>
      <c r="BB9" s="95"/>
      <c r="BC9" s="95"/>
      <c r="BD9" s="95"/>
      <c r="BE9" s="95"/>
      <c r="BF9" s="95"/>
      <c r="BG9" s="95"/>
      <c r="BH9" s="95"/>
      <c r="BI9" s="95"/>
      <c r="BJ9" s="95"/>
      <c r="BK9" s="95"/>
      <c r="BL9" s="95"/>
      <c r="BM9" s="95"/>
      <c r="BN9" s="95"/>
      <c r="BO9" s="95"/>
      <c r="BP9" s="95"/>
      <c r="BQ9" s="95"/>
      <c r="BR9" s="95"/>
      <c r="BS9" s="95"/>
      <c r="BT9" s="95"/>
      <c r="BU9" s="95"/>
      <c r="BV9" s="95"/>
      <c r="BW9" s="95"/>
      <c r="BX9" s="95"/>
      <c r="BY9" s="95"/>
      <c r="BZ9" s="95"/>
      <c r="CA9" s="95"/>
      <c r="CB9" s="95"/>
      <c r="CC9" s="95"/>
      <c r="CD9" s="95"/>
      <c r="CE9" s="95"/>
      <c r="CF9" s="95"/>
      <c r="CG9" s="95"/>
      <c r="CH9" s="95"/>
      <c r="CI9" s="95"/>
      <c r="CJ9" s="95"/>
      <c r="CK9" s="95"/>
      <c r="CL9" s="95"/>
      <c r="CM9" s="95"/>
      <c r="CN9" s="95"/>
      <c r="CO9" s="95"/>
      <c r="CP9" s="95"/>
      <c r="CQ9" s="95"/>
      <c r="CR9" s="95"/>
      <c r="CS9" s="95"/>
      <c r="CT9" s="95"/>
      <c r="CU9" s="95"/>
      <c r="CV9" s="95"/>
      <c r="CW9" s="95"/>
      <c r="CX9" s="95"/>
      <c r="CY9" s="95"/>
      <c r="CZ9" s="95"/>
      <c r="DA9" s="95"/>
      <c r="DB9" s="95"/>
      <c r="DC9" s="95"/>
      <c r="DD9" s="95"/>
      <c r="DE9" s="95"/>
      <c r="DF9" s="95"/>
      <c r="DG9" s="95"/>
      <c r="DH9" s="95"/>
      <c r="DI9" s="95"/>
      <c r="DJ9" s="95"/>
      <c r="DK9" s="95"/>
      <c r="DL9" s="95"/>
      <c r="DM9" s="95"/>
      <c r="DN9" s="95"/>
      <c r="DO9" s="95"/>
      <c r="DP9" s="95"/>
      <c r="DQ9" s="95"/>
      <c r="DR9" s="95"/>
      <c r="DS9" s="95"/>
      <c r="DT9" s="95"/>
      <c r="DU9" s="95"/>
      <c r="DV9" s="95"/>
      <c r="DW9" s="95"/>
      <c r="DX9" s="95"/>
      <c r="DY9" s="95"/>
      <c r="DZ9" s="95"/>
      <c r="EA9" s="95"/>
      <c r="EB9" s="95"/>
      <c r="EC9" s="95"/>
      <c r="ED9" s="95"/>
      <c r="EE9" s="95"/>
      <c r="EF9" s="95"/>
      <c r="EG9" s="95"/>
      <c r="EH9" s="95"/>
      <c r="EI9" s="95"/>
      <c r="EJ9" s="95"/>
      <c r="EK9" s="95"/>
      <c r="EL9" s="95"/>
      <c r="EM9" s="95"/>
      <c r="EN9" s="95"/>
      <c r="EO9" s="95"/>
      <c r="EP9" s="95"/>
      <c r="EQ9" s="95"/>
      <c r="ER9" s="95"/>
      <c r="ES9" s="95"/>
      <c r="ET9" s="95"/>
      <c r="EU9" s="95"/>
      <c r="EV9" s="95"/>
      <c r="EW9" s="95"/>
      <c r="EX9" s="95"/>
      <c r="EY9" s="95"/>
      <c r="EZ9" s="95"/>
      <c r="FA9" s="95"/>
      <c r="FB9" s="95"/>
      <c r="FC9" s="95"/>
      <c r="FD9" s="95"/>
      <c r="FE9" s="95"/>
      <c r="FF9" s="95"/>
      <c r="FG9" s="95"/>
      <c r="FH9" s="95"/>
      <c r="FI9" s="95"/>
      <c r="FJ9" s="95"/>
      <c r="FK9" s="95"/>
      <c r="FL9" s="95"/>
      <c r="FM9" s="95"/>
      <c r="FN9" s="95"/>
      <c r="FO9" s="95"/>
      <c r="FP9" s="95"/>
      <c r="FQ9" s="95"/>
      <c r="FR9" s="95"/>
      <c r="FS9" s="95"/>
      <c r="FT9" s="95"/>
      <c r="FU9" s="95"/>
      <c r="FV9" s="95"/>
      <c r="FW9" s="95"/>
      <c r="FX9" s="95"/>
      <c r="FY9" s="95"/>
      <c r="FZ9" s="95"/>
      <c r="GA9" s="95"/>
      <c r="GB9" s="95"/>
      <c r="GC9" s="95"/>
      <c r="GD9" s="95"/>
      <c r="GE9" s="95"/>
      <c r="GF9" s="95"/>
      <c r="GG9" s="95"/>
      <c r="GH9" s="95"/>
      <c r="GI9" s="95"/>
      <c r="GJ9" s="95"/>
      <c r="GK9" s="95"/>
      <c r="GL9" s="95"/>
      <c r="GM9" s="95"/>
      <c r="GN9" s="95"/>
      <c r="GO9" s="95"/>
      <c r="GP9" s="95"/>
      <c r="GQ9" s="95"/>
      <c r="GR9" s="95"/>
      <c r="GS9" s="95"/>
      <c r="GT9" s="95"/>
      <c r="GU9" s="95"/>
      <c r="GV9" s="95"/>
      <c r="GW9" s="95"/>
      <c r="GX9" s="95"/>
      <c r="GY9" s="95"/>
      <c r="GZ9" s="95"/>
      <c r="HA9" s="95"/>
      <c r="HB9" s="95"/>
      <c r="HC9" s="95"/>
      <c r="HD9" s="95"/>
      <c r="HE9" s="95"/>
      <c r="HF9" s="95"/>
      <c r="HG9" s="95"/>
      <c r="HH9" s="95"/>
      <c r="HI9" s="95"/>
      <c r="HJ9" s="95"/>
      <c r="HK9" s="95"/>
      <c r="HL9" s="95"/>
      <c r="HM9" s="95"/>
      <c r="HN9" s="95"/>
      <c r="HO9" s="95"/>
      <c r="HP9" s="95"/>
      <c r="HQ9" s="95"/>
      <c r="HR9" s="95"/>
      <c r="HS9" s="95"/>
      <c r="HT9" s="95"/>
      <c r="HU9" s="95"/>
      <c r="HV9" s="95"/>
      <c r="HW9" s="95"/>
      <c r="HX9" s="95"/>
      <c r="HY9" s="95"/>
      <c r="HZ9" s="95"/>
      <c r="IA9" s="95"/>
      <c r="IB9" s="95"/>
      <c r="IC9" s="95"/>
      <c r="ID9" s="95"/>
      <c r="IE9" s="95"/>
      <c r="IF9" s="95"/>
      <c r="IG9" s="95"/>
      <c r="IH9" s="95"/>
      <c r="II9" s="95"/>
      <c r="IJ9" s="95"/>
      <c r="IK9" s="95"/>
      <c r="IL9" s="95"/>
      <c r="IM9" s="95"/>
      <c r="IN9" s="95"/>
      <c r="IO9" s="95"/>
      <c r="IP9" s="95"/>
      <c r="IQ9" s="95"/>
      <c r="IR9" s="95"/>
      <c r="IS9" s="95"/>
      <c r="IT9" s="95"/>
      <c r="IU9" s="95"/>
      <c r="IV9" s="95"/>
      <c r="IW9" s="95"/>
    </row>
    <row r="10" customFormat="false" ht="12.75" hidden="false" customHeight="false" outlineLevel="0" collapsed="false">
      <c r="A10" s="90" t="n">
        <f aca="false">A9+1</f>
        <v>37037</v>
      </c>
      <c r="B10" s="50" t="n">
        <v>0</v>
      </c>
      <c r="C10" s="104" t="n">
        <v>0</v>
      </c>
      <c r="D10" s="50" t="n">
        <v>0</v>
      </c>
      <c r="E10" s="50" t="n">
        <v>0</v>
      </c>
      <c r="F10" s="50" t="n">
        <v>0</v>
      </c>
      <c r="G10" s="91" t="n">
        <v>0</v>
      </c>
      <c r="H10" s="93" t="n">
        <v>1000</v>
      </c>
      <c r="I10" s="93" t="n">
        <v>15000</v>
      </c>
      <c r="J10" s="93" t="n">
        <v>0</v>
      </c>
      <c r="K10" s="105" t="n">
        <v>0</v>
      </c>
      <c r="L10" s="96" t="n">
        <v>0</v>
      </c>
      <c r="M10" s="106" t="n">
        <v>0</v>
      </c>
      <c r="N10" s="93" t="n">
        <v>0</v>
      </c>
      <c r="O10" s="93" t="n">
        <v>0</v>
      </c>
      <c r="P10" s="93" t="n">
        <v>0</v>
      </c>
      <c r="Q10" s="93" t="n">
        <v>0</v>
      </c>
      <c r="R10" s="93" t="n">
        <v>0</v>
      </c>
      <c r="S10" s="105" t="n">
        <v>0</v>
      </c>
      <c r="T10" s="107" t="n">
        <v>0</v>
      </c>
      <c r="U10" s="93" t="n">
        <v>0</v>
      </c>
      <c r="V10" s="96" t="n">
        <v>177360</v>
      </c>
      <c r="W10" s="96" t="n">
        <v>0</v>
      </c>
      <c r="X10" s="95" t="n">
        <v>0</v>
      </c>
      <c r="Y10" s="105" t="n">
        <v>151785</v>
      </c>
      <c r="Z10" s="96" t="n">
        <v>40200</v>
      </c>
      <c r="AA10" s="29" t="n">
        <v>0</v>
      </c>
      <c r="AB10" s="95" t="n">
        <v>233529</v>
      </c>
      <c r="AC10" s="95" t="n">
        <v>77148</v>
      </c>
      <c r="AD10" s="95" t="n">
        <v>16500</v>
      </c>
      <c r="AE10" s="105" t="n">
        <v>0</v>
      </c>
      <c r="AF10" s="90" t="n">
        <f aca="false">AF9+1</f>
        <v>37037</v>
      </c>
      <c r="AI10" s="95"/>
      <c r="AJ10" s="95"/>
      <c r="AK10" s="95"/>
    </row>
    <row r="11" customFormat="false" ht="12.75" hidden="false" customHeight="false" outlineLevel="0" collapsed="false">
      <c r="A11" s="90" t="n">
        <f aca="false">A10+1</f>
        <v>37038</v>
      </c>
      <c r="B11" s="50" t="n">
        <v>0</v>
      </c>
      <c r="C11" s="104" t="n">
        <v>0</v>
      </c>
      <c r="D11" s="50" t="n">
        <v>0</v>
      </c>
      <c r="E11" s="50" t="n">
        <v>0</v>
      </c>
      <c r="F11" s="50" t="n">
        <v>0</v>
      </c>
      <c r="G11" s="91" t="n">
        <v>0</v>
      </c>
      <c r="H11" s="93" t="n">
        <v>1000</v>
      </c>
      <c r="I11" s="93" t="n">
        <v>15000</v>
      </c>
      <c r="J11" s="93" t="n">
        <v>0</v>
      </c>
      <c r="K11" s="105" t="n">
        <v>0</v>
      </c>
      <c r="L11" s="96" t="n">
        <v>0</v>
      </c>
      <c r="M11" s="106" t="n">
        <v>0</v>
      </c>
      <c r="N11" s="93" t="n">
        <v>0</v>
      </c>
      <c r="O11" s="93" t="n">
        <v>0</v>
      </c>
      <c r="P11" s="93" t="n">
        <v>0</v>
      </c>
      <c r="Q11" s="93" t="n">
        <v>0</v>
      </c>
      <c r="R11" s="93" t="n">
        <v>0</v>
      </c>
      <c r="S11" s="105" t="n">
        <v>0</v>
      </c>
      <c r="T11" s="107" t="n">
        <v>0</v>
      </c>
      <c r="U11" s="93" t="n">
        <v>0</v>
      </c>
      <c r="V11" s="96" t="n">
        <v>177360</v>
      </c>
      <c r="W11" s="96" t="n">
        <v>0</v>
      </c>
      <c r="X11" s="95" t="n">
        <v>0</v>
      </c>
      <c r="Y11" s="105" t="n">
        <v>151785</v>
      </c>
      <c r="Z11" s="96" t="n">
        <v>40200</v>
      </c>
      <c r="AA11" s="29" t="n">
        <v>0</v>
      </c>
      <c r="AB11" s="95" t="n">
        <v>233529</v>
      </c>
      <c r="AC11" s="95" t="n">
        <v>77148</v>
      </c>
      <c r="AD11" s="95" t="n">
        <v>16500</v>
      </c>
      <c r="AE11" s="105" t="n">
        <v>0</v>
      </c>
      <c r="AF11" s="90" t="n">
        <f aca="false">AF10+1</f>
        <v>37038</v>
      </c>
    </row>
    <row r="12" customFormat="false" ht="12.75" hidden="false" customHeight="false" outlineLevel="0" collapsed="false">
      <c r="A12" s="90" t="n">
        <f aca="false">A11+1</f>
        <v>37039</v>
      </c>
      <c r="B12" s="50" t="n">
        <v>0</v>
      </c>
      <c r="C12" s="104" t="n">
        <v>0</v>
      </c>
      <c r="D12" s="50" t="n">
        <v>0</v>
      </c>
      <c r="E12" s="50" t="n">
        <v>0</v>
      </c>
      <c r="F12" s="50" t="n">
        <v>0</v>
      </c>
      <c r="G12" s="91" t="n">
        <v>0</v>
      </c>
      <c r="H12" s="93" t="n">
        <v>1000</v>
      </c>
      <c r="I12" s="93" t="n">
        <v>15000</v>
      </c>
      <c r="J12" s="93" t="n">
        <v>0</v>
      </c>
      <c r="K12" s="105" t="n">
        <v>0</v>
      </c>
      <c r="L12" s="96" t="n">
        <v>0</v>
      </c>
      <c r="M12" s="106" t="n">
        <v>0</v>
      </c>
      <c r="N12" s="93" t="n">
        <v>0</v>
      </c>
      <c r="O12" s="93" t="n">
        <v>0</v>
      </c>
      <c r="P12" s="93" t="n">
        <v>0</v>
      </c>
      <c r="Q12" s="93" t="n">
        <v>0</v>
      </c>
      <c r="R12" s="93" t="n">
        <v>0</v>
      </c>
      <c r="S12" s="105" t="n">
        <v>0</v>
      </c>
      <c r="T12" s="107" t="n">
        <v>0</v>
      </c>
      <c r="U12" s="93" t="n">
        <v>0</v>
      </c>
      <c r="V12" s="96" t="n">
        <v>177360</v>
      </c>
      <c r="W12" s="96" t="n">
        <v>0</v>
      </c>
      <c r="X12" s="95" t="n">
        <v>0</v>
      </c>
      <c r="Y12" s="105" t="n">
        <v>151785</v>
      </c>
      <c r="Z12" s="96" t="n">
        <v>40200</v>
      </c>
      <c r="AA12" s="29" t="n">
        <v>0</v>
      </c>
      <c r="AB12" s="95" t="n">
        <v>233529</v>
      </c>
      <c r="AC12" s="95" t="n">
        <v>77148</v>
      </c>
      <c r="AD12" s="95" t="n">
        <v>16500</v>
      </c>
      <c r="AE12" s="105" t="n">
        <v>0</v>
      </c>
      <c r="AF12" s="90" t="n">
        <f aca="false">AF11+1</f>
        <v>37039</v>
      </c>
    </row>
    <row r="13" customFormat="false" ht="12.75" hidden="false" customHeight="false" outlineLevel="0" collapsed="false">
      <c r="G13" s="29" t="s">
        <v>1</v>
      </c>
      <c r="I13" s="18"/>
      <c r="P13" s="29" t="s">
        <v>1</v>
      </c>
      <c r="T13" s="107"/>
      <c r="U13" s="29" t="s">
        <v>1</v>
      </c>
      <c r="V13" s="18" t="s">
        <v>1</v>
      </c>
      <c r="W13" s="96" t="s">
        <v>1</v>
      </c>
      <c r="X13" s="95"/>
      <c r="Z13" s="74"/>
      <c r="AB13" s="95"/>
      <c r="AD13" s="95"/>
    </row>
    <row r="14" customFormat="false" ht="12.75" hidden="false" customHeight="false" outlineLevel="0" collapsed="false">
      <c r="A14" s="29" t="s">
        <v>1</v>
      </c>
      <c r="I14" s="18"/>
      <c r="X14" s="18"/>
      <c r="Z14" s="29" t="s">
        <v>1</v>
      </c>
      <c r="AB14" s="95"/>
    </row>
    <row r="15" customFormat="false" ht="12.75" hidden="false" customHeight="false" outlineLevel="0" collapsed="false">
      <c r="I15" s="18"/>
      <c r="X15" s="18"/>
    </row>
    <row r="17" customFormat="false" ht="12.75" hidden="false" customHeight="false" outlineLevel="0" collapsed="false">
      <c r="P17" s="29" t="s">
        <v>1</v>
      </c>
    </row>
    <row r="18" customFormat="false" ht="12.75" hidden="false" customHeight="false" outlineLevel="0" collapsed="false">
      <c r="AC18" s="29" t="s">
        <v>1</v>
      </c>
    </row>
    <row r="19" customFormat="false" ht="12.75" hidden="false" customHeight="false" outlineLevel="0" collapsed="false">
      <c r="AA19" s="29" t="s">
        <v>1</v>
      </c>
      <c r="AG19" s="95"/>
    </row>
    <row r="20" customFormat="false" ht="12.75" hidden="false" customHeight="false" outlineLevel="0" collapsed="false">
      <c r="Z20" s="97" t="s">
        <v>1</v>
      </c>
      <c r="AG20" s="95"/>
    </row>
    <row r="21" customFormat="false" ht="12.75" hidden="false" customHeight="false" outlineLevel="0" collapsed="false">
      <c r="AG21" s="95"/>
    </row>
    <row r="22" customFormat="false" ht="12.75" hidden="false" customHeight="false" outlineLevel="0" collapsed="false">
      <c r="AG22" s="95"/>
    </row>
    <row r="23" customFormat="false" ht="12.75" hidden="false" customHeight="false" outlineLevel="0" collapsed="false">
      <c r="AG23" s="95"/>
    </row>
    <row r="25" customFormat="false" ht="12.75" hidden="false" customHeight="false" outlineLevel="0" collapsed="false">
      <c r="AB25" s="95" t="s">
        <v>1</v>
      </c>
    </row>
  </sheetData>
  <mergeCells count="4">
    <mergeCell ref="C3:G3"/>
    <mergeCell ref="H3:L3"/>
    <mergeCell ref="M3:U3"/>
    <mergeCell ref="Z3:AE3"/>
  </mergeCells>
  <printOptions headings="false" gridLines="true" gridLinesSet="true" horizontalCentered="false" verticalCentered="false"/>
  <pageMargins left="0" right="0" top="0.984027777777778" bottom="0.984027777777778" header="0.5" footer="0.5"/>
  <pageSetup paperSize="1" scale="14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X18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1" min="1" style="0" width="8.65"/>
    <col collapsed="false" customWidth="true" hidden="false" outlineLevel="0" max="37" min="37" style="0" width="7.66"/>
  </cols>
  <sheetData>
    <row r="1" customFormat="false" ht="15" hidden="false" customHeight="false" outlineLevel="0" collapsed="false">
      <c r="A1" s="109" t="s">
        <v>1</v>
      </c>
      <c r="B1" s="65"/>
      <c r="C1" s="65"/>
      <c r="D1" s="65"/>
      <c r="E1" s="65"/>
      <c r="F1" s="65"/>
      <c r="G1" s="65"/>
      <c r="H1" s="65"/>
      <c r="I1" s="65"/>
      <c r="J1" s="65"/>
      <c r="K1" s="65"/>
    </row>
    <row r="2" customFormat="false" ht="12.75" hidden="false" customHeight="false" outlineLevel="0" collapsed="false">
      <c r="A2" s="61"/>
      <c r="B2" s="61"/>
      <c r="C2" s="61"/>
      <c r="D2" s="66"/>
      <c r="E2" s="66"/>
      <c r="F2" s="66"/>
      <c r="G2" s="61"/>
      <c r="H2" s="61"/>
      <c r="I2" s="61"/>
      <c r="J2" s="61"/>
      <c r="K2" s="61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  <c r="AK2" s="29"/>
    </row>
    <row r="3" customFormat="false" ht="12.75" hidden="false" customHeight="false" outlineLevel="0" collapsed="false">
      <c r="A3" s="67"/>
      <c r="B3" s="69" t="s">
        <v>178</v>
      </c>
      <c r="C3" s="71" t="s">
        <v>179</v>
      </c>
      <c r="D3" s="71"/>
      <c r="E3" s="71"/>
      <c r="F3" s="71"/>
      <c r="G3" s="72" t="s">
        <v>180</v>
      </c>
      <c r="H3" s="72"/>
      <c r="I3" s="72"/>
      <c r="J3" s="72"/>
      <c r="K3" s="72"/>
      <c r="L3" s="71" t="s">
        <v>92</v>
      </c>
      <c r="M3" s="71"/>
      <c r="N3" s="71"/>
      <c r="O3" s="71"/>
      <c r="P3" s="71"/>
      <c r="Q3" s="71"/>
      <c r="R3" s="71"/>
      <c r="S3" s="72" t="s">
        <v>181</v>
      </c>
      <c r="T3" s="72"/>
      <c r="U3" s="72"/>
      <c r="V3" s="72"/>
      <c r="W3" s="72"/>
      <c r="X3" s="72"/>
      <c r="Y3" s="57"/>
      <c r="Z3" s="29"/>
      <c r="AA3" s="29"/>
      <c r="AB3" s="29"/>
      <c r="AC3" s="29"/>
      <c r="AD3" s="29"/>
      <c r="AE3" s="29"/>
      <c r="AF3" s="29"/>
      <c r="AG3" s="29"/>
      <c r="AH3" s="29"/>
      <c r="AI3" s="29"/>
      <c r="AJ3" s="29"/>
      <c r="AK3" s="29"/>
      <c r="AL3" s="29"/>
      <c r="AM3" s="29"/>
      <c r="AN3" s="29"/>
      <c r="AO3" s="29"/>
      <c r="AP3" s="29"/>
      <c r="AQ3" s="29"/>
      <c r="AR3" s="29"/>
      <c r="AS3" s="29"/>
      <c r="AT3" s="29"/>
      <c r="AU3" s="29"/>
      <c r="AV3" s="29"/>
      <c r="AW3" s="29"/>
      <c r="AX3" s="29"/>
      <c r="AY3" s="29"/>
      <c r="AZ3" s="29"/>
      <c r="BA3" s="29"/>
      <c r="BB3" s="29"/>
      <c r="BC3" s="29"/>
      <c r="BD3" s="29"/>
      <c r="BE3" s="29"/>
      <c r="BF3" s="29"/>
      <c r="BG3" s="29"/>
      <c r="BH3" s="29"/>
      <c r="BI3" s="29"/>
      <c r="BJ3" s="29"/>
      <c r="BK3" s="29"/>
      <c r="BL3" s="29"/>
      <c r="BM3" s="29"/>
      <c r="BN3" s="29"/>
      <c r="BO3" s="29"/>
      <c r="BP3" s="29"/>
      <c r="BQ3" s="29"/>
      <c r="BR3" s="29"/>
      <c r="BS3" s="29"/>
      <c r="BT3" s="29"/>
      <c r="BU3" s="29"/>
      <c r="BV3" s="29"/>
      <c r="BW3" s="29"/>
      <c r="BX3" s="29"/>
      <c r="BY3" s="29"/>
      <c r="BZ3" s="29"/>
      <c r="CA3" s="29"/>
      <c r="CB3" s="29"/>
      <c r="CC3" s="29"/>
      <c r="CD3" s="29"/>
      <c r="CE3" s="29"/>
      <c r="CF3" s="29"/>
      <c r="CG3" s="29"/>
      <c r="CH3" s="29"/>
      <c r="CI3" s="29"/>
      <c r="CJ3" s="29"/>
      <c r="CK3" s="29"/>
      <c r="CL3" s="29"/>
      <c r="CM3" s="29"/>
      <c r="CN3" s="29"/>
      <c r="CO3" s="29"/>
      <c r="CP3" s="29"/>
      <c r="CQ3" s="29"/>
      <c r="CR3" s="29"/>
      <c r="CS3" s="29"/>
      <c r="CT3" s="29"/>
      <c r="CU3" s="29"/>
      <c r="CV3" s="29"/>
      <c r="CW3" s="29"/>
      <c r="CX3" s="29"/>
      <c r="CY3" s="29"/>
      <c r="CZ3" s="29"/>
      <c r="DA3" s="29"/>
      <c r="DB3" s="29"/>
      <c r="DC3" s="29"/>
      <c r="DD3" s="29"/>
      <c r="DE3" s="29"/>
      <c r="DF3" s="29"/>
      <c r="DG3" s="29"/>
      <c r="DH3" s="29"/>
      <c r="DI3" s="29"/>
      <c r="DJ3" s="29"/>
      <c r="DK3" s="29"/>
      <c r="DL3" s="29"/>
      <c r="DM3" s="29"/>
      <c r="DN3" s="29"/>
      <c r="DO3" s="29"/>
      <c r="DP3" s="29"/>
      <c r="DQ3" s="29"/>
      <c r="DR3" s="29"/>
      <c r="DS3" s="29"/>
      <c r="DT3" s="29"/>
      <c r="DU3" s="29"/>
      <c r="DV3" s="29"/>
      <c r="DW3" s="29"/>
      <c r="DX3" s="29"/>
    </row>
    <row r="4" customFormat="false" ht="12.75" hidden="false" customHeight="false" outlineLevel="0" collapsed="false">
      <c r="A4" s="29"/>
      <c r="B4" s="69" t="s">
        <v>182</v>
      </c>
      <c r="C4" s="29"/>
      <c r="D4" s="29"/>
      <c r="E4" s="29"/>
      <c r="F4" s="29"/>
      <c r="G4" s="37" t="s">
        <v>183</v>
      </c>
      <c r="H4" s="37"/>
      <c r="I4" s="36" t="s">
        <v>184</v>
      </c>
      <c r="J4" s="36"/>
      <c r="K4" s="76" t="s">
        <v>185</v>
      </c>
      <c r="L4" s="76" t="s">
        <v>185</v>
      </c>
      <c r="M4" s="37" t="s">
        <v>185</v>
      </c>
      <c r="N4" s="76" t="s">
        <v>124</v>
      </c>
      <c r="O4" s="29"/>
      <c r="P4" s="29"/>
      <c r="Q4" s="29"/>
      <c r="R4" s="36"/>
      <c r="S4" s="110"/>
      <c r="T4" s="29"/>
      <c r="U4" s="29"/>
      <c r="V4" s="29"/>
      <c r="W4" s="29"/>
      <c r="X4" s="29"/>
      <c r="Y4" s="29"/>
      <c r="Z4" s="36"/>
      <c r="AA4" s="29"/>
      <c r="AB4" s="29"/>
      <c r="AC4" s="29"/>
      <c r="AD4" s="29"/>
      <c r="AE4" s="29"/>
      <c r="AF4" s="29"/>
      <c r="AG4" s="29"/>
      <c r="AH4" s="29"/>
      <c r="AI4" s="29"/>
      <c r="AJ4" s="29"/>
      <c r="AK4" s="29"/>
    </row>
    <row r="5" customFormat="false" ht="12.75" hidden="false" customHeight="false" outlineLevel="0" collapsed="false">
      <c r="A5" s="29"/>
      <c r="B5" s="73"/>
      <c r="C5" s="29"/>
      <c r="D5" s="29"/>
      <c r="E5" s="29"/>
      <c r="F5" s="29"/>
      <c r="G5" s="37" t="s">
        <v>186</v>
      </c>
      <c r="H5" s="36" t="s">
        <v>43</v>
      </c>
      <c r="I5" s="111" t="n">
        <v>0.05</v>
      </c>
      <c r="J5" s="111" t="s">
        <v>85</v>
      </c>
      <c r="K5" s="76" t="s">
        <v>74</v>
      </c>
      <c r="L5" s="76" t="s">
        <v>74</v>
      </c>
      <c r="M5" s="76" t="s">
        <v>74</v>
      </c>
      <c r="N5" s="76" t="s">
        <v>74</v>
      </c>
      <c r="O5" s="36" t="s">
        <v>85</v>
      </c>
      <c r="P5" s="36" t="s">
        <v>43</v>
      </c>
      <c r="Q5" s="36" t="s">
        <v>43</v>
      </c>
      <c r="R5" s="111" t="s">
        <v>43</v>
      </c>
      <c r="S5" s="37" t="s">
        <v>85</v>
      </c>
      <c r="T5" s="37"/>
      <c r="U5" s="37"/>
      <c r="V5" s="36" t="s">
        <v>1</v>
      </c>
      <c r="W5" s="36" t="s">
        <v>137</v>
      </c>
      <c r="X5" s="36" t="s">
        <v>1</v>
      </c>
      <c r="Y5" s="29"/>
      <c r="Z5" s="36" t="s">
        <v>43</v>
      </c>
      <c r="AA5" s="36"/>
      <c r="AB5" s="36" t="s">
        <v>1</v>
      </c>
      <c r="AC5" s="28" t="s">
        <v>187</v>
      </c>
      <c r="AD5" s="29"/>
      <c r="AE5" s="36" t="s">
        <v>1</v>
      </c>
      <c r="AF5" s="29"/>
      <c r="AG5" s="29"/>
      <c r="AH5" s="29"/>
      <c r="AI5" s="29"/>
      <c r="AJ5" s="29"/>
      <c r="AK5" s="29"/>
    </row>
    <row r="6" customFormat="false" ht="12.75" hidden="false" customHeight="false" outlineLevel="0" collapsed="false">
      <c r="A6" s="83"/>
      <c r="B6" s="84" t="s">
        <v>83</v>
      </c>
      <c r="C6" s="81" t="s">
        <v>43</v>
      </c>
      <c r="D6" s="81" t="s">
        <v>85</v>
      </c>
      <c r="E6" s="81" t="s">
        <v>137</v>
      </c>
      <c r="F6" s="81" t="s">
        <v>138</v>
      </c>
      <c r="G6" s="101" t="s">
        <v>188</v>
      </c>
      <c r="H6" s="81" t="s">
        <v>172</v>
      </c>
      <c r="I6" s="81" t="s">
        <v>189</v>
      </c>
      <c r="J6" s="81" t="s">
        <v>153</v>
      </c>
      <c r="K6" s="81" t="s">
        <v>190</v>
      </c>
      <c r="L6" s="81" t="s">
        <v>191</v>
      </c>
      <c r="M6" s="81" t="s">
        <v>192</v>
      </c>
      <c r="N6" s="81" t="s">
        <v>193</v>
      </c>
      <c r="O6" s="81" t="n">
        <v>50</v>
      </c>
      <c r="P6" s="81" t="s">
        <v>194</v>
      </c>
      <c r="Q6" s="81" t="s">
        <v>156</v>
      </c>
      <c r="R6" s="81" t="s">
        <v>195</v>
      </c>
      <c r="S6" s="101" t="s">
        <v>196</v>
      </c>
      <c r="T6" s="81" t="s">
        <v>197</v>
      </c>
      <c r="U6" s="81" t="s">
        <v>198</v>
      </c>
      <c r="V6" s="101" t="s">
        <v>196</v>
      </c>
      <c r="W6" s="81" t="s">
        <v>197</v>
      </c>
      <c r="X6" s="81" t="s">
        <v>198</v>
      </c>
      <c r="Y6" s="101" t="s">
        <v>196</v>
      </c>
      <c r="Z6" s="81" t="s">
        <v>197</v>
      </c>
      <c r="AA6" s="81" t="s">
        <v>198</v>
      </c>
      <c r="AB6" s="101" t="s">
        <v>196</v>
      </c>
      <c r="AC6" s="81" t="s">
        <v>197</v>
      </c>
      <c r="AD6" s="81" t="s">
        <v>198</v>
      </c>
      <c r="AE6" s="81" t="s">
        <v>199</v>
      </c>
      <c r="AF6" s="29"/>
      <c r="AG6" s="29"/>
      <c r="AH6" s="29"/>
      <c r="AI6" s="29"/>
      <c r="AJ6" s="29"/>
      <c r="AK6" s="29"/>
    </row>
    <row r="7" customFormat="false" ht="12.75" hidden="false" customHeight="false" outlineLevel="0" collapsed="false">
      <c r="A7" s="112" t="n">
        <f aca="false">Weather_Input!A5</f>
        <v>37034</v>
      </c>
      <c r="B7" s="91" t="n">
        <v>0</v>
      </c>
      <c r="C7" s="93" t="n">
        <v>0</v>
      </c>
      <c r="D7" s="93" t="n">
        <v>0</v>
      </c>
      <c r="E7" s="93" t="n">
        <v>0</v>
      </c>
      <c r="F7" s="93" t="n">
        <v>0</v>
      </c>
      <c r="G7" s="106" t="n">
        <v>0</v>
      </c>
      <c r="H7" s="93" t="n">
        <v>0</v>
      </c>
      <c r="I7" s="92" t="n">
        <v>7197</v>
      </c>
      <c r="J7" s="92" t="n">
        <v>0</v>
      </c>
      <c r="K7" s="104" t="n">
        <v>0</v>
      </c>
      <c r="L7" s="113" t="n">
        <v>0</v>
      </c>
      <c r="M7" s="113" t="n">
        <v>0</v>
      </c>
      <c r="N7" s="113" t="n">
        <v>0</v>
      </c>
      <c r="O7" s="113" t="n">
        <v>0</v>
      </c>
      <c r="P7" s="93" t="n">
        <v>0</v>
      </c>
      <c r="Q7" s="113" t="n">
        <v>0</v>
      </c>
      <c r="R7" s="93" t="n">
        <v>0</v>
      </c>
      <c r="S7" s="114" t="n">
        <v>0</v>
      </c>
      <c r="T7" s="93" t="n">
        <v>0</v>
      </c>
      <c r="U7" s="93" t="n">
        <v>0</v>
      </c>
      <c r="V7" s="114" t="n">
        <v>0</v>
      </c>
      <c r="W7" s="93" t="n">
        <v>0</v>
      </c>
      <c r="X7" s="93" t="n">
        <v>0</v>
      </c>
      <c r="Y7" s="114" t="n">
        <v>0</v>
      </c>
      <c r="Z7" s="93" t="n">
        <v>0</v>
      </c>
      <c r="AA7" s="93" t="n">
        <v>0</v>
      </c>
      <c r="AB7" s="106" t="n">
        <v>0</v>
      </c>
      <c r="AC7" s="93" t="n">
        <v>0</v>
      </c>
      <c r="AD7" s="93" t="n">
        <v>0</v>
      </c>
      <c r="AE7" s="93" t="n">
        <v>0</v>
      </c>
      <c r="AF7" s="90" t="n">
        <f aca="false">Weather_Input!A5</f>
        <v>37034</v>
      </c>
      <c r="AG7" s="95"/>
      <c r="AH7" s="95"/>
      <c r="AI7" s="95"/>
      <c r="AJ7" s="95"/>
      <c r="AK7" s="95"/>
    </row>
    <row r="8" customFormat="false" ht="12.75" hidden="false" customHeight="false" outlineLevel="0" collapsed="false">
      <c r="A8" s="112" t="n">
        <f aca="false">Weather_Input!A6</f>
        <v>37035</v>
      </c>
      <c r="B8" s="91" t="n">
        <v>0</v>
      </c>
      <c r="C8" s="93" t="n">
        <v>0</v>
      </c>
      <c r="D8" s="93" t="n">
        <v>0</v>
      </c>
      <c r="E8" s="93" t="n">
        <v>0</v>
      </c>
      <c r="F8" s="93" t="n">
        <v>0</v>
      </c>
      <c r="G8" s="106" t="n">
        <v>0</v>
      </c>
      <c r="H8" s="93" t="n">
        <v>1250</v>
      </c>
      <c r="I8" s="92" t="n">
        <v>7197</v>
      </c>
      <c r="J8" s="92" t="n">
        <v>0</v>
      </c>
      <c r="K8" s="104" t="n">
        <v>0</v>
      </c>
      <c r="L8" s="113" t="n">
        <v>0</v>
      </c>
      <c r="M8" s="113" t="n">
        <v>0</v>
      </c>
      <c r="N8" s="113" t="n">
        <v>0</v>
      </c>
      <c r="O8" s="113" t="n">
        <v>0</v>
      </c>
      <c r="P8" s="93" t="n">
        <v>0</v>
      </c>
      <c r="Q8" s="113" t="n">
        <v>0</v>
      </c>
      <c r="R8" s="93" t="n">
        <v>0</v>
      </c>
      <c r="S8" s="114" t="n">
        <v>0</v>
      </c>
      <c r="T8" s="93" t="n">
        <v>0</v>
      </c>
      <c r="U8" s="93" t="n">
        <v>0</v>
      </c>
      <c r="V8" s="114" t="n">
        <v>0</v>
      </c>
      <c r="W8" s="93" t="n">
        <v>0</v>
      </c>
      <c r="X8" s="93" t="n">
        <v>0</v>
      </c>
      <c r="Y8" s="114" t="n">
        <v>0</v>
      </c>
      <c r="Z8" s="93" t="n">
        <v>0</v>
      </c>
      <c r="AA8" s="93" t="n">
        <v>0</v>
      </c>
      <c r="AB8" s="106" t="n">
        <v>0</v>
      </c>
      <c r="AC8" s="93" t="n">
        <v>0</v>
      </c>
      <c r="AD8" s="93" t="n">
        <v>0</v>
      </c>
      <c r="AE8" s="93" t="n">
        <v>0</v>
      </c>
      <c r="AF8" s="112" t="n">
        <f aca="false">AF7+1</f>
        <v>37035</v>
      </c>
      <c r="AG8" s="95"/>
      <c r="AH8" s="95"/>
      <c r="AI8" s="95"/>
      <c r="AJ8" s="95"/>
      <c r="AK8" s="95"/>
    </row>
    <row r="9" customFormat="false" ht="12.75" hidden="false" customHeight="false" outlineLevel="0" collapsed="false">
      <c r="A9" s="90" t="n">
        <f aca="false">A8+1</f>
        <v>37036</v>
      </c>
      <c r="B9" s="91" t="n">
        <v>0</v>
      </c>
      <c r="C9" s="93" t="n">
        <v>0</v>
      </c>
      <c r="D9" s="93" t="n">
        <v>0</v>
      </c>
      <c r="E9" s="93" t="n">
        <v>0</v>
      </c>
      <c r="F9" s="93" t="n">
        <v>0</v>
      </c>
      <c r="G9" s="106" t="n">
        <v>0</v>
      </c>
      <c r="H9" s="93" t="n">
        <v>1250</v>
      </c>
      <c r="I9" s="92" t="n">
        <v>7197</v>
      </c>
      <c r="J9" s="92" t="n">
        <v>0</v>
      </c>
      <c r="K9" s="104" t="n">
        <v>0</v>
      </c>
      <c r="L9" s="113" t="n">
        <v>0</v>
      </c>
      <c r="M9" s="113" t="n">
        <v>0</v>
      </c>
      <c r="N9" s="113" t="n">
        <v>0</v>
      </c>
      <c r="O9" s="113" t="n">
        <v>0</v>
      </c>
      <c r="P9" s="93" t="n">
        <v>0</v>
      </c>
      <c r="Q9" s="113" t="n">
        <v>0</v>
      </c>
      <c r="R9" s="93" t="n">
        <v>0</v>
      </c>
      <c r="S9" s="114" t="n">
        <v>0</v>
      </c>
      <c r="T9" s="93" t="n">
        <v>0</v>
      </c>
      <c r="U9" s="93" t="n">
        <v>0</v>
      </c>
      <c r="V9" s="114" t="n">
        <v>0</v>
      </c>
      <c r="W9" s="93" t="n">
        <v>0</v>
      </c>
      <c r="X9" s="93" t="n">
        <v>0</v>
      </c>
      <c r="Y9" s="114" t="n">
        <v>0</v>
      </c>
      <c r="Z9" s="93" t="n">
        <v>0</v>
      </c>
      <c r="AA9" s="93" t="n">
        <v>0</v>
      </c>
      <c r="AB9" s="106" t="n">
        <v>0</v>
      </c>
      <c r="AC9" s="93" t="n">
        <v>0</v>
      </c>
      <c r="AD9" s="93" t="n">
        <v>0</v>
      </c>
      <c r="AE9" s="93" t="n">
        <v>0</v>
      </c>
      <c r="AF9" s="90" t="n">
        <f aca="false">AF8+1</f>
        <v>37036</v>
      </c>
      <c r="AG9" s="95"/>
      <c r="AH9" s="95"/>
      <c r="AI9" s="95"/>
      <c r="AJ9" s="95"/>
      <c r="AK9" s="95"/>
    </row>
    <row r="10" customFormat="false" ht="12.75" hidden="false" customHeight="false" outlineLevel="0" collapsed="false">
      <c r="A10" s="90" t="n">
        <f aca="false">A9+1</f>
        <v>37037</v>
      </c>
      <c r="B10" s="91" t="n">
        <v>0</v>
      </c>
      <c r="C10" s="93" t="n">
        <v>0</v>
      </c>
      <c r="D10" s="93" t="n">
        <v>0</v>
      </c>
      <c r="E10" s="93" t="n">
        <v>0</v>
      </c>
      <c r="F10" s="93" t="n">
        <v>0</v>
      </c>
      <c r="G10" s="106" t="n">
        <v>0</v>
      </c>
      <c r="H10" s="93" t="n">
        <v>1250</v>
      </c>
      <c r="I10" s="92" t="n">
        <v>7197</v>
      </c>
      <c r="J10" s="92" t="n">
        <v>0</v>
      </c>
      <c r="K10" s="104" t="n">
        <v>0</v>
      </c>
      <c r="L10" s="113" t="n">
        <v>0</v>
      </c>
      <c r="M10" s="113" t="n">
        <v>0</v>
      </c>
      <c r="N10" s="113" t="n">
        <v>0</v>
      </c>
      <c r="O10" s="113" t="n">
        <v>0</v>
      </c>
      <c r="P10" s="93" t="n">
        <v>0</v>
      </c>
      <c r="Q10" s="113" t="n">
        <v>0</v>
      </c>
      <c r="R10" s="93" t="n">
        <v>0</v>
      </c>
      <c r="S10" s="114" t="n">
        <v>0</v>
      </c>
      <c r="T10" s="93" t="n">
        <v>0</v>
      </c>
      <c r="U10" s="93" t="n">
        <v>0</v>
      </c>
      <c r="V10" s="114" t="n">
        <v>0</v>
      </c>
      <c r="W10" s="93" t="n">
        <v>0</v>
      </c>
      <c r="X10" s="93" t="n">
        <v>0</v>
      </c>
      <c r="Y10" s="114" t="n">
        <v>0</v>
      </c>
      <c r="Z10" s="93" t="n">
        <v>0</v>
      </c>
      <c r="AA10" s="93" t="n">
        <v>0</v>
      </c>
      <c r="AB10" s="106" t="n">
        <v>0</v>
      </c>
      <c r="AC10" s="93" t="n">
        <v>0</v>
      </c>
      <c r="AD10" s="93" t="n">
        <v>0</v>
      </c>
      <c r="AE10" s="93" t="n">
        <v>0</v>
      </c>
      <c r="AF10" s="90" t="n">
        <f aca="false">AF9+1</f>
        <v>37037</v>
      </c>
      <c r="AG10" s="95"/>
      <c r="AH10" s="95"/>
      <c r="AI10" s="95"/>
      <c r="AJ10" s="95"/>
      <c r="AK10" s="95"/>
    </row>
    <row r="11" customFormat="false" ht="12.75" hidden="false" customHeight="false" outlineLevel="0" collapsed="false">
      <c r="A11" s="90" t="n">
        <f aca="false">A10+1</f>
        <v>37038</v>
      </c>
      <c r="B11" s="91" t="n">
        <v>0</v>
      </c>
      <c r="C11" s="93" t="n">
        <v>0</v>
      </c>
      <c r="D11" s="93" t="n">
        <v>0</v>
      </c>
      <c r="E11" s="93" t="n">
        <v>0</v>
      </c>
      <c r="F11" s="93" t="n">
        <v>0</v>
      </c>
      <c r="G11" s="106" t="n">
        <v>0</v>
      </c>
      <c r="H11" s="93" t="n">
        <v>1250</v>
      </c>
      <c r="I11" s="92" t="n">
        <v>7197</v>
      </c>
      <c r="J11" s="92" t="n">
        <v>0</v>
      </c>
      <c r="K11" s="104" t="n">
        <v>0</v>
      </c>
      <c r="L11" s="113" t="n">
        <v>0</v>
      </c>
      <c r="M11" s="113" t="n">
        <v>0</v>
      </c>
      <c r="N11" s="113" t="n">
        <v>0</v>
      </c>
      <c r="O11" s="113" t="n">
        <v>0</v>
      </c>
      <c r="P11" s="93" t="n">
        <v>0</v>
      </c>
      <c r="Q11" s="113" t="n">
        <v>0</v>
      </c>
      <c r="R11" s="93" t="n">
        <v>0</v>
      </c>
      <c r="S11" s="114" t="n">
        <v>0</v>
      </c>
      <c r="T11" s="93" t="n">
        <v>0</v>
      </c>
      <c r="U11" s="93" t="n">
        <v>0</v>
      </c>
      <c r="V11" s="114" t="n">
        <v>0</v>
      </c>
      <c r="W11" s="93" t="n">
        <v>0</v>
      </c>
      <c r="X11" s="93" t="n">
        <v>0</v>
      </c>
      <c r="Y11" s="114" t="n">
        <v>0</v>
      </c>
      <c r="Z11" s="93" t="n">
        <v>0</v>
      </c>
      <c r="AA11" s="93" t="n">
        <v>0</v>
      </c>
      <c r="AB11" s="106" t="n">
        <v>0</v>
      </c>
      <c r="AC11" s="93" t="n">
        <v>0</v>
      </c>
      <c r="AD11" s="93" t="n">
        <v>0</v>
      </c>
      <c r="AE11" s="93" t="n">
        <v>0</v>
      </c>
      <c r="AF11" s="90" t="n">
        <f aca="false">AF10+1</f>
        <v>37038</v>
      </c>
      <c r="AG11" s="95"/>
      <c r="AH11" s="95"/>
      <c r="AI11" s="95"/>
      <c r="AJ11" s="95"/>
      <c r="AK11" s="95"/>
    </row>
    <row r="12" customFormat="false" ht="12.75" hidden="false" customHeight="false" outlineLevel="0" collapsed="false">
      <c r="A12" s="90" t="n">
        <f aca="false">A11+1</f>
        <v>37039</v>
      </c>
      <c r="B12" s="91" t="n">
        <v>0</v>
      </c>
      <c r="C12" s="93" t="n">
        <v>0</v>
      </c>
      <c r="D12" s="93" t="n">
        <v>0</v>
      </c>
      <c r="E12" s="93" t="n">
        <v>0</v>
      </c>
      <c r="F12" s="93" t="n">
        <v>0</v>
      </c>
      <c r="G12" s="106" t="n">
        <v>0</v>
      </c>
      <c r="H12" s="93" t="n">
        <v>1250</v>
      </c>
      <c r="I12" s="92" t="n">
        <v>7197</v>
      </c>
      <c r="J12" s="92" t="n">
        <v>0</v>
      </c>
      <c r="K12" s="104" t="n">
        <v>0</v>
      </c>
      <c r="L12" s="113" t="n">
        <v>0</v>
      </c>
      <c r="M12" s="113" t="n">
        <v>0</v>
      </c>
      <c r="N12" s="113" t="n">
        <v>0</v>
      </c>
      <c r="O12" s="113" t="n">
        <v>0</v>
      </c>
      <c r="P12" s="93" t="n">
        <v>0</v>
      </c>
      <c r="Q12" s="113" t="n">
        <v>0</v>
      </c>
      <c r="R12" s="93" t="n">
        <v>0</v>
      </c>
      <c r="S12" s="114" t="n">
        <v>0</v>
      </c>
      <c r="T12" s="93" t="n">
        <v>0</v>
      </c>
      <c r="U12" s="93" t="n">
        <v>0</v>
      </c>
      <c r="V12" s="114" t="n">
        <v>0</v>
      </c>
      <c r="W12" s="93" t="n">
        <v>0</v>
      </c>
      <c r="X12" s="93" t="n">
        <v>0</v>
      </c>
      <c r="Y12" s="114" t="n">
        <v>0</v>
      </c>
      <c r="Z12" s="93" t="n">
        <v>0</v>
      </c>
      <c r="AA12" s="93" t="n">
        <v>0</v>
      </c>
      <c r="AB12" s="106" t="n">
        <v>0</v>
      </c>
      <c r="AC12" s="93" t="n">
        <v>0</v>
      </c>
      <c r="AD12" s="93" t="n">
        <v>0</v>
      </c>
      <c r="AE12" s="93" t="n">
        <v>0</v>
      </c>
      <c r="AF12" s="90" t="n">
        <f aca="false">AF11+1</f>
        <v>37039</v>
      </c>
      <c r="AG12" s="95"/>
      <c r="AH12" s="95"/>
      <c r="AI12" s="95"/>
      <c r="AJ12" s="95"/>
      <c r="AK12" s="95"/>
    </row>
    <row r="13" customFormat="false" ht="12.75" hidden="false" customHeight="false" outlineLevel="0" collapsed="false">
      <c r="A13" s="95"/>
      <c r="B13" s="95"/>
      <c r="C13" s="93"/>
      <c r="D13" s="95"/>
      <c r="E13" s="93"/>
      <c r="F13" s="93"/>
      <c r="G13" s="95"/>
      <c r="H13" s="93"/>
      <c r="I13" s="95"/>
      <c r="J13" s="95"/>
      <c r="K13" s="95"/>
      <c r="L13" s="95" t="s">
        <v>1</v>
      </c>
      <c r="M13" s="95"/>
      <c r="N13" s="95"/>
      <c r="O13" s="29"/>
      <c r="P13" s="95"/>
      <c r="Q13" s="95"/>
      <c r="R13" s="95"/>
      <c r="S13" s="114"/>
      <c r="T13" s="95"/>
      <c r="U13" s="95"/>
      <c r="V13" s="115"/>
      <c r="W13" s="95"/>
      <c r="X13" s="95"/>
      <c r="Y13" s="95"/>
      <c r="Z13" s="95"/>
      <c r="AA13" s="95"/>
      <c r="AB13" s="95"/>
      <c r="AC13" s="95"/>
      <c r="AD13" s="95"/>
      <c r="AE13" s="95"/>
      <c r="AF13" s="95"/>
      <c r="AG13" s="95"/>
      <c r="AH13" s="95"/>
      <c r="AI13" s="95"/>
      <c r="AJ13" s="95"/>
      <c r="AK13" s="96"/>
    </row>
    <row r="14" customFormat="false" ht="12.75" hidden="false" customHeight="false" outlineLevel="0" collapsed="false">
      <c r="A14" s="95"/>
      <c r="B14" s="95"/>
      <c r="C14" s="95"/>
      <c r="D14" s="95"/>
      <c r="E14" s="95"/>
      <c r="F14" s="95"/>
      <c r="G14" s="95"/>
      <c r="H14" s="95"/>
      <c r="I14" s="95"/>
      <c r="J14" s="95"/>
      <c r="K14" s="95"/>
      <c r="L14" s="95"/>
      <c r="M14" s="95"/>
      <c r="N14" s="95"/>
      <c r="O14" s="29"/>
      <c r="P14" s="95"/>
      <c r="Q14" s="95"/>
      <c r="R14" s="95"/>
      <c r="S14" s="95"/>
      <c r="T14" s="95"/>
      <c r="U14" s="95"/>
      <c r="V14" s="95"/>
      <c r="W14" s="95"/>
      <c r="X14" s="95"/>
      <c r="Y14" s="95"/>
      <c r="Z14" s="95"/>
      <c r="AA14" s="95"/>
      <c r="AB14" s="95"/>
      <c r="AC14" s="95"/>
      <c r="AD14" s="95"/>
      <c r="AE14" s="95"/>
      <c r="AF14" s="95"/>
      <c r="AG14" s="95"/>
      <c r="AH14" s="95"/>
      <c r="AI14" s="95"/>
      <c r="AJ14" s="95"/>
      <c r="AK14" s="50"/>
    </row>
    <row r="15" customFormat="false" ht="12.75" hidden="false" customHeight="false" outlineLevel="0" collapsed="false">
      <c r="A15" s="29"/>
      <c r="B15" s="29"/>
      <c r="C15" s="29"/>
      <c r="D15" s="29"/>
      <c r="E15" s="29"/>
      <c r="F15" s="29"/>
      <c r="G15" s="29"/>
      <c r="H15" s="29"/>
      <c r="I15" s="29"/>
      <c r="J15" s="29"/>
      <c r="K15" s="29"/>
      <c r="L15" s="29"/>
      <c r="M15" s="29"/>
      <c r="N15" s="29"/>
      <c r="O15" s="29"/>
      <c r="P15" s="29"/>
      <c r="Q15" s="29"/>
      <c r="R15" s="29"/>
      <c r="S15" s="29"/>
      <c r="T15" s="29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</row>
    <row r="16" customFormat="false" ht="12.75" hidden="false" customHeight="false" outlineLevel="0" collapsed="false">
      <c r="A16" s="29"/>
      <c r="B16" s="29"/>
      <c r="C16" s="29"/>
      <c r="D16" s="29"/>
      <c r="E16" s="29"/>
      <c r="F16" s="29"/>
      <c r="G16" s="29"/>
      <c r="H16" s="29"/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116"/>
    </row>
    <row r="17" customFormat="false" ht="12.75" hidden="false" customHeight="false" outlineLevel="0" collapsed="false">
      <c r="A17" s="29"/>
      <c r="B17" s="29"/>
      <c r="C17" s="29"/>
      <c r="D17" s="29"/>
      <c r="E17" s="29"/>
      <c r="F17" s="29"/>
      <c r="G17" s="29"/>
      <c r="H17" s="29"/>
      <c r="I17" s="29"/>
      <c r="J17" s="29"/>
      <c r="K17" s="29"/>
      <c r="L17" s="29"/>
      <c r="M17" s="29"/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  <c r="AF17" s="29"/>
      <c r="AG17" s="29"/>
      <c r="AH17" s="29"/>
      <c r="AI17" s="29"/>
      <c r="AJ17" s="29"/>
      <c r="AK17" s="29"/>
    </row>
    <row r="18" customFormat="false" ht="12.75" hidden="false" customHeight="false" outlineLevel="0" collapsed="false">
      <c r="A18" s="29"/>
      <c r="B18" s="29"/>
      <c r="C18" s="29"/>
      <c r="D18" s="29"/>
      <c r="E18" s="29"/>
      <c r="F18" s="29"/>
      <c r="G18" s="29"/>
      <c r="H18" s="29"/>
      <c r="I18" s="29"/>
      <c r="J18" s="29"/>
      <c r="K18" s="29"/>
      <c r="L18" s="29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</row>
  </sheetData>
  <mergeCells count="6">
    <mergeCell ref="C3:F3"/>
    <mergeCell ref="G3:K3"/>
    <mergeCell ref="L3:R3"/>
    <mergeCell ref="S3:X3"/>
    <mergeCell ref="G4:H4"/>
    <mergeCell ref="S5:U5"/>
  </mergeCells>
  <printOptions headings="true" gridLines="true" gridLinesSet="true" horizontalCentered="false" verticalCentered="false"/>
  <pageMargins left="0" right="0" top="0.984027777777778" bottom="0.984027777777778" header="0.5" footer="0.5"/>
  <pageSetup paperSize="1" scale="125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R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76953125" defaultRowHeight="12.75" customHeight="true" zeroHeight="false" outlineLevelRow="0" outlineLevelCol="0"/>
  <cols>
    <col collapsed="false" customWidth="false" hidden="false" outlineLevel="0" max="257" min="1" style="29" width="8.77"/>
  </cols>
  <sheetData>
    <row r="1" customFormat="false" ht="12.75" hidden="false" customHeight="false" outlineLevel="0" collapsed="false">
      <c r="A1" s="98" t="s">
        <v>3</v>
      </c>
      <c r="B1" s="61"/>
      <c r="C1" s="29" t="s">
        <v>1</v>
      </c>
      <c r="P1" s="29" t="s">
        <v>1</v>
      </c>
    </row>
    <row r="3" customFormat="false" ht="12.75" hidden="false" customHeight="false" outlineLevel="0" collapsed="false">
      <c r="B3" s="116" t="s">
        <v>178</v>
      </c>
      <c r="C3" s="117" t="s">
        <v>200</v>
      </c>
      <c r="D3" s="117"/>
      <c r="E3" s="117"/>
      <c r="F3" s="117"/>
      <c r="G3" s="117"/>
      <c r="H3" s="71" t="s">
        <v>163</v>
      </c>
      <c r="I3" s="71"/>
      <c r="J3" s="71"/>
      <c r="K3" s="71"/>
      <c r="L3" s="71"/>
      <c r="M3" s="71"/>
      <c r="N3" s="71"/>
      <c r="O3" s="69" t="s">
        <v>201</v>
      </c>
      <c r="P3" s="69"/>
      <c r="Q3" s="69"/>
      <c r="R3" s="69"/>
      <c r="S3" s="69"/>
      <c r="T3" s="69"/>
      <c r="U3" s="69"/>
    </row>
    <row r="4" customFormat="false" ht="12.75" hidden="false" customHeight="false" outlineLevel="0" collapsed="false">
      <c r="B4" s="116" t="s">
        <v>202</v>
      </c>
      <c r="C4" s="37"/>
      <c r="D4" s="36"/>
      <c r="E4" s="36"/>
      <c r="F4" s="76"/>
      <c r="G4" s="76" t="s">
        <v>184</v>
      </c>
      <c r="H4" s="37"/>
      <c r="M4" s="73"/>
      <c r="N4" s="74"/>
      <c r="P4" s="36" t="s">
        <v>203</v>
      </c>
      <c r="Q4" s="36"/>
      <c r="U4" s="73"/>
    </row>
    <row r="5" customFormat="false" ht="12.75" hidden="false" customHeight="false" outlineLevel="0" collapsed="false">
      <c r="C5" s="37" t="s">
        <v>43</v>
      </c>
      <c r="D5" s="36" t="s">
        <v>204</v>
      </c>
      <c r="E5" s="36" t="s">
        <v>85</v>
      </c>
      <c r="F5" s="76" t="s">
        <v>43</v>
      </c>
      <c r="G5" s="118" t="n">
        <v>0.05</v>
      </c>
      <c r="H5" s="37" t="s">
        <v>63</v>
      </c>
      <c r="I5" s="36" t="s">
        <v>43</v>
      </c>
      <c r="J5" s="36" t="s">
        <v>43</v>
      </c>
      <c r="K5" s="36" t="s">
        <v>43</v>
      </c>
      <c r="L5" s="36" t="s">
        <v>85</v>
      </c>
      <c r="M5" s="79" t="s">
        <v>85</v>
      </c>
      <c r="N5" s="36" t="s">
        <v>138</v>
      </c>
      <c r="O5" s="36"/>
      <c r="P5" s="36" t="s">
        <v>205</v>
      </c>
      <c r="Q5" s="36" t="s">
        <v>205</v>
      </c>
      <c r="R5" s="36" t="s">
        <v>43</v>
      </c>
      <c r="S5" s="29" t="s">
        <v>206</v>
      </c>
      <c r="U5" s="79"/>
    </row>
    <row r="6" customFormat="false" ht="12.75" hidden="false" customHeight="false" outlineLevel="0" collapsed="false">
      <c r="B6" s="81" t="s">
        <v>83</v>
      </c>
      <c r="C6" s="101" t="s">
        <v>186</v>
      </c>
      <c r="D6" s="81" t="s">
        <v>207</v>
      </c>
      <c r="E6" s="81" t="s">
        <v>153</v>
      </c>
      <c r="F6" s="81" t="s">
        <v>172</v>
      </c>
      <c r="G6" s="81" t="s">
        <v>189</v>
      </c>
      <c r="H6" s="101" t="s">
        <v>74</v>
      </c>
      <c r="I6" s="81" t="s">
        <v>194</v>
      </c>
      <c r="J6" s="81" t="s">
        <v>156</v>
      </c>
      <c r="K6" s="81" t="s">
        <v>195</v>
      </c>
      <c r="L6" s="81" t="s">
        <v>208</v>
      </c>
      <c r="M6" s="84" t="s">
        <v>209</v>
      </c>
      <c r="N6" s="81" t="s">
        <v>210</v>
      </c>
      <c r="O6" s="81" t="s">
        <v>137</v>
      </c>
      <c r="P6" s="81" t="s">
        <v>211</v>
      </c>
      <c r="Q6" s="81" t="s">
        <v>212</v>
      </c>
      <c r="R6" s="81" t="s">
        <v>205</v>
      </c>
      <c r="S6" s="88" t="s">
        <v>43</v>
      </c>
      <c r="T6" s="81" t="s">
        <v>138</v>
      </c>
      <c r="U6" s="84" t="s">
        <v>75</v>
      </c>
    </row>
    <row r="7" customFormat="false" ht="12.75" hidden="false" customHeight="false" outlineLevel="0" collapsed="false">
      <c r="A7" s="90" t="n">
        <f aca="false">Weather_Input!A5</f>
        <v>37034</v>
      </c>
      <c r="B7" s="50" t="n">
        <v>0</v>
      </c>
      <c r="C7" s="104" t="n">
        <v>0</v>
      </c>
      <c r="D7" s="50" t="n">
        <v>0</v>
      </c>
      <c r="E7" s="50" t="n">
        <v>1500</v>
      </c>
      <c r="F7" s="50" t="n">
        <v>2700</v>
      </c>
      <c r="G7" s="50" t="n">
        <f aca="false">(R7+S7+C7+PGL_Requirements!Y7+PGL_Requirements!Z7-NSG_Requirements!C7)*0.05</f>
        <v>2882.3</v>
      </c>
      <c r="H7" s="104" t="n">
        <v>0</v>
      </c>
      <c r="I7" s="50" t="n">
        <v>0</v>
      </c>
      <c r="J7" s="50" t="n">
        <v>0</v>
      </c>
      <c r="K7" s="50" t="n">
        <v>0</v>
      </c>
      <c r="L7" s="50" t="n">
        <v>0</v>
      </c>
      <c r="M7" s="50" t="n">
        <v>0</v>
      </c>
      <c r="N7" s="104" t="n">
        <v>0</v>
      </c>
      <c r="O7" s="92" t="n">
        <v>0</v>
      </c>
      <c r="P7" s="50" t="n">
        <v>0</v>
      </c>
      <c r="Q7" s="50" t="n">
        <v>20000</v>
      </c>
      <c r="R7" s="50" t="n">
        <v>38798</v>
      </c>
      <c r="S7" s="50" t="n">
        <v>18848</v>
      </c>
      <c r="T7" s="50" t="n">
        <v>0</v>
      </c>
      <c r="U7" s="50" t="n">
        <v>0</v>
      </c>
      <c r="V7" s="90" t="n">
        <f aca="false">Weather_Input!A5</f>
        <v>37034</v>
      </c>
      <c r="W7" s="95"/>
      <c r="X7" s="95"/>
    </row>
    <row r="8" customFormat="false" ht="12.75" hidden="false" customHeight="false" outlineLevel="0" collapsed="false">
      <c r="A8" s="90" t="n">
        <f aca="false">A7+1</f>
        <v>37035</v>
      </c>
      <c r="B8" s="50" t="n">
        <v>0</v>
      </c>
      <c r="C8" s="104" t="n">
        <v>0</v>
      </c>
      <c r="D8" s="50" t="n">
        <v>0</v>
      </c>
      <c r="E8" s="50" t="n">
        <v>0</v>
      </c>
      <c r="F8" s="50" t="n">
        <v>0</v>
      </c>
      <c r="G8" s="50" t="n">
        <f aca="false">(R8+S8+C8+PGL_Requirements!Y8+PGL_Requirements!Z8-NSG_Requirements!C8)*0.05</f>
        <v>2879.8</v>
      </c>
      <c r="H8" s="104" t="n">
        <v>0</v>
      </c>
      <c r="I8" s="50" t="n">
        <v>0</v>
      </c>
      <c r="J8" s="50" t="n">
        <v>0</v>
      </c>
      <c r="K8" s="50" t="n">
        <v>0</v>
      </c>
      <c r="L8" s="50" t="n">
        <v>0</v>
      </c>
      <c r="M8" s="50" t="n">
        <v>0</v>
      </c>
      <c r="N8" s="104" t="n">
        <v>0</v>
      </c>
      <c r="O8" s="92" t="n">
        <v>0</v>
      </c>
      <c r="P8" s="50" t="n">
        <v>0</v>
      </c>
      <c r="Q8" s="50" t="n">
        <v>20000</v>
      </c>
      <c r="R8" s="50" t="n">
        <v>38748</v>
      </c>
      <c r="S8" s="50" t="n">
        <v>18848</v>
      </c>
      <c r="T8" s="50" t="n">
        <v>0</v>
      </c>
      <c r="U8" s="50" t="n">
        <v>0</v>
      </c>
      <c r="V8" s="90" t="n">
        <f aca="false">V7+1</f>
        <v>37035</v>
      </c>
      <c r="W8" s="95"/>
      <c r="X8" s="95"/>
    </row>
    <row r="9" customFormat="false" ht="12.75" hidden="false" customHeight="false" outlineLevel="0" collapsed="false">
      <c r="A9" s="90" t="n">
        <f aca="false">A8+1</f>
        <v>37036</v>
      </c>
      <c r="B9" s="50" t="n">
        <v>0</v>
      </c>
      <c r="C9" s="104" t="n">
        <v>0</v>
      </c>
      <c r="D9" s="50" t="n">
        <v>0</v>
      </c>
      <c r="E9" s="50" t="n">
        <v>0</v>
      </c>
      <c r="F9" s="50" t="n">
        <v>0</v>
      </c>
      <c r="G9" s="50" t="n">
        <f aca="false">(R9+S9+C9+PGL_Requirements!Y9+PGL_Requirements!Z9-NSG_Requirements!C9)*0.05</f>
        <v>2879.8</v>
      </c>
      <c r="H9" s="104" t="n">
        <v>0</v>
      </c>
      <c r="I9" s="50" t="n">
        <v>0</v>
      </c>
      <c r="J9" s="50" t="n">
        <v>0</v>
      </c>
      <c r="K9" s="50" t="n">
        <v>0</v>
      </c>
      <c r="L9" s="50" t="n">
        <v>0</v>
      </c>
      <c r="M9" s="50" t="n">
        <v>0</v>
      </c>
      <c r="N9" s="104" t="n">
        <v>0</v>
      </c>
      <c r="O9" s="92" t="n">
        <v>0</v>
      </c>
      <c r="P9" s="50" t="n">
        <v>0</v>
      </c>
      <c r="Q9" s="50" t="n">
        <v>20000</v>
      </c>
      <c r="R9" s="50" t="n">
        <v>38748</v>
      </c>
      <c r="S9" s="50" t="n">
        <v>18848</v>
      </c>
      <c r="T9" s="50" t="n">
        <v>0</v>
      </c>
      <c r="U9" s="50" t="n">
        <v>0</v>
      </c>
      <c r="V9" s="90" t="n">
        <f aca="false">V8+1</f>
        <v>37036</v>
      </c>
      <c r="W9" s="95"/>
      <c r="X9" s="95"/>
    </row>
    <row r="10" customFormat="false" ht="12.75" hidden="false" customHeight="false" outlineLevel="0" collapsed="false">
      <c r="A10" s="90" t="n">
        <f aca="false">A9+1</f>
        <v>37037</v>
      </c>
      <c r="B10" s="50" t="n">
        <v>0</v>
      </c>
      <c r="C10" s="104" t="n">
        <v>0</v>
      </c>
      <c r="D10" s="50" t="n">
        <v>0</v>
      </c>
      <c r="E10" s="50" t="n">
        <v>0</v>
      </c>
      <c r="F10" s="50" t="n">
        <v>0</v>
      </c>
      <c r="G10" s="50" t="n">
        <f aca="false">(R10+S10+C10+PGL_Requirements!Y10+PGL_Requirements!Z10-NSG_Requirements!C10)*0.05</f>
        <v>2879.8</v>
      </c>
      <c r="H10" s="104" t="n">
        <v>0</v>
      </c>
      <c r="I10" s="50" t="n">
        <v>0</v>
      </c>
      <c r="J10" s="50" t="n">
        <v>0</v>
      </c>
      <c r="K10" s="50" t="n">
        <v>0</v>
      </c>
      <c r="L10" s="50" t="n">
        <v>0</v>
      </c>
      <c r="M10" s="50" t="n">
        <v>0</v>
      </c>
      <c r="N10" s="104" t="n">
        <v>0</v>
      </c>
      <c r="O10" s="92" t="n">
        <v>0</v>
      </c>
      <c r="P10" s="50" t="n">
        <v>0</v>
      </c>
      <c r="Q10" s="50" t="n">
        <v>20000</v>
      </c>
      <c r="R10" s="50" t="n">
        <v>38748</v>
      </c>
      <c r="S10" s="50" t="n">
        <v>18848</v>
      </c>
      <c r="T10" s="50" t="n">
        <v>0</v>
      </c>
      <c r="U10" s="50" t="n">
        <v>0</v>
      </c>
      <c r="V10" s="90" t="n">
        <f aca="false">V9+1</f>
        <v>37037</v>
      </c>
      <c r="W10" s="95"/>
      <c r="X10" s="95"/>
    </row>
    <row r="11" customFormat="false" ht="12.75" hidden="false" customHeight="false" outlineLevel="0" collapsed="false">
      <c r="A11" s="90" t="n">
        <f aca="false">A10+1</f>
        <v>37038</v>
      </c>
      <c r="B11" s="50" t="n">
        <v>0</v>
      </c>
      <c r="C11" s="104" t="n">
        <v>0</v>
      </c>
      <c r="D11" s="50" t="n">
        <v>0</v>
      </c>
      <c r="E11" s="50" t="n">
        <v>0</v>
      </c>
      <c r="F11" s="50" t="n">
        <v>0</v>
      </c>
      <c r="G11" s="50" t="n">
        <f aca="false">(R11+S11+C11+PGL_Requirements!Y11+PGL_Requirements!Z11-NSG_Requirements!C11)*0.05</f>
        <v>2879.8</v>
      </c>
      <c r="H11" s="104" t="n">
        <v>0</v>
      </c>
      <c r="I11" s="50" t="n">
        <v>0</v>
      </c>
      <c r="J11" s="50" t="n">
        <v>0</v>
      </c>
      <c r="K11" s="50" t="n">
        <v>0</v>
      </c>
      <c r="L11" s="50" t="n">
        <v>0</v>
      </c>
      <c r="M11" s="50" t="n">
        <v>0</v>
      </c>
      <c r="N11" s="104" t="n">
        <v>0</v>
      </c>
      <c r="O11" s="92" t="n">
        <v>0</v>
      </c>
      <c r="P11" s="50" t="n">
        <v>0</v>
      </c>
      <c r="Q11" s="50" t="n">
        <v>20000</v>
      </c>
      <c r="R11" s="50" t="n">
        <v>38748</v>
      </c>
      <c r="S11" s="50" t="n">
        <v>18848</v>
      </c>
      <c r="T11" s="50" t="n">
        <v>0</v>
      </c>
      <c r="U11" s="50" t="n">
        <v>0</v>
      </c>
      <c r="V11" s="90" t="n">
        <f aca="false">V10+1</f>
        <v>37038</v>
      </c>
      <c r="W11" s="95"/>
      <c r="X11" s="95"/>
    </row>
    <row r="12" customFormat="false" ht="12.75" hidden="false" customHeight="false" outlineLevel="0" collapsed="false">
      <c r="A12" s="90" t="n">
        <f aca="false">A11+1</f>
        <v>37039</v>
      </c>
      <c r="B12" s="50" t="n">
        <v>0</v>
      </c>
      <c r="C12" s="104" t="n">
        <v>0</v>
      </c>
      <c r="D12" s="50" t="n">
        <v>0</v>
      </c>
      <c r="E12" s="50" t="n">
        <v>0</v>
      </c>
      <c r="F12" s="50" t="n">
        <v>0</v>
      </c>
      <c r="G12" s="50" t="n">
        <f aca="false">(R12+S12+C12+PGL_Requirements!Y12+PGL_Requirements!Z12-NSG_Requirements!C12)*0.05</f>
        <v>2879.8</v>
      </c>
      <c r="H12" s="104" t="n">
        <v>0</v>
      </c>
      <c r="I12" s="50" t="n">
        <v>0</v>
      </c>
      <c r="J12" s="50" t="n">
        <v>0</v>
      </c>
      <c r="K12" s="50" t="n">
        <v>0</v>
      </c>
      <c r="L12" s="50" t="n">
        <v>0</v>
      </c>
      <c r="M12" s="50" t="n">
        <v>0</v>
      </c>
      <c r="N12" s="104" t="n">
        <v>0</v>
      </c>
      <c r="O12" s="92" t="n">
        <v>0</v>
      </c>
      <c r="P12" s="50" t="n">
        <v>0</v>
      </c>
      <c r="Q12" s="50" t="n">
        <v>20000</v>
      </c>
      <c r="R12" s="50" t="n">
        <v>38748</v>
      </c>
      <c r="S12" s="50" t="n">
        <v>18848</v>
      </c>
      <c r="T12" s="50" t="n">
        <v>0</v>
      </c>
      <c r="U12" s="50" t="n">
        <v>0</v>
      </c>
      <c r="V12" s="90" t="n">
        <f aca="false">V11+1</f>
        <v>37039</v>
      </c>
      <c r="W12" s="95"/>
      <c r="X12" s="95"/>
    </row>
    <row r="13" customFormat="false" ht="12.75" hidden="false" customHeight="false" outlineLevel="0" collapsed="false">
      <c r="A13" s="95"/>
      <c r="B13" s="95"/>
      <c r="C13" s="95"/>
      <c r="D13" s="95"/>
      <c r="E13" s="95"/>
      <c r="F13" s="95"/>
      <c r="G13" s="95"/>
      <c r="H13" s="95"/>
      <c r="I13" s="95"/>
      <c r="J13" s="95"/>
      <c r="K13" s="95"/>
      <c r="L13" s="95"/>
      <c r="M13" s="50"/>
      <c r="N13" s="104"/>
      <c r="O13" s="95"/>
      <c r="P13" s="95"/>
      <c r="Q13" s="95"/>
      <c r="R13" s="50"/>
      <c r="S13" s="50"/>
      <c r="T13" s="50"/>
      <c r="U13" s="95"/>
      <c r="V13" s="95"/>
      <c r="W13" s="95"/>
      <c r="X13" s="95"/>
    </row>
    <row r="14" customFormat="false" ht="12.75" hidden="false" customHeight="false" outlineLevel="0" collapsed="false">
      <c r="A14" s="95"/>
      <c r="B14" s="95"/>
      <c r="C14" s="95"/>
      <c r="D14" s="95" t="s">
        <v>1</v>
      </c>
      <c r="E14" s="95"/>
      <c r="F14" s="95"/>
      <c r="G14" s="95"/>
      <c r="H14" s="95"/>
      <c r="I14" s="95"/>
      <c r="J14" s="95"/>
      <c r="K14" s="95"/>
      <c r="L14" s="95"/>
      <c r="M14" s="95"/>
      <c r="N14" s="95"/>
      <c r="O14" s="95"/>
      <c r="P14" s="95"/>
      <c r="Q14" s="95"/>
      <c r="R14" s="50" t="s">
        <v>1</v>
      </c>
      <c r="S14" s="95"/>
      <c r="T14" s="95"/>
      <c r="U14" s="95"/>
      <c r="V14" s="95"/>
      <c r="W14" s="95"/>
      <c r="X14" s="95"/>
    </row>
    <row r="15" customFormat="false" ht="12.75" hidden="false" customHeight="false" outlineLevel="0" collapsed="false">
      <c r="A15" s="95"/>
      <c r="B15" s="95"/>
      <c r="C15" s="95"/>
      <c r="D15" s="95"/>
      <c r="E15" s="95"/>
      <c r="F15" s="95"/>
      <c r="G15" s="95"/>
      <c r="H15" s="95"/>
      <c r="I15" s="95"/>
      <c r="J15" s="95"/>
      <c r="K15" s="95"/>
      <c r="L15" s="95"/>
      <c r="M15" s="95"/>
      <c r="N15" s="95"/>
      <c r="O15" s="95"/>
      <c r="P15" s="95"/>
      <c r="Q15" s="95"/>
      <c r="R15" s="50" t="s">
        <v>1</v>
      </c>
      <c r="S15" s="95"/>
      <c r="T15" s="95" t="s">
        <v>1</v>
      </c>
      <c r="U15" s="95"/>
      <c r="V15" s="95"/>
      <c r="W15" s="95"/>
      <c r="X15" s="95"/>
    </row>
    <row r="16" customFormat="false" ht="12.75" hidden="false" customHeight="false" outlineLevel="0" collapsed="false">
      <c r="R16" s="19" t="s">
        <v>1</v>
      </c>
    </row>
    <row r="17" customFormat="false" ht="12.75" hidden="false" customHeight="false" outlineLevel="0" collapsed="false">
      <c r="R17" s="19" t="s">
        <v>1</v>
      </c>
      <c r="S17" s="19" t="s">
        <v>1</v>
      </c>
      <c r="T17" s="19"/>
      <c r="U17" s="29" t="s">
        <v>213</v>
      </c>
    </row>
    <row r="18" customFormat="false" ht="15" hidden="false" customHeight="false" outlineLevel="0" collapsed="false">
      <c r="K18" s="0"/>
      <c r="L18" s="0"/>
      <c r="R18" s="19" t="s">
        <v>1</v>
      </c>
      <c r="V18" s="19" t="s">
        <v>1</v>
      </c>
    </row>
    <row r="19" customFormat="false" ht="15" hidden="false" customHeight="false" outlineLevel="0" collapsed="false">
      <c r="K19" s="0"/>
      <c r="L19" s="0"/>
      <c r="M19" s="0"/>
      <c r="N19" s="0"/>
      <c r="O19" s="0"/>
      <c r="P19" s="0"/>
      <c r="Q19" s="0"/>
      <c r="R19" s="0"/>
      <c r="S19" s="0"/>
      <c r="T19" s="0"/>
      <c r="U19" s="0"/>
      <c r="V19" s="0"/>
    </row>
    <row r="20" customFormat="false" ht="15" hidden="false" customHeight="false" outlineLevel="0" collapsed="false">
      <c r="C20" s="0"/>
      <c r="K20" s="0"/>
      <c r="L20" s="0"/>
      <c r="M20" s="0"/>
      <c r="N20" s="0"/>
      <c r="CR20" s="95"/>
    </row>
    <row r="21" customFormat="false" ht="15" hidden="false" customHeight="false" outlineLevel="0" collapsed="false">
      <c r="C21" s="0"/>
      <c r="K21" s="0"/>
      <c r="L21" s="0"/>
      <c r="M21" s="0"/>
      <c r="N21" s="0"/>
    </row>
    <row r="22" customFormat="false" ht="15" hidden="false" customHeight="false" outlineLevel="0" collapsed="false">
      <c r="C22" s="0"/>
      <c r="K22" s="0"/>
      <c r="L22" s="0"/>
      <c r="M22" s="0"/>
      <c r="N22" s="0"/>
    </row>
    <row r="23" customFormat="false" ht="15" hidden="false" customHeight="false" outlineLevel="0" collapsed="false">
      <c r="C23" s="0"/>
      <c r="D23" s="0"/>
      <c r="E23" s="0"/>
      <c r="F23" s="0"/>
      <c r="G23" s="0"/>
      <c r="H23" s="0"/>
      <c r="I23" s="0"/>
      <c r="J23" s="0"/>
      <c r="K23" s="0"/>
      <c r="L23" s="0"/>
      <c r="M23" s="0"/>
      <c r="N23" s="0"/>
    </row>
    <row r="24" customFormat="false" ht="15" hidden="false" customHeight="false" outlineLevel="0" collapsed="false">
      <c r="C24" s="0"/>
      <c r="D24" s="0"/>
      <c r="E24" s="0"/>
      <c r="F24" s="0"/>
      <c r="G24" s="0"/>
      <c r="H24" s="0"/>
      <c r="I24" s="0"/>
      <c r="J24" s="0"/>
      <c r="K24" s="0"/>
      <c r="L24" s="0"/>
      <c r="M24" s="0"/>
      <c r="N24" s="0"/>
    </row>
    <row r="25" customFormat="false" ht="15" hidden="false" customHeight="false" outlineLevel="0" collapsed="false">
      <c r="C25" s="0"/>
      <c r="D25" s="0"/>
      <c r="E25" s="0"/>
      <c r="F25" s="0"/>
      <c r="G25" s="0"/>
      <c r="H25" s="0"/>
      <c r="I25" s="0"/>
      <c r="J25" s="0"/>
      <c r="K25" s="0"/>
      <c r="L25" s="0"/>
      <c r="M25" s="0"/>
      <c r="N25" s="0"/>
      <c r="O25" s="0"/>
      <c r="P25" s="0"/>
      <c r="Q25" s="0"/>
      <c r="R25" s="0"/>
      <c r="S25" s="0"/>
      <c r="T25" s="0"/>
      <c r="U25" s="0"/>
    </row>
    <row r="26" customFormat="false" ht="15" hidden="false" customHeight="false" outlineLevel="0" collapsed="false">
      <c r="C26" s="0"/>
      <c r="D26" s="0"/>
      <c r="E26" s="0"/>
      <c r="F26" s="0"/>
      <c r="H26" s="0"/>
      <c r="L26" s="0"/>
    </row>
    <row r="27" customFormat="false" ht="15" hidden="false" customHeight="false" outlineLevel="0" collapsed="false">
      <c r="C27" s="0"/>
      <c r="D27" s="0"/>
      <c r="E27" s="0"/>
      <c r="F27" s="0"/>
      <c r="H27" s="0"/>
      <c r="L27" s="0"/>
    </row>
    <row r="28" customFormat="false" ht="15" hidden="false" customHeight="false" outlineLevel="0" collapsed="false">
      <c r="C28" s="0"/>
      <c r="D28" s="0"/>
      <c r="E28" s="0"/>
      <c r="F28" s="0"/>
      <c r="H28" s="0"/>
      <c r="L28" s="0"/>
    </row>
    <row r="29" customFormat="false" ht="15" hidden="false" customHeight="false" outlineLevel="0" collapsed="false">
      <c r="C29" s="0"/>
      <c r="D29" s="0"/>
      <c r="E29" s="0"/>
      <c r="H29" s="0"/>
      <c r="L29" s="0"/>
    </row>
    <row r="30" customFormat="false" ht="15" hidden="false" customHeight="false" outlineLevel="0" collapsed="false">
      <c r="C30" s="0"/>
      <c r="H30" s="0"/>
      <c r="L30" s="0"/>
    </row>
  </sheetData>
  <mergeCells count="3">
    <mergeCell ref="C3:G3"/>
    <mergeCell ref="H3:N3"/>
    <mergeCell ref="O3:U3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V67"/>
  <sheetViews>
    <sheetView showFormulas="false" showGridLines="true" showRowColHeaders="true" showZeros="true" rightToLeft="false" tabSelected="false" showOutlineSymbols="true" defaultGridColor="true" view="normal" topLeftCell="A55" colorId="64" zoomScale="75" zoomScaleNormal="75" zoomScalePageLayoutView="100" workbookViewId="0">
      <selection pane="topLeft" activeCell="A55" activeCellId="0" sqref="A55"/>
    </sheetView>
  </sheetViews>
  <sheetFormatPr defaultColWidth="9.76953125" defaultRowHeight="15" customHeight="true" zeroHeight="false" outlineLevelRow="0" outlineLevelCol="0"/>
  <cols>
    <col collapsed="false" customWidth="true" hidden="false" outlineLevel="0" max="1" min="1" style="119" width="28.99"/>
    <col collapsed="false" customWidth="true" hidden="false" outlineLevel="0" max="2" min="2" style="119" width="11.99"/>
    <col collapsed="false" customWidth="true" hidden="false" outlineLevel="0" max="3" min="3" style="119" width="15.21"/>
    <col collapsed="false" customWidth="true" hidden="false" outlineLevel="0" max="8" min="4" style="119" width="8.65"/>
    <col collapsed="false" customWidth="true" hidden="false" outlineLevel="0" max="9" min="9" style="119" width="8.55"/>
    <col collapsed="false" customWidth="true" hidden="false" outlineLevel="0" max="10" min="10" style="119" width="20.32"/>
    <col collapsed="false" customWidth="true" hidden="false" outlineLevel="0" max="11" min="11" style="119" width="16.55"/>
    <col collapsed="false" customWidth="false" hidden="false" outlineLevel="0" max="12" min="12" style="119" width="9.77"/>
    <col collapsed="false" customWidth="true" hidden="false" outlineLevel="0" max="13" min="13" style="119" width="13.77"/>
    <col collapsed="false" customWidth="false" hidden="false" outlineLevel="0" max="257" min="14" style="119" width="9.77"/>
  </cols>
  <sheetData>
    <row r="1" customFormat="false" ht="16.5" hidden="false" customHeight="false" outlineLevel="0" collapsed="false">
      <c r="A1" s="120" t="s">
        <v>214</v>
      </c>
      <c r="B1" s="121"/>
      <c r="C1" s="122"/>
      <c r="D1" s="121"/>
      <c r="E1" s="121"/>
      <c r="F1" s="121" t="s">
        <v>1</v>
      </c>
      <c r="G1" s="121" t="s">
        <v>215</v>
      </c>
      <c r="H1" s="123" t="str">
        <f aca="false">D3</f>
        <v>WED</v>
      </c>
      <c r="I1" s="124" t="n">
        <f aca="false">D4</f>
        <v>37034</v>
      </c>
    </row>
    <row r="2" customFormat="false" ht="15.75" hidden="false" customHeight="false" outlineLevel="0" collapsed="false">
      <c r="A2" s="125" t="s">
        <v>216</v>
      </c>
      <c r="B2" s="126"/>
      <c r="C2" s="126"/>
      <c r="D2" s="126"/>
      <c r="E2" s="126"/>
      <c r="F2" s="126"/>
      <c r="G2" s="126"/>
      <c r="H2" s="126"/>
      <c r="I2" s="127"/>
    </row>
    <row r="3" customFormat="false" ht="16.5" hidden="false" customHeight="false" outlineLevel="0" collapsed="false">
      <c r="A3" s="128"/>
      <c r="B3" s="126"/>
      <c r="C3" s="126"/>
      <c r="D3" s="129" t="str">
        <f aca="false">CHOOSE(WEEKDAY(D4),"SUN","MON","TUE","WED","THU","FRI","SAT")</f>
        <v>WED</v>
      </c>
      <c r="E3" s="129" t="str">
        <f aca="false">CHOOSE(WEEKDAY(E4),"SUN","MON","TUE","WED","THU","FRI","SAT")</f>
        <v>THU</v>
      </c>
      <c r="F3" s="129" t="str">
        <f aca="false">CHOOSE(WEEKDAY(F4),"SUN","MON","TUE","WED","THU","FRI","SAT")</f>
        <v>FRI</v>
      </c>
      <c r="G3" s="129" t="str">
        <f aca="false">CHOOSE(WEEKDAY(G4),"SUN","MON","TUE","WED","THU","FRI","SAT")</f>
        <v>SAT</v>
      </c>
      <c r="H3" s="129" t="str">
        <f aca="false">CHOOSE(WEEKDAY(H4),"SUN","MON","TUE","WED","THU","FRI","SAT")</f>
        <v>SUN</v>
      </c>
      <c r="I3" s="130" t="str">
        <f aca="false">CHOOSE(WEEKDAY(I4),"SUN","MON","TUE","WED","THU","FRI","SAT")</f>
        <v>MON</v>
      </c>
    </row>
    <row r="4" customFormat="false" ht="15.75" hidden="false" customHeight="false" outlineLevel="0" collapsed="false">
      <c r="A4" s="131"/>
      <c r="B4" s="132"/>
      <c r="C4" s="132"/>
      <c r="D4" s="133" t="n">
        <f aca="false">Weather_Input!A5</f>
        <v>37034</v>
      </c>
      <c r="E4" s="133" t="n">
        <f aca="false">Weather_Input!A6</f>
        <v>37035</v>
      </c>
      <c r="F4" s="133" t="n">
        <f aca="false">Weather_Input!A7</f>
        <v>37036</v>
      </c>
      <c r="G4" s="133" t="n">
        <f aca="false">Weather_Input!A8</f>
        <v>37037</v>
      </c>
      <c r="H4" s="133" t="n">
        <f aca="false">Weather_Input!A9</f>
        <v>37038</v>
      </c>
      <c r="I4" s="134" t="n">
        <f aca="false">Weather_Input!A10</f>
        <v>37039</v>
      </c>
    </row>
    <row r="5" customFormat="false" ht="16.5" hidden="false" customHeight="true" outlineLevel="0" collapsed="false">
      <c r="A5" s="135" t="s">
        <v>217</v>
      </c>
      <c r="B5" s="126"/>
      <c r="C5" s="126" t="s">
        <v>218</v>
      </c>
      <c r="D5" s="136" t="str">
        <f aca="false">TEXT(Weather_Input!B5,"0")&amp;"/"&amp;TEXT(Weather_Input!C5,"0")&amp;"/"&amp;TEXT((Weather_Input!B5+Weather_Input!C5)/2,"0")</f>
        <v>62/44/53</v>
      </c>
      <c r="E5" s="136" t="str">
        <f aca="false">TEXT(Weather_Input!B6,"0")&amp;"/"&amp;TEXT(Weather_Input!C6,"0")&amp;"/"&amp;TEXT((Weather_Input!B6+Weather_Input!C6)/2,"0")</f>
        <v>59/44/52</v>
      </c>
      <c r="F5" s="136" t="str">
        <f aca="false">TEXT(Weather_Input!B7,"0")&amp;"/"&amp;TEXT(Weather_Input!C7,"0")&amp;"/"&amp;TEXT((Weather_Input!B7+Weather_Input!C7)/2,"0")</f>
        <v>60/44/52</v>
      </c>
      <c r="G5" s="136" t="str">
        <f aca="false">TEXT(Weather_Input!B8,"0")&amp;"/"&amp;TEXT(Weather_Input!C8,"0")&amp;"/"&amp;TEXT((Weather_Input!B8+Weather_Input!C8)/2,"0")</f>
        <v>62/45/54</v>
      </c>
      <c r="H5" s="136" t="str">
        <f aca="false">TEXT(Weather_Input!B9,"0")&amp;"/"&amp;TEXT(Weather_Input!C9,"0")&amp;"/"&amp;TEXT((Weather_Input!B9+Weather_Input!C9)/2,"0")</f>
        <v>65/48/57</v>
      </c>
      <c r="I5" s="137" t="str">
        <f aca="false">TEXT(Weather_Input!B10,"0")&amp;"/"&amp;TEXT(Weather_Input!C10,"0")&amp;"/"&amp;TEXT((Weather_Input!B10+Weather_Input!C10)/2,"0")</f>
        <v>65/48/57</v>
      </c>
    </row>
    <row r="6" customFormat="false" ht="15.75" hidden="false" customHeight="false" outlineLevel="0" collapsed="false">
      <c r="A6" s="138" t="s">
        <v>219</v>
      </c>
      <c r="B6" s="126"/>
      <c r="C6" s="126"/>
      <c r="D6" s="136" t="n">
        <f aca="false">PGL_Deliveries!C5/1000</f>
        <v>317</v>
      </c>
      <c r="E6" s="136" t="n">
        <f aca="false">PGL_Deliveries!C6/1000</f>
        <v>310</v>
      </c>
      <c r="F6" s="136" t="n">
        <f aca="false">PGL_Deliveries!C7/1000</f>
        <v>290</v>
      </c>
      <c r="G6" s="136" t="n">
        <f aca="false">PGL_Deliveries!C8/1000</f>
        <v>260</v>
      </c>
      <c r="H6" s="136" t="n">
        <f aca="false">PGL_Deliveries!C9/1000</f>
        <v>270</v>
      </c>
      <c r="I6" s="137" t="n">
        <f aca="false">PGL_Deliveries!C10/1000</f>
        <v>275</v>
      </c>
    </row>
    <row r="7" customFormat="false" ht="15.75" hidden="false" customHeight="false" outlineLevel="0" collapsed="false">
      <c r="A7" s="138" t="s">
        <v>220</v>
      </c>
      <c r="B7" s="126" t="s">
        <v>138</v>
      </c>
      <c r="C7" s="126"/>
      <c r="D7" s="136" t="n">
        <f aca="false">PGL_Requirements!H7/1000</f>
        <v>3.4</v>
      </c>
      <c r="E7" s="136" t="n">
        <f aca="false">PGL_Requirements!H8/1000</f>
        <v>20</v>
      </c>
      <c r="F7" s="136" t="n">
        <f aca="false">PGL_Requirements!H9/1000</f>
        <v>0</v>
      </c>
      <c r="G7" s="136" t="n">
        <f aca="false">PGL_Requirements!H10/1000</f>
        <v>0</v>
      </c>
      <c r="H7" s="136" t="n">
        <f aca="false">PGL_Requirements!H11/1000</f>
        <v>0</v>
      </c>
      <c r="I7" s="137" t="n">
        <f aca="false">PGL_Requirements!H12/1000</f>
        <v>0</v>
      </c>
    </row>
    <row r="8" customFormat="false" ht="15.75" hidden="false" customHeight="false" outlineLevel="0" collapsed="false">
      <c r="A8" s="138" t="s">
        <v>221</v>
      </c>
      <c r="B8" s="126"/>
      <c r="C8" s="126"/>
      <c r="D8" s="136" t="n">
        <f aca="false">PGL_Requirements!I7/1000+PGL_Requirements!K7/1000</f>
        <v>9</v>
      </c>
      <c r="E8" s="136" t="n">
        <f aca="false">PGL_Requirements!I8/1000+PGL_Requirements!K8/1000</f>
        <v>0</v>
      </c>
      <c r="F8" s="136" t="n">
        <f aca="false">PGL_Requirements!I9/1000+PGL_Requirements!K9/1000</f>
        <v>0</v>
      </c>
      <c r="G8" s="136" t="n">
        <f aca="false">PGL_Requirements!I10/1000+PGL_Requirements!K10/1000</f>
        <v>0</v>
      </c>
      <c r="H8" s="136" t="n">
        <f aca="false">PGL_Requirements!I11/1000+PGL_Requirements!K11/1000</f>
        <v>0</v>
      </c>
      <c r="I8" s="137" t="n">
        <f aca="false">PGL_Requirements!I12/1000+PGL_Requirements!K12/1000</f>
        <v>0</v>
      </c>
    </row>
    <row r="9" customFormat="false" ht="15.75" hidden="false" customHeight="false" outlineLevel="0" collapsed="false">
      <c r="A9" s="135" t="s">
        <v>222</v>
      </c>
      <c r="B9" s="126" t="s">
        <v>223</v>
      </c>
      <c r="C9" s="139"/>
      <c r="D9" s="136" t="n">
        <v>0</v>
      </c>
      <c r="E9" s="136" t="n">
        <v>0</v>
      </c>
      <c r="F9" s="136" t="n">
        <v>0</v>
      </c>
      <c r="G9" s="136" t="n">
        <v>0</v>
      </c>
      <c r="H9" s="136" t="n">
        <v>0</v>
      </c>
      <c r="I9" s="137" t="n">
        <v>0</v>
      </c>
    </row>
    <row r="10" customFormat="false" ht="15.75" hidden="false" customHeight="false" outlineLevel="0" collapsed="false">
      <c r="A10" s="135"/>
      <c r="B10" s="126" t="s">
        <v>224</v>
      </c>
      <c r="C10" s="139"/>
      <c r="D10" s="136" t="n">
        <v>0</v>
      </c>
      <c r="E10" s="136" t="n">
        <v>0</v>
      </c>
      <c r="F10" s="136" t="n">
        <v>0</v>
      </c>
      <c r="G10" s="136" t="n">
        <v>0</v>
      </c>
      <c r="H10" s="136" t="n">
        <v>0</v>
      </c>
      <c r="I10" s="137" t="n">
        <v>0</v>
      </c>
    </row>
    <row r="11" customFormat="false" ht="15.75" hidden="false" customHeight="false" outlineLevel="0" collapsed="false">
      <c r="A11" s="135"/>
      <c r="B11" s="126" t="s">
        <v>138</v>
      </c>
      <c r="C11" s="126"/>
      <c r="D11" s="136" t="n">
        <v>0</v>
      </c>
      <c r="E11" s="136" t="n">
        <v>0</v>
      </c>
      <c r="F11" s="136" t="n">
        <v>0</v>
      </c>
      <c r="G11" s="136" t="n">
        <v>0</v>
      </c>
      <c r="H11" s="136" t="n">
        <v>0</v>
      </c>
      <c r="I11" s="137" t="n">
        <v>0</v>
      </c>
    </row>
    <row r="12" customFormat="false" ht="15.75" hidden="false" customHeight="false" outlineLevel="0" collapsed="false">
      <c r="A12" s="135"/>
      <c r="B12" s="126" t="s">
        <v>225</v>
      </c>
      <c r="C12" s="126"/>
      <c r="D12" s="136" t="n">
        <f aca="false">PGL_Requirements!L7/1000</f>
        <v>0</v>
      </c>
      <c r="E12" s="136" t="n">
        <f aca="false">PGL_Requirements!L8/1000</f>
        <v>0</v>
      </c>
      <c r="F12" s="136" t="n">
        <f aca="false">PGL_Requirements!L9/1000</f>
        <v>0</v>
      </c>
      <c r="G12" s="136" t="n">
        <f aca="false">PGL_Requirements!L10/1000</f>
        <v>0</v>
      </c>
      <c r="H12" s="136" t="n">
        <f aca="false">PGL_Requirements!L11/1000</f>
        <v>0</v>
      </c>
      <c r="I12" s="137" t="n">
        <f aca="false">PGL_Requirements!L12/1000</f>
        <v>0</v>
      </c>
    </row>
    <row r="13" customFormat="false" ht="15.75" hidden="false" customHeight="false" outlineLevel="0" collapsed="false">
      <c r="A13" s="135" t="s">
        <v>226</v>
      </c>
      <c r="B13" s="126" t="s">
        <v>227</v>
      </c>
      <c r="C13" s="126" t="s">
        <v>74</v>
      </c>
      <c r="D13" s="136" t="n">
        <f aca="false">PGL_Requirements!P7/1000</f>
        <v>150</v>
      </c>
      <c r="E13" s="136" t="n">
        <f aca="false">PGL_Requirements!P8/1000</f>
        <v>150</v>
      </c>
      <c r="F13" s="136" t="n">
        <f aca="false">PGL_Requirements!P9/1000</f>
        <v>150</v>
      </c>
      <c r="G13" s="136" t="n">
        <f aca="false">PGL_Requirements!P10/1000</f>
        <v>150</v>
      </c>
      <c r="H13" s="136" t="n">
        <f aca="false">PGL_Requirements!P11/1000</f>
        <v>150</v>
      </c>
      <c r="I13" s="137" t="n">
        <f aca="false">PGL_Requirements!P12/1000</f>
        <v>150</v>
      </c>
    </row>
    <row r="14" customFormat="false" ht="15.75" hidden="false" customHeight="false" outlineLevel="0" collapsed="false">
      <c r="A14" s="135"/>
      <c r="B14" s="126"/>
      <c r="C14" s="126" t="s">
        <v>154</v>
      </c>
      <c r="D14" s="136" t="n">
        <f aca="false">PGL_Requirements!Q7/1000</f>
        <v>2.25</v>
      </c>
      <c r="E14" s="136" t="n">
        <f aca="false">PGL_Requirements!Q8/1000</f>
        <v>2.25</v>
      </c>
      <c r="F14" s="136" t="n">
        <f aca="false">PGL_Requirements!Q9/1000</f>
        <v>2.25</v>
      </c>
      <c r="G14" s="136" t="n">
        <f aca="false">PGL_Requirements!Q10/1000</f>
        <v>2.25</v>
      </c>
      <c r="H14" s="136" t="n">
        <f aca="false">PGL_Requirements!Q11/1000</f>
        <v>2.25</v>
      </c>
      <c r="I14" s="137" t="n">
        <f aca="false">PGL_Requirements!Q12/1000</f>
        <v>2.25</v>
      </c>
    </row>
    <row r="15" customFormat="false" ht="15.75" hidden="false" customHeight="false" outlineLevel="0" collapsed="false">
      <c r="A15" s="135"/>
      <c r="C15" s="126" t="s">
        <v>155</v>
      </c>
      <c r="D15" s="136" t="n">
        <f aca="false">PGL_Requirements!R7/1000</f>
        <v>0.61</v>
      </c>
      <c r="E15" s="136" t="n">
        <f aca="false">PGL_Requirements!R8/1000</f>
        <v>0.61</v>
      </c>
      <c r="F15" s="136" t="n">
        <f aca="false">PGL_Requirements!R9/1000</f>
        <v>0.61</v>
      </c>
      <c r="G15" s="136" t="n">
        <f aca="false">PGL_Requirements!R10/1000</f>
        <v>0.61</v>
      </c>
      <c r="H15" s="136" t="n">
        <f aca="false">PGL_Requirements!R11/1000</f>
        <v>0.61</v>
      </c>
      <c r="I15" s="137" t="n">
        <f aca="false">PGL_Requirements!R12/1000</f>
        <v>0.61</v>
      </c>
    </row>
    <row r="16" customFormat="false" ht="15.75" hidden="false" customHeight="false" outlineLevel="0" collapsed="false">
      <c r="A16" s="135"/>
      <c r="C16" s="126" t="s">
        <v>228</v>
      </c>
      <c r="D16" s="136" t="n">
        <f aca="false">PGL_Requirements!B7/1000</f>
        <v>0</v>
      </c>
      <c r="E16" s="136" t="n">
        <f aca="false">PGL_Requirements!B8/1000</f>
        <v>0</v>
      </c>
      <c r="F16" s="136" t="n">
        <f aca="false">PGL_Requirements!B9/1000</f>
        <v>0</v>
      </c>
      <c r="G16" s="136" t="n">
        <f aca="false">PGL_Requirements!B10/1000</f>
        <v>0</v>
      </c>
      <c r="H16" s="136" t="n">
        <f aca="false">PGL_Requirements!B11/1000</f>
        <v>0</v>
      </c>
      <c r="I16" s="137" t="n">
        <f aca="false">PGL_Requirements!B12/1000</f>
        <v>0</v>
      </c>
      <c r="IV16" s="136" t="s">
        <v>1</v>
      </c>
    </row>
    <row r="17" customFormat="false" ht="15.75" hidden="false" customHeight="false" outlineLevel="0" collapsed="false">
      <c r="A17" s="135"/>
      <c r="B17" s="126" t="s">
        <v>67</v>
      </c>
      <c r="C17" s="126" t="s">
        <v>157</v>
      </c>
      <c r="D17" s="136" t="n">
        <v>0</v>
      </c>
      <c r="E17" s="136" t="n">
        <v>0</v>
      </c>
      <c r="F17" s="136" t="n">
        <v>0</v>
      </c>
      <c r="G17" s="136" t="n">
        <v>0</v>
      </c>
      <c r="H17" s="136" t="n">
        <v>0</v>
      </c>
      <c r="I17" s="137" t="n">
        <v>0</v>
      </c>
    </row>
    <row r="18" customFormat="false" ht="15.75" hidden="false" customHeight="false" outlineLevel="0" collapsed="false">
      <c r="A18" s="135"/>
      <c r="B18" s="126" t="s">
        <v>223</v>
      </c>
      <c r="C18" s="126" t="s">
        <v>153</v>
      </c>
      <c r="D18" s="136" t="n">
        <f aca="false">PGL_Requirements!U7/1000</f>
        <v>40.2</v>
      </c>
      <c r="E18" s="136" t="n">
        <f aca="false">PGL_Requirements!U8/1000</f>
        <v>40.2</v>
      </c>
      <c r="F18" s="136" t="n">
        <f aca="false">PGL_Requirements!U9/1000</f>
        <v>40.2</v>
      </c>
      <c r="G18" s="136" t="n">
        <f aca="false">PGL_Requirements!U10/1000</f>
        <v>40.2</v>
      </c>
      <c r="H18" s="136" t="n">
        <f aca="false">PGL_Requirements!U11/1000</f>
        <v>40.2</v>
      </c>
      <c r="I18" s="137" t="n">
        <f aca="false">PGL_Requirements!U12/1000</f>
        <v>40.2</v>
      </c>
    </row>
    <row r="19" customFormat="false" ht="15.75" hidden="false" customHeight="false" outlineLevel="0" collapsed="false">
      <c r="A19" s="135"/>
      <c r="B19" s="126" t="s">
        <v>225</v>
      </c>
      <c r="C19" s="126" t="s">
        <v>153</v>
      </c>
      <c r="D19" s="136" t="n">
        <f aca="false">PGL_Requirements!O7/1000</f>
        <v>0</v>
      </c>
      <c r="E19" s="136" t="n">
        <f aca="false">PGL_Requirements!O8/1000</f>
        <v>0</v>
      </c>
      <c r="F19" s="136" t="n">
        <f aca="false">PGL_Requirements!O9/1000</f>
        <v>0</v>
      </c>
      <c r="G19" s="136" t="n">
        <f aca="false">PGL_Requirements!O10/1000</f>
        <v>0</v>
      </c>
      <c r="H19" s="136" t="n">
        <f aca="false">PGL_Requirements!O11/1000</f>
        <v>0</v>
      </c>
      <c r="I19" s="137" t="n">
        <f aca="false">PGL_Requirements!O12/1000</f>
        <v>0</v>
      </c>
    </row>
    <row r="20" customFormat="false" ht="15.75" hidden="false" customHeight="false" outlineLevel="0" collapsed="false">
      <c r="A20" s="138" t="s">
        <v>229</v>
      </c>
      <c r="B20" s="140" t="s">
        <v>223</v>
      </c>
      <c r="C20" s="140"/>
      <c r="D20" s="136" t="n">
        <f aca="false">(PGL_Requirements!$V$7+PGL_Requirements!$W$7+PGL_Requirements!$X$7)/1000</f>
        <v>0</v>
      </c>
      <c r="E20" s="136" t="n">
        <f aca="false">(PGL_Requirements!$V$8+PGL_Requirements!$W$8+PGL_Requirements!$X$8)/1000</f>
        <v>0</v>
      </c>
      <c r="F20" s="136" t="n">
        <f aca="false">(PGL_Requirements!$V$9+PGL_Requirements!$W$9+PGL_Requirements!$X$9)/1000</f>
        <v>0</v>
      </c>
      <c r="G20" s="136" t="n">
        <f aca="false">(PGL_Requirements!$V$10+PGL_Requirements!$W$10+PGL_Requirements!$X$10)/1000</f>
        <v>0</v>
      </c>
      <c r="H20" s="136" t="n">
        <f aca="false">(PGL_Requirements!$V$11+PGL_Requirements!$W$11+PGL_Requirements!$X$11)/1000</f>
        <v>0</v>
      </c>
      <c r="I20" s="137" t="n">
        <f aca="false">(PGL_Requirements!$V$12+PGL_Requirements!$W$12+PGL_Requirements!$X$12)/1000</f>
        <v>0</v>
      </c>
    </row>
    <row r="21" customFormat="false" ht="15.75" hidden="false" customHeight="false" outlineLevel="0" collapsed="false">
      <c r="A21" s="135"/>
      <c r="B21" s="140" t="s">
        <v>225</v>
      </c>
      <c r="C21" s="140"/>
      <c r="D21" s="136" t="n">
        <f aca="false">(PGL_Requirements!$Y$7+PGL_Requirements!$Z$7+PGL_Requirements!$AA$7+PGL_Requirements!$AB$7)/1000</f>
        <v>0</v>
      </c>
      <c r="E21" s="136" t="n">
        <f aca="false">(PGL_Requirements!$Y$8+PGL_Requirements!$Z$8+PGL_Requirements!$AA$8+PGL_Requirements!$AB$8)/1000</f>
        <v>0</v>
      </c>
      <c r="F21" s="136" t="n">
        <f aca="false">(PGL_Requirements!$Y$9+PGL_Requirements!$Z$9+PGL_Requirements!$AA$9+PGL_Requirements!$AB$9)/1000</f>
        <v>0</v>
      </c>
      <c r="G21" s="136" t="n">
        <f aca="false">(PGL_Requirements!$Y$10+PGL_Requirements!$Z$10+PGL_Requirements!$AA$10+PGL_Requirements!$AB$10)/1000</f>
        <v>0</v>
      </c>
      <c r="H21" s="136" t="n">
        <f aca="false">(PGL_Requirements!$Y$11+PGL_Requirements!$Z$11+PGL_Requirements!$AA$11+PGL_Requirements!$AB$11)/1000</f>
        <v>0</v>
      </c>
      <c r="I21" s="137" t="n">
        <f aca="false">(PGL_Requirements!$Y$12+PGL_Requirements!$Z$12+PGL_Requirements!$AA$12+PGL_Requirements!$AB$12)/1000</f>
        <v>0</v>
      </c>
    </row>
    <row r="22" customFormat="false" ht="15.75" hidden="false" customHeight="false" outlineLevel="0" collapsed="false">
      <c r="A22" s="135"/>
      <c r="B22" s="126" t="s">
        <v>138</v>
      </c>
      <c r="C22" s="140"/>
      <c r="D22" s="136" t="n">
        <f aca="false">PGL_Requirements!$AF$7+PGL_Requirements!$AG$7+PGL_Requirements!$AH$7+PGL_Requirements!$AI$7/1000</f>
        <v>0</v>
      </c>
      <c r="E22" s="136" t="n">
        <f aca="false">PGL_Requirements!$AF$8+PGL_Requirements!$AG$8+PGL_Requirements!$AH$8+PGL_Requirements!$AI$8/1000</f>
        <v>0</v>
      </c>
      <c r="F22" s="136" t="n">
        <f aca="false">PGL_Requirements!$AF$9+PGL_Requirements!$AG$9+PGL_Requirements!$AH$9+PGL_Requirements!$AI$9/1000</f>
        <v>0</v>
      </c>
      <c r="G22" s="136" t="n">
        <f aca="false">PGL_Requirements!$AF$10+PGL_Requirements!$AG$10+PGL_Requirements!$AH$10+PGL_Requirements!$AI$10/1000</f>
        <v>0</v>
      </c>
      <c r="H22" s="136" t="n">
        <f aca="false">PGL_Requirements!$AF$11+PGL_Requirements!$AG$11+PGL_Requirements!$AH$11+PGL_Requirements!$AI$11/1000</f>
        <v>0</v>
      </c>
      <c r="I22" s="137" t="n">
        <f aca="false">PGL_Requirements!$AF$12+PGL_Requirements!$AG$12+PGL_Requirements!$AH$12+PGL_Requirements!$AI$12/1000</f>
        <v>0</v>
      </c>
      <c r="J22" s="141"/>
    </row>
    <row r="23" customFormat="false" ht="15.75" hidden="false" customHeight="false" outlineLevel="0" collapsed="false">
      <c r="A23" s="135"/>
      <c r="B23" s="140" t="s">
        <v>230</v>
      </c>
      <c r="C23" s="140" t="s">
        <v>197</v>
      </c>
      <c r="D23" s="136" t="n">
        <f aca="false">NSG_Supplies!H7/1000</f>
        <v>0</v>
      </c>
      <c r="E23" s="136" t="n">
        <f aca="false">NSG_Supplies!H8/1000</f>
        <v>0</v>
      </c>
      <c r="F23" s="136" t="n">
        <f aca="false">NSG_Supplies!H9/1000</f>
        <v>0</v>
      </c>
      <c r="G23" s="136" t="n">
        <f aca="false">NSG_Supplies!H10/1000</f>
        <v>0</v>
      </c>
      <c r="H23" s="136" t="n">
        <f aca="false">NSG_Supplies!H11/1000</f>
        <v>0</v>
      </c>
      <c r="I23" s="137" t="n">
        <f aca="false">NSG_Supplies!H12/1000</f>
        <v>0</v>
      </c>
      <c r="J23" s="141"/>
    </row>
    <row r="24" customFormat="false" ht="15.75" hidden="false" customHeight="false" outlineLevel="0" collapsed="false">
      <c r="A24" s="138" t="s">
        <v>231</v>
      </c>
      <c r="B24" s="126"/>
      <c r="C24" s="126"/>
      <c r="D24" s="136" t="n">
        <f aca="false">PGL_Requirements!G7/1000</f>
        <v>0</v>
      </c>
      <c r="E24" s="136" t="n">
        <f aca="false">PGL_Requirements!G8/1000</f>
        <v>0</v>
      </c>
      <c r="F24" s="136" t="n">
        <f aca="false">PGL_Requirements!G9/1000</f>
        <v>0</v>
      </c>
      <c r="G24" s="136" t="n">
        <f aca="false">PGL_Requirements!G10/1000</f>
        <v>0</v>
      </c>
      <c r="H24" s="136" t="n">
        <f aca="false">PGL_Requirements!G11/1000</f>
        <v>0</v>
      </c>
      <c r="I24" s="137" t="n">
        <f aca="false">PGL_Requirements!G12/1000</f>
        <v>0</v>
      </c>
    </row>
    <row r="25" customFormat="false" ht="15.75" hidden="false" customHeight="false" outlineLevel="0" collapsed="false">
      <c r="A25" s="135" t="s">
        <v>232</v>
      </c>
      <c r="B25" s="126" t="s">
        <v>233</v>
      </c>
      <c r="C25" s="126"/>
      <c r="D25" s="136" t="n">
        <f aca="false">PGL_Requirements!J7/1000</f>
        <v>0</v>
      </c>
      <c r="E25" s="136" t="n">
        <f aca="false">PGL_Requirements!J8/1000</f>
        <v>0</v>
      </c>
      <c r="F25" s="136" t="n">
        <f aca="false">PGL_Requirements!J9/1000</f>
        <v>0</v>
      </c>
      <c r="G25" s="136" t="n">
        <f aca="false">PGL_Requirements!J10/1000</f>
        <v>0</v>
      </c>
      <c r="H25" s="136" t="n">
        <f aca="false">PGL_Requirements!J11/1000</f>
        <v>0</v>
      </c>
      <c r="I25" s="137" t="n">
        <f aca="false">PGL_Requirements!J12/1000</f>
        <v>0</v>
      </c>
    </row>
    <row r="26" customFormat="false" ht="15.75" hidden="false" customHeight="false" outlineLevel="0" collapsed="false">
      <c r="A26" s="135"/>
      <c r="B26" s="126" t="s">
        <v>85</v>
      </c>
      <c r="C26" s="126"/>
      <c r="D26" s="136" t="n">
        <f aca="false">PGL_Requirements!C7/1000</f>
        <v>0</v>
      </c>
      <c r="E26" s="136" t="n">
        <f aca="false">PGL_Requirements!C8/1000</f>
        <v>0</v>
      </c>
      <c r="F26" s="136" t="n">
        <f aca="false">PGL_Requirements!C9/1000</f>
        <v>0</v>
      </c>
      <c r="G26" s="136" t="n">
        <f aca="false">PGL_Requirements!C10/1000</f>
        <v>0</v>
      </c>
      <c r="H26" s="136" t="n">
        <f aca="false">PGL_Requirements!C11/1000</f>
        <v>0</v>
      </c>
      <c r="I26" s="137" t="n">
        <f aca="false">PGL_Requirements!C12/1000</f>
        <v>0</v>
      </c>
    </row>
    <row r="27" customFormat="false" ht="15.75" hidden="false" customHeight="false" outlineLevel="0" collapsed="false">
      <c r="A27" s="135"/>
      <c r="B27" s="126" t="s">
        <v>137</v>
      </c>
      <c r="C27" s="126"/>
      <c r="D27" s="136" t="n">
        <f aca="false">PGL_Requirements!D7/1000</f>
        <v>0</v>
      </c>
      <c r="E27" s="136" t="n">
        <f aca="false">PGL_Requirements!D8/1000</f>
        <v>0</v>
      </c>
      <c r="F27" s="136" t="n">
        <f aca="false">PGL_Requirements!D9/1000</f>
        <v>0</v>
      </c>
      <c r="G27" s="136" t="n">
        <f aca="false">PGL_Requirements!D10/1000</f>
        <v>0</v>
      </c>
      <c r="H27" s="136" t="n">
        <f aca="false">PGL_Requirements!D11/1000</f>
        <v>0</v>
      </c>
      <c r="I27" s="137" t="n">
        <f aca="false">PGL_Requirements!D12/1000</f>
        <v>0</v>
      </c>
    </row>
    <row r="28" customFormat="false" ht="15.75" hidden="false" customHeight="false" outlineLevel="0" collapsed="false">
      <c r="A28" s="135"/>
      <c r="B28" s="126" t="s">
        <v>138</v>
      </c>
      <c r="C28" s="126"/>
      <c r="D28" s="136" t="n">
        <f aca="false">PGL_Requirements!E7/1000</f>
        <v>0</v>
      </c>
      <c r="E28" s="136" t="n">
        <f aca="false">PGL_Requirements!E8/1000</f>
        <v>0</v>
      </c>
      <c r="F28" s="136" t="n">
        <f aca="false">PGL_Requirements!E9/1000</f>
        <v>0</v>
      </c>
      <c r="G28" s="136" t="n">
        <f aca="false">PGL_Requirements!E10/1000</f>
        <v>0</v>
      </c>
      <c r="H28" s="136" t="n">
        <f aca="false">PGL_Requirements!E11/1000</f>
        <v>0</v>
      </c>
      <c r="I28" s="137" t="n">
        <f aca="false">PGL_Requirements!E12/1000</f>
        <v>0</v>
      </c>
    </row>
    <row r="29" customFormat="false" ht="15.75" hidden="false" customHeight="false" outlineLevel="0" collapsed="false">
      <c r="A29" s="135"/>
      <c r="B29" s="126" t="s">
        <v>148</v>
      </c>
      <c r="C29" s="126"/>
      <c r="D29" s="142" t="n">
        <f aca="false">PGL_Requirements!F7/1000</f>
        <v>0</v>
      </c>
      <c r="E29" s="142" t="n">
        <f aca="false">PGL_Requirements!F8/1000</f>
        <v>0</v>
      </c>
      <c r="F29" s="142" t="n">
        <f aca="false">PGL_Requirements!F9/1000</f>
        <v>0</v>
      </c>
      <c r="G29" s="142" t="n">
        <f aca="false">PGL_Requirements!F10/1000</f>
        <v>0</v>
      </c>
      <c r="H29" s="142" t="n">
        <f aca="false">PGL_Requirements!F11/1000</f>
        <v>0</v>
      </c>
      <c r="I29" s="143" t="n">
        <f aca="false">PGL_Requirements!F12/1000</f>
        <v>0</v>
      </c>
    </row>
    <row r="30" customFormat="false" ht="16.5" hidden="false" customHeight="false" outlineLevel="0" collapsed="false">
      <c r="A30" s="144" t="s">
        <v>234</v>
      </c>
      <c r="B30" s="145"/>
      <c r="C30" s="145"/>
      <c r="D30" s="146" t="n">
        <f aca="false">SUM(D6:D29)</f>
        <v>522.46</v>
      </c>
      <c r="E30" s="146" t="n">
        <f aca="false">SUM(E6:E29)</f>
        <v>523.06</v>
      </c>
      <c r="F30" s="146" t="n">
        <f aca="false">SUM(F6:F29)</f>
        <v>483.06</v>
      </c>
      <c r="G30" s="146" t="n">
        <f aca="false">SUM(G6:G29)</f>
        <v>453.06</v>
      </c>
      <c r="H30" s="146" t="n">
        <f aca="false">SUM(H6:H29)</f>
        <v>463.06</v>
      </c>
      <c r="I30" s="147" t="n">
        <f aca="false">SUM(I6:I29)</f>
        <v>468.06</v>
      </c>
    </row>
    <row r="31" customFormat="false" ht="17.25" hidden="false" customHeight="false" outlineLevel="0" collapsed="false">
      <c r="A31" s="148"/>
      <c r="B31" s="126"/>
      <c r="C31" s="126"/>
      <c r="D31" s="149"/>
      <c r="E31" s="150"/>
      <c r="F31" s="150"/>
      <c r="G31" s="150"/>
      <c r="H31" s="150"/>
      <c r="I31" s="151"/>
    </row>
    <row r="32" customFormat="false" ht="16.5" hidden="false" customHeight="false" outlineLevel="0" collapsed="false">
      <c r="A32" s="152" t="s">
        <v>235</v>
      </c>
      <c r="B32" s="153"/>
      <c r="C32" s="153"/>
      <c r="D32" s="154"/>
      <c r="E32" s="155"/>
      <c r="F32" s="155"/>
      <c r="G32" s="155"/>
      <c r="H32" s="155"/>
      <c r="I32" s="156"/>
    </row>
    <row r="33" customFormat="false" ht="16.5" hidden="false" customHeight="false" outlineLevel="0" collapsed="false">
      <c r="A33" s="135" t="s">
        <v>236</v>
      </c>
      <c r="B33" s="126" t="s">
        <v>227</v>
      </c>
      <c r="C33" s="126" t="s">
        <v>74</v>
      </c>
      <c r="D33" s="136" t="n">
        <f aca="false">PGL_Supplies!M7/1000</f>
        <v>0</v>
      </c>
      <c r="E33" s="136" t="n">
        <f aca="false">PGL_Supplies!M8/1000</f>
        <v>0</v>
      </c>
      <c r="F33" s="136" t="n">
        <f aca="false">PGL_Supplies!M9/1000</f>
        <v>0</v>
      </c>
      <c r="G33" s="136" t="n">
        <f aca="false">PGL_Supplies!M10/1000</f>
        <v>0</v>
      </c>
      <c r="H33" s="136" t="n">
        <f aca="false">PGL_Supplies!M11/1000</f>
        <v>0</v>
      </c>
      <c r="I33" s="137" t="n">
        <f aca="false">PGL_Supplies!M12/1000</f>
        <v>0</v>
      </c>
    </row>
    <row r="34" customFormat="false" ht="15.75" hidden="false" customHeight="false" outlineLevel="0" collapsed="false">
      <c r="A34" s="135"/>
      <c r="B34" s="126"/>
      <c r="C34" s="126" t="s">
        <v>139</v>
      </c>
      <c r="D34" s="136" t="n">
        <f aca="false">PGL_Supplies!H7/1000</f>
        <v>1</v>
      </c>
      <c r="E34" s="136" t="n">
        <f aca="false">PGL_Supplies!H8/1000</f>
        <v>1</v>
      </c>
      <c r="F34" s="136" t="n">
        <f aca="false">PGL_Supplies!H9/1000</f>
        <v>1</v>
      </c>
      <c r="G34" s="136" t="n">
        <f aca="false">PGL_Supplies!H10/1000</f>
        <v>1</v>
      </c>
      <c r="H34" s="136" t="n">
        <f aca="false">PGL_Supplies!H11/1000</f>
        <v>1</v>
      </c>
      <c r="I34" s="137" t="n">
        <f aca="false">PGL_Supplies!H12/1000</f>
        <v>1</v>
      </c>
    </row>
    <row r="35" customFormat="false" ht="15.75" hidden="false" customHeight="false" outlineLevel="0" collapsed="false">
      <c r="A35" s="135"/>
      <c r="B35" s="126"/>
      <c r="C35" s="126" t="s">
        <v>75</v>
      </c>
      <c r="D35" s="136" t="n">
        <f aca="false">PGL_Supplies!J7/1000</f>
        <v>0</v>
      </c>
      <c r="E35" s="136" t="n">
        <f aca="false">PGL_Supplies!J8/1000</f>
        <v>0</v>
      </c>
      <c r="F35" s="136" t="n">
        <f aca="false">PGL_Supplies!J9/1000</f>
        <v>0</v>
      </c>
      <c r="G35" s="136" t="n">
        <f aca="false">PGL_Supplies!J10/1000</f>
        <v>0</v>
      </c>
      <c r="H35" s="136" t="n">
        <f aca="false">PGL_Supplies!J11/1000</f>
        <v>0</v>
      </c>
      <c r="I35" s="137" t="n">
        <f aca="false">PGL_Supplies!J12/1000</f>
        <v>0</v>
      </c>
    </row>
    <row r="36" customFormat="false" ht="15.75" hidden="false" customHeight="false" outlineLevel="0" collapsed="false">
      <c r="A36" s="135"/>
      <c r="B36" s="126" t="s">
        <v>223</v>
      </c>
      <c r="C36" s="126" t="s">
        <v>153</v>
      </c>
      <c r="D36" s="136" t="n">
        <f aca="false">PGL_Supplies!R7/1000</f>
        <v>0</v>
      </c>
      <c r="E36" s="136" t="n">
        <f aca="false">PGL_Supplies!R8/1000</f>
        <v>0</v>
      </c>
      <c r="F36" s="136" t="n">
        <f aca="false">PGL_Supplies!R9/1000</f>
        <v>0</v>
      </c>
      <c r="G36" s="136" t="n">
        <f aca="false">PGL_Supplies!R10/1000</f>
        <v>0</v>
      </c>
      <c r="H36" s="136" t="n">
        <f aca="false">PGL_Supplies!R11/1000</f>
        <v>0</v>
      </c>
      <c r="I36" s="137" t="n">
        <f aca="false">PGL_Supplies!R12/1000</f>
        <v>0</v>
      </c>
    </row>
    <row r="37" customFormat="false" ht="15.75" hidden="false" customHeight="false" outlineLevel="0" collapsed="false">
      <c r="A37" s="135"/>
      <c r="B37" s="126" t="s">
        <v>225</v>
      </c>
      <c r="C37" s="126" t="s">
        <v>153</v>
      </c>
      <c r="D37" s="136" t="n">
        <f aca="false">PGL_Supplies!L7/1000</f>
        <v>12.21</v>
      </c>
      <c r="E37" s="136" t="n">
        <f aca="false">PGL_Supplies!L8/1000</f>
        <v>0</v>
      </c>
      <c r="F37" s="136" t="n">
        <f aca="false">PGL_Supplies!L9/1000</f>
        <v>0</v>
      </c>
      <c r="G37" s="136" t="n">
        <f aca="false">PGL_Supplies!L10/1000</f>
        <v>0</v>
      </c>
      <c r="H37" s="136" t="n">
        <f aca="false">PGL_Supplies!L11/1000</f>
        <v>0</v>
      </c>
      <c r="I37" s="137" t="n">
        <f aca="false">PGL_Supplies!L12/1000</f>
        <v>0</v>
      </c>
    </row>
    <row r="38" customFormat="false" ht="15.75" hidden="false" customHeight="false" outlineLevel="0" collapsed="false">
      <c r="A38" s="138" t="s">
        <v>237</v>
      </c>
      <c r="B38" s="126" t="s">
        <v>223</v>
      </c>
      <c r="C38" s="126"/>
      <c r="D38" s="136" t="n">
        <f aca="false">(NSG_Requirements!$S$7+NSG_Requirements!$T$7+NSG_Requirements!$U$7)/1000</f>
        <v>0</v>
      </c>
      <c r="E38" s="136" t="n">
        <f aca="false">(NSG_Requirements!$S$8+NSG_Requirements!$T$8+NSG_Requirements!$U$8)/1000</f>
        <v>0</v>
      </c>
      <c r="F38" s="136" t="n">
        <f aca="false">(NSG_Requirements!$S$9+NSG_Requirements!$T$9+NSG_Requirements!$U$9)/1000</f>
        <v>0</v>
      </c>
      <c r="G38" s="136" t="n">
        <f aca="false">(NSG_Requirements!$S$10+NSG_Requirements!$T$10+NSG_Requirements!$U$10)/1000</f>
        <v>0</v>
      </c>
      <c r="H38" s="136" t="n">
        <f aca="false">(NSG_Requirements!$S$11+NSG_Requirements!$T$11+NSG_Requirements!$U$11)/1000</f>
        <v>0</v>
      </c>
      <c r="I38" s="137" t="n">
        <f aca="false">(NSG_Requirements!$S$12+NSG_Requirements!$T$11+NSG_Requirements!$U$11)/1000</f>
        <v>0</v>
      </c>
    </row>
    <row r="39" customFormat="false" ht="15.75" hidden="false" customHeight="false" outlineLevel="0" collapsed="false">
      <c r="A39" s="138"/>
      <c r="B39" s="126" t="s">
        <v>138</v>
      </c>
      <c r="C39" s="139"/>
      <c r="D39" s="136" t="n">
        <f aca="false">(NSG_Requirements!$AB$7+NSG_Requirements!$AC$7+NSG_Requirements!$AD$7+NSG_Requirements!$AE$7)/1000</f>
        <v>0</v>
      </c>
      <c r="E39" s="136" t="n">
        <f aca="false">(NSG_Requirements!$AB$8+NSG_Requirements!$AC$8+NSG_Requirements!$AD$8+NSG_Requirements!$AE$8)/1000</f>
        <v>0</v>
      </c>
      <c r="F39" s="136" t="n">
        <f aca="false">(NSG_Requirements!$AB$9+NSG_Requirements!$AC$9+NSG_Requirements!$AD$9+NSG_Requirements!$AE$9)/1000</f>
        <v>0</v>
      </c>
      <c r="G39" s="136" t="n">
        <f aca="false">(NSG_Requirements!$AB$10+NSG_Requirements!$AC$10+NSG_Requirements!$AD$10+NSG_Requirements!$AE$10)/1000</f>
        <v>0</v>
      </c>
      <c r="H39" s="136" t="n">
        <f aca="false">(NSG_Requirements!$AB$11+NSG_Requirements!$AC$11+NSG_Requirements!$AD$11+NSG_Requirements!$AE$11)/1000</f>
        <v>0</v>
      </c>
      <c r="I39" s="137" t="n">
        <f aca="false">(NSG_Requirements!$AB$12+NSG_Requirements!$AC$12+NSG_Requirements!$AD$12+NSG_Requirements!$AE$12)/1000</f>
        <v>0</v>
      </c>
    </row>
    <row r="40" customFormat="false" ht="15.75" hidden="false" customHeight="false" outlineLevel="0" collapsed="false">
      <c r="A40" s="138"/>
      <c r="B40" s="126" t="s">
        <v>225</v>
      </c>
      <c r="C40" s="126"/>
      <c r="D40" s="136" t="n">
        <f aca="false">(NSG_Requirements!$Y$7+NSG_Requirements!$Z$7+NSG_Requirements!$AA$7)/1000</f>
        <v>0</v>
      </c>
      <c r="E40" s="136" t="n">
        <f aca="false">(NSG_Requirements!$Y$8+NSG_Requirements!$Z$8+NSG_Requirements!$AA$8)/1000</f>
        <v>0</v>
      </c>
      <c r="F40" s="136" t="n">
        <f aca="false">(NSG_Requirements!$Y$9+NSG_Requirements!$Z$9+NSG_Requirements!$AA$9)/1000</f>
        <v>0</v>
      </c>
      <c r="G40" s="136" t="n">
        <f aca="false">(NSG_Requirements!$Y$10+NSG_Requirements!$Z$10+NSG_Requirements!$AA$10)/1000</f>
        <v>0</v>
      </c>
      <c r="H40" s="136" t="n">
        <f aca="false">(NSG_Requirements!$Y$11+NSG_Requirements!$Z$11+NSG_Requirements!$AA$11)/1000</f>
        <v>0</v>
      </c>
      <c r="I40" s="137" t="n">
        <f aca="false">(NSG_Requirements!$Y$12+NSG_Requirements!$Z$12+NSG_Requirements!$AA$12)/1000</f>
        <v>0</v>
      </c>
    </row>
    <row r="41" customFormat="false" ht="15.75" hidden="false" customHeight="false" outlineLevel="0" collapsed="false">
      <c r="A41" s="138"/>
      <c r="B41" s="126" t="s">
        <v>238</v>
      </c>
      <c r="C41" s="126" t="s">
        <v>239</v>
      </c>
      <c r="D41" s="136" t="n">
        <f aca="false">(NSG_Requirements!$L$7+NSG_Requirements!$M$7+NSG_Requirements!$N$7+NSG_Requirements!$K$7)/1000</f>
        <v>0</v>
      </c>
      <c r="E41" s="136" t="n">
        <f aca="false">(NSG_Requirements!$L$8+NSG_Requirements!$M$8+NSG_Requirements!$N$8+NSG_Requirements!$K$8)/1000</f>
        <v>0</v>
      </c>
      <c r="F41" s="136" t="n">
        <f aca="false">(NSG_Requirements!$L$9+NSG_Requirements!$M$9+NSG_Requirements!$N$9+NSG_Requirements!$K$9)/1000</f>
        <v>0</v>
      </c>
      <c r="G41" s="136" t="n">
        <f aca="false">(NSG_Requirements!$L$10+NSG_Requirements!$M$10+NSG_Requirements!$N$10+NSG_Requirements!$K$10)/1000</f>
        <v>0</v>
      </c>
      <c r="H41" s="136" t="n">
        <f aca="false">(NSG_Requirements!$L$11+NSG_Requirements!$M$11+NSG_Requirements!$N$11+NSG_Requirements!$K$11)/1000</f>
        <v>0</v>
      </c>
      <c r="I41" s="137" t="n">
        <f aca="false">(NSG_Requirements!$L$12+NSG_Requirements!$M$12+NSG_Requirements!$N$12+NSG_Requirements!$K$12)/1000</f>
        <v>0</v>
      </c>
    </row>
    <row r="42" customFormat="false" ht="15.75" hidden="false" customHeight="false" outlineLevel="0" collapsed="false">
      <c r="A42" s="138" t="s">
        <v>240</v>
      </c>
      <c r="B42" s="126"/>
      <c r="C42" s="126"/>
      <c r="D42" s="136" t="n">
        <f aca="false">PGL_Supplies!U7/1000</f>
        <v>0</v>
      </c>
      <c r="E42" s="136" t="n">
        <f aca="false">PGL_Supplies!U8/1000</f>
        <v>0</v>
      </c>
      <c r="F42" s="136" t="n">
        <f aca="false">PGL_Supplies!U9/1000</f>
        <v>0</v>
      </c>
      <c r="G42" s="136" t="n">
        <f aca="false">PGL_Supplies!U10/1000</f>
        <v>0</v>
      </c>
      <c r="H42" s="136" t="n">
        <f aca="false">PGL_Supplies!U11/1000</f>
        <v>0</v>
      </c>
      <c r="I42" s="137" t="n">
        <f aca="false">PGL_Supplies!U12/1000</f>
        <v>0</v>
      </c>
    </row>
    <row r="43" customFormat="false" ht="15.75" hidden="false" customHeight="false" outlineLevel="0" collapsed="false">
      <c r="A43" s="138" t="s">
        <v>241</v>
      </c>
      <c r="B43" s="126" t="s">
        <v>138</v>
      </c>
      <c r="C43" s="126"/>
      <c r="D43" s="136" t="n">
        <f aca="false">PGL_Supplies!T7/1000</f>
        <v>7</v>
      </c>
      <c r="E43" s="136" t="n">
        <f aca="false">PGL_Supplies!T8/1000</f>
        <v>7</v>
      </c>
      <c r="F43" s="136" t="n">
        <f aca="false">PGL_Supplies!T9/1000</f>
        <v>0</v>
      </c>
      <c r="G43" s="136" t="n">
        <f aca="false">PGL_Supplies!T10/1000</f>
        <v>0</v>
      </c>
      <c r="H43" s="136" t="n">
        <f aca="false">PGL_Supplies!T11/1000</f>
        <v>0</v>
      </c>
      <c r="I43" s="137" t="n">
        <f aca="false">PGL_Supplies!T12/1000</f>
        <v>0</v>
      </c>
    </row>
    <row r="44" customFormat="false" ht="15.75" hidden="false" customHeight="false" outlineLevel="0" collapsed="false">
      <c r="A44" s="135"/>
      <c r="B44" s="126" t="s">
        <v>224</v>
      </c>
      <c r="C44" s="139"/>
      <c r="D44" s="136" t="n">
        <v>0</v>
      </c>
      <c r="E44" s="136" t="n">
        <v>0</v>
      </c>
      <c r="F44" s="136" t="n">
        <v>0</v>
      </c>
      <c r="G44" s="136" t="n">
        <v>0</v>
      </c>
      <c r="H44" s="136" t="n">
        <v>0</v>
      </c>
      <c r="I44" s="137" t="n">
        <v>0</v>
      </c>
    </row>
    <row r="45" customFormat="false" ht="15.75" hidden="false" customHeight="false" outlineLevel="0" collapsed="false">
      <c r="A45" s="135"/>
      <c r="B45" s="126" t="s">
        <v>138</v>
      </c>
      <c r="C45" s="139"/>
      <c r="D45" s="136" t="n">
        <f aca="false">PGL_Supplies!W7/1000</f>
        <v>0</v>
      </c>
      <c r="E45" s="136" t="n">
        <f aca="false">PGL_Supplies!W8/1000</f>
        <v>0</v>
      </c>
      <c r="F45" s="136" t="n">
        <f aca="false">PGL_Supplies!W9/1000</f>
        <v>0</v>
      </c>
      <c r="G45" s="136" t="n">
        <f aca="false">PGL_Supplies!W10/1000</f>
        <v>0</v>
      </c>
      <c r="H45" s="136" t="n">
        <f aca="false">PGL_Supplies!W11/1000</f>
        <v>0</v>
      </c>
      <c r="I45" s="137" t="n">
        <f aca="false">PGL_Supplies!W12/1000</f>
        <v>0</v>
      </c>
    </row>
    <row r="46" customFormat="false" ht="15.75" hidden="false" customHeight="false" outlineLevel="0" collapsed="false">
      <c r="A46" s="135"/>
      <c r="B46" s="126" t="s">
        <v>225</v>
      </c>
      <c r="C46" s="126"/>
      <c r="D46" s="136" t="n">
        <v>0</v>
      </c>
      <c r="E46" s="136" t="n">
        <v>0</v>
      </c>
      <c r="F46" s="136" t="n">
        <v>0</v>
      </c>
      <c r="G46" s="136" t="n">
        <v>0</v>
      </c>
      <c r="H46" s="136" t="n">
        <v>0</v>
      </c>
      <c r="I46" s="137" t="n">
        <v>0</v>
      </c>
    </row>
    <row r="47" customFormat="false" ht="15.75" hidden="false" customHeight="false" outlineLevel="0" collapsed="false">
      <c r="A47" s="138" t="s">
        <v>242</v>
      </c>
      <c r="B47" s="126" t="s">
        <v>243</v>
      </c>
      <c r="C47" s="126"/>
      <c r="D47" s="136" t="n">
        <f aca="false">PGL_Supplies!Y7/1000</f>
        <v>175.702</v>
      </c>
      <c r="E47" s="136" t="n">
        <f aca="false">PGL_Supplies!Y8/1000</f>
        <v>151.785</v>
      </c>
      <c r="F47" s="136" t="n">
        <f aca="false">PGL_Supplies!Y9/1000</f>
        <v>151.785</v>
      </c>
      <c r="G47" s="136" t="n">
        <f aca="false">PGL_Supplies!Y10/1000</f>
        <v>151.785</v>
      </c>
      <c r="H47" s="136" t="n">
        <f aca="false">PGL_Supplies!Y11/1000</f>
        <v>151.785</v>
      </c>
      <c r="I47" s="137" t="n">
        <f aca="false">PGL_Supplies!Y12/1000</f>
        <v>151.785</v>
      </c>
    </row>
    <row r="48" customFormat="false" ht="15.75" hidden="false" customHeight="false" outlineLevel="0" collapsed="false">
      <c r="A48" s="138"/>
      <c r="B48" s="126" t="s">
        <v>223</v>
      </c>
      <c r="C48" s="139"/>
      <c r="D48" s="136" t="n">
        <f aca="false">PGL_Supplies!Z7/1000</f>
        <v>40.2</v>
      </c>
      <c r="E48" s="136" t="n">
        <f aca="false">PGL_Supplies!Z8/1000</f>
        <v>40.2</v>
      </c>
      <c r="F48" s="136" t="n">
        <f aca="false">PGL_Supplies!Z9/1000</f>
        <v>40.2</v>
      </c>
      <c r="G48" s="136" t="n">
        <f aca="false">PGL_Supplies!Z10/1000</f>
        <v>40.2</v>
      </c>
      <c r="H48" s="136" t="n">
        <f aca="false">PGL_Supplies!Z11/1000</f>
        <v>40.2</v>
      </c>
      <c r="I48" s="137" t="n">
        <f aca="false">PGL_Supplies!Z12/1000</f>
        <v>40.2</v>
      </c>
    </row>
    <row r="49" customFormat="false" ht="15.75" hidden="false" customHeight="false" outlineLevel="0" collapsed="false">
      <c r="A49" s="138"/>
      <c r="B49" s="126" t="s">
        <v>224</v>
      </c>
      <c r="C49" s="139"/>
      <c r="D49" s="136" t="n">
        <f aca="false">PGL_Supplies!AA7/1000</f>
        <v>0</v>
      </c>
      <c r="E49" s="136" t="n">
        <f aca="false">PGL_Supplies!AA8/1000</f>
        <v>0</v>
      </c>
      <c r="F49" s="136" t="n">
        <f aca="false">PGL_Supplies!AA9/1000</f>
        <v>0</v>
      </c>
      <c r="G49" s="136" t="n">
        <f aca="false">PGL_Supplies!AA10/1000</f>
        <v>0</v>
      </c>
      <c r="H49" s="136" t="n">
        <f aca="false">PGL_Supplies!AA11/1000</f>
        <v>0</v>
      </c>
      <c r="I49" s="137" t="n">
        <f aca="false">PGL_Supplies!AA12/1000</f>
        <v>0</v>
      </c>
    </row>
    <row r="50" customFormat="false" ht="15.75" hidden="false" customHeight="false" outlineLevel="0" collapsed="false">
      <c r="A50" s="138"/>
      <c r="B50" s="126" t="s">
        <v>138</v>
      </c>
      <c r="C50" s="139"/>
      <c r="D50" s="136" t="n">
        <f aca="false">PGL_Supplies!AB7/1000</f>
        <v>212.579</v>
      </c>
      <c r="E50" s="136" t="n">
        <f aca="false">PGL_Supplies!AB8/1000</f>
        <v>233.529</v>
      </c>
      <c r="F50" s="136" t="n">
        <f aca="false">PGL_Supplies!AB9/1000</f>
        <v>233.529</v>
      </c>
      <c r="G50" s="136" t="n">
        <f aca="false">PGL_Supplies!AB10/1000</f>
        <v>233.529</v>
      </c>
      <c r="H50" s="136" t="n">
        <f aca="false">PGL_Supplies!AB11/1000</f>
        <v>233.529</v>
      </c>
      <c r="I50" s="137" t="n">
        <f aca="false">PGL_Supplies!AB12/1000</f>
        <v>233.529</v>
      </c>
    </row>
    <row r="51" customFormat="false" ht="15.75" hidden="false" customHeight="false" outlineLevel="0" collapsed="false">
      <c r="A51" s="138"/>
      <c r="B51" s="126" t="s">
        <v>225</v>
      </c>
      <c r="C51" s="126"/>
      <c r="D51" s="136" t="n">
        <f aca="false">PGL_Supplies!AC7/1000</f>
        <v>37.567</v>
      </c>
      <c r="E51" s="136" t="n">
        <f aca="false">PGL_Supplies!AC8/1000</f>
        <v>77.148</v>
      </c>
      <c r="F51" s="136" t="n">
        <f aca="false">PGL_Supplies!AC9/1000</f>
        <v>77.148</v>
      </c>
      <c r="G51" s="136" t="n">
        <f aca="false">PGL_Supplies!AC10/1000</f>
        <v>77.148</v>
      </c>
      <c r="H51" s="136" t="n">
        <f aca="false">PGL_Supplies!AC11/1000</f>
        <v>77.148</v>
      </c>
      <c r="I51" s="137" t="n">
        <f aca="false">PGL_Supplies!AC12/1000</f>
        <v>77.148</v>
      </c>
    </row>
    <row r="52" customFormat="false" ht="15.75" hidden="false" customHeight="false" outlineLevel="0" collapsed="false">
      <c r="A52" s="138"/>
      <c r="B52" s="126" t="s">
        <v>244</v>
      </c>
      <c r="C52" s="126"/>
      <c r="D52" s="136" t="n">
        <f aca="false">PGL_Supplies!AD7/1000</f>
        <v>16.5</v>
      </c>
      <c r="E52" s="136" t="n">
        <f aca="false">PGL_Supplies!AD8/1000</f>
        <v>16.5</v>
      </c>
      <c r="F52" s="136" t="n">
        <f aca="false">PGL_Supplies!AD9/1000</f>
        <v>16.5</v>
      </c>
      <c r="G52" s="136" t="n">
        <f aca="false">PGL_Supplies!AD10/1000</f>
        <v>16.5</v>
      </c>
      <c r="H52" s="136" t="n">
        <f aca="false">PGL_Supplies!AD11/1000</f>
        <v>16.5</v>
      </c>
      <c r="I52" s="137" t="n">
        <f aca="false">PGL_Supplies!AD12/1000</f>
        <v>16.5</v>
      </c>
    </row>
    <row r="53" customFormat="false" ht="15.75" hidden="false" customHeight="false" outlineLevel="0" collapsed="false">
      <c r="A53" s="138"/>
      <c r="B53" s="126" t="s">
        <v>245</v>
      </c>
      <c r="C53" s="126"/>
      <c r="D53" s="136" t="n">
        <f aca="false">PGL_Supplies!I7/1000</f>
        <v>15</v>
      </c>
      <c r="E53" s="136" t="n">
        <f aca="false">PGL_Supplies!I8/1000</f>
        <v>15</v>
      </c>
      <c r="F53" s="136" t="n">
        <f aca="false">PGL_Supplies!I9/1000</f>
        <v>15</v>
      </c>
      <c r="G53" s="136" t="n">
        <f aca="false">PGL_Supplies!I10/1000</f>
        <v>15</v>
      </c>
      <c r="H53" s="136" t="n">
        <f aca="false">PGL_Supplies!I11/1000</f>
        <v>15</v>
      </c>
      <c r="I53" s="137" t="n">
        <f aca="false">PGL_Supplies!I12/1000</f>
        <v>15</v>
      </c>
      <c r="J53" s="119" t="s">
        <v>1</v>
      </c>
    </row>
    <row r="54" customFormat="false" ht="15.75" hidden="false" customHeight="false" outlineLevel="0" collapsed="false">
      <c r="A54" s="135"/>
      <c r="B54" s="126" t="s">
        <v>246</v>
      </c>
      <c r="C54" s="126"/>
      <c r="D54" s="136" t="n">
        <f aca="false">PGL_Supplies!K7/1000</f>
        <v>0</v>
      </c>
      <c r="E54" s="136" t="n">
        <f aca="false">PGL_Supplies!K8/1000</f>
        <v>0</v>
      </c>
      <c r="F54" s="136" t="n">
        <f aca="false">PGL_Supplies!K9/1000</f>
        <v>0</v>
      </c>
      <c r="G54" s="136" t="n">
        <f aca="false">PGL_Supplies!K10/1000</f>
        <v>0</v>
      </c>
      <c r="H54" s="136" t="n">
        <f aca="false">PGL_Supplies!K11/1000</f>
        <v>0</v>
      </c>
      <c r="I54" s="137" t="n">
        <f aca="false">PGL_Supplies!K12/1000</f>
        <v>0</v>
      </c>
    </row>
    <row r="55" customFormat="false" ht="15.75" hidden="false" customHeight="false" outlineLevel="0" collapsed="false">
      <c r="A55" s="138" t="s">
        <v>247</v>
      </c>
      <c r="B55" s="126"/>
      <c r="C55" s="126"/>
      <c r="D55" s="136" t="n">
        <f aca="false">PGL_Supplies!B7/1000</f>
        <v>0</v>
      </c>
      <c r="E55" s="136" t="n">
        <f aca="false">PGL_Supplies!B8/1000</f>
        <v>0</v>
      </c>
      <c r="F55" s="136" t="n">
        <f aca="false">PGL_Supplies!B9/1000</f>
        <v>0</v>
      </c>
      <c r="G55" s="136" t="n">
        <f aca="false">PGL_Supplies!B10/1000</f>
        <v>0</v>
      </c>
      <c r="H55" s="136" t="n">
        <f aca="false">PGL_Supplies!B11/1000</f>
        <v>0</v>
      </c>
      <c r="I55" s="137" t="n">
        <f aca="false">PGL_Supplies!B12/1000</f>
        <v>0</v>
      </c>
    </row>
    <row r="56" customFormat="false" ht="15.75" hidden="false" customHeight="false" outlineLevel="0" collapsed="false">
      <c r="A56" s="135" t="s">
        <v>248</v>
      </c>
      <c r="B56" s="126" t="s">
        <v>243</v>
      </c>
      <c r="C56" s="126"/>
      <c r="D56" s="136" t="n">
        <f aca="false">PGL_Supplies!X7/1000</f>
        <v>0</v>
      </c>
      <c r="E56" s="136" t="n">
        <f aca="false">PGL_Supplies!X8/1000</f>
        <v>0</v>
      </c>
      <c r="F56" s="136" t="n">
        <f aca="false">PGL_Supplies!X9/1000</f>
        <v>0</v>
      </c>
      <c r="G56" s="136" t="n">
        <f aca="false">PGL_Supplies!X10/1000</f>
        <v>0</v>
      </c>
      <c r="H56" s="136" t="n">
        <f aca="false">PGL_Supplies!X11/1000</f>
        <v>0</v>
      </c>
      <c r="I56" s="137" t="n">
        <f aca="false">PGL_Supplies!X12/1000</f>
        <v>0</v>
      </c>
    </row>
    <row r="57" customFormat="false" ht="15.75" hidden="false" customHeight="false" outlineLevel="0" collapsed="false">
      <c r="A57" s="135"/>
      <c r="B57" s="126" t="s">
        <v>223</v>
      </c>
      <c r="C57" s="126"/>
      <c r="D57" s="136" t="n">
        <f aca="false">PGL_Supplies!C7/1000</f>
        <v>0</v>
      </c>
      <c r="E57" s="136" t="n">
        <f aca="false">PGL_Supplies!C8/1000</f>
        <v>0</v>
      </c>
      <c r="F57" s="136" t="n">
        <f aca="false">PGL_Supplies!C9/1000</f>
        <v>0</v>
      </c>
      <c r="G57" s="136" t="n">
        <f aca="false">PGL_Supplies!C10/1000</f>
        <v>0</v>
      </c>
      <c r="H57" s="136" t="n">
        <f aca="false">PGL_Supplies!C11/1000</f>
        <v>0</v>
      </c>
      <c r="I57" s="137" t="n">
        <f aca="false">PGL_Supplies!C12/1000</f>
        <v>0</v>
      </c>
    </row>
    <row r="58" customFormat="false" ht="15.75" hidden="false" customHeight="false" outlineLevel="0" collapsed="false">
      <c r="A58" s="135"/>
      <c r="B58" s="140" t="s">
        <v>224</v>
      </c>
      <c r="C58" s="126"/>
      <c r="D58" s="136" t="n">
        <f aca="false">PGL_Supplies!D7/1000</f>
        <v>0</v>
      </c>
      <c r="E58" s="136" t="n">
        <f aca="false">PGL_Supplies!D8/1000</f>
        <v>0</v>
      </c>
      <c r="F58" s="136" t="n">
        <f aca="false">PGL_Supplies!D9/1000</f>
        <v>0</v>
      </c>
      <c r="G58" s="136" t="n">
        <f aca="false">PGL_Supplies!D10/1000</f>
        <v>0</v>
      </c>
      <c r="H58" s="136" t="n">
        <f aca="false">PGL_Supplies!D11/1000</f>
        <v>0</v>
      </c>
      <c r="I58" s="137" t="n">
        <f aca="false">PGL_Supplies!D12/1000</f>
        <v>0</v>
      </c>
    </row>
    <row r="59" customFormat="false" ht="15.75" hidden="false" customHeight="false" outlineLevel="0" collapsed="false">
      <c r="A59" s="135"/>
      <c r="B59" s="126" t="s">
        <v>138</v>
      </c>
      <c r="C59" s="126"/>
      <c r="D59" s="136" t="n">
        <f aca="false">PGL_Supplies!E7/1000</f>
        <v>4.6</v>
      </c>
      <c r="E59" s="136" t="n">
        <f aca="false">PGL_Supplies!E8/1000</f>
        <v>0</v>
      </c>
      <c r="F59" s="136" t="n">
        <f aca="false">PGL_Supplies!E9/1000</f>
        <v>0</v>
      </c>
      <c r="G59" s="136" t="n">
        <f aca="false">PGL_Supplies!E10/1000</f>
        <v>0</v>
      </c>
      <c r="H59" s="136" t="n">
        <f aca="false">PGL_Supplies!E11/1000</f>
        <v>0</v>
      </c>
      <c r="I59" s="137" t="n">
        <f aca="false">PGL_Supplies!E12/1000</f>
        <v>0</v>
      </c>
    </row>
    <row r="60" customFormat="false" ht="15.75" hidden="false" customHeight="false" outlineLevel="0" collapsed="false">
      <c r="A60" s="157"/>
      <c r="B60" s="158" t="s">
        <v>244</v>
      </c>
      <c r="C60" s="158"/>
      <c r="D60" s="142" t="n">
        <f aca="false">PGL_Supplies!G7/1000</f>
        <v>0.1</v>
      </c>
      <c r="E60" s="142" t="n">
        <f aca="false">PGL_Supplies!G8/1000</f>
        <v>0</v>
      </c>
      <c r="F60" s="142" t="n">
        <f aca="false">PGL_Supplies!G9/1000</f>
        <v>0</v>
      </c>
      <c r="G60" s="142" t="n">
        <f aca="false">PGL_Supplies!G10/1000</f>
        <v>0</v>
      </c>
      <c r="H60" s="142" t="n">
        <f aca="false">PGL_Supplies!G11/1000</f>
        <v>0</v>
      </c>
      <c r="I60" s="143" t="n">
        <f aca="false">PGL_Supplies!G12/1000</f>
        <v>0</v>
      </c>
    </row>
    <row r="61" customFormat="false" ht="16.5" hidden="false" customHeight="false" outlineLevel="0" collapsed="false">
      <c r="A61" s="159" t="s">
        <v>249</v>
      </c>
      <c r="B61" s="160"/>
      <c r="C61" s="160"/>
      <c r="D61" s="161" t="n">
        <f aca="false">SUM(D33:D60)</f>
        <v>522.458</v>
      </c>
      <c r="E61" s="161" t="n">
        <f aca="false">SUM(E33:E60)</f>
        <v>542.162</v>
      </c>
      <c r="F61" s="161" t="n">
        <f aca="false">SUM(F33:F60)</f>
        <v>535.162</v>
      </c>
      <c r="G61" s="161" t="n">
        <f aca="false">SUM(G33:G60)</f>
        <v>535.162</v>
      </c>
      <c r="H61" s="161" t="n">
        <f aca="false">SUM(H33:H60)</f>
        <v>535.162</v>
      </c>
      <c r="I61" s="162" t="n">
        <f aca="false">SUM(I33:I60)</f>
        <v>535.162</v>
      </c>
    </row>
    <row r="62" customFormat="false" ht="15" hidden="false" customHeight="false" outlineLevel="0" collapsed="false">
      <c r="A62" s="163" t="s">
        <v>250</v>
      </c>
      <c r="B62" s="158"/>
      <c r="C62" s="158"/>
      <c r="D62" s="164" t="n">
        <f aca="false">IF(D61-D30&lt;0,0,D61-D30)</f>
        <v>0</v>
      </c>
      <c r="E62" s="164" t="n">
        <f aca="false">IF(E61-E30&lt;0,0,E61-E30)</f>
        <v>19.102</v>
      </c>
      <c r="F62" s="164" t="n">
        <f aca="false">IF(F61-F30&lt;0,0,F61-F30)</f>
        <v>52.102</v>
      </c>
      <c r="G62" s="164" t="n">
        <f aca="false">IF(G61-G30&lt;0,0,G61-G30)</f>
        <v>82.102</v>
      </c>
      <c r="H62" s="164" t="n">
        <f aca="false">IF(H61-H30&lt;0,0,H61-H30)</f>
        <v>72.102</v>
      </c>
      <c r="I62" s="165" t="n">
        <f aca="false">IF(I61-I30&lt;0,0,I61-I30)</f>
        <v>67.102</v>
      </c>
    </row>
    <row r="63" customFormat="false" ht="15.75" hidden="false" customHeight="false" outlineLevel="0" collapsed="false">
      <c r="A63" s="166" t="s">
        <v>251</v>
      </c>
      <c r="B63" s="145"/>
      <c r="C63" s="167"/>
      <c r="D63" s="168" t="n">
        <f aca="false">IF(D30-D61&lt;0,0,D30-D61)</f>
        <v>0.00199999999995271</v>
      </c>
      <c r="E63" s="168" t="n">
        <f aca="false">IF(E30-E61&lt;0,0,E30-E61)</f>
        <v>0</v>
      </c>
      <c r="F63" s="168" t="n">
        <f aca="false">IF(F30-F61&lt;0,0,F30-F61)</f>
        <v>0</v>
      </c>
      <c r="G63" s="168" t="n">
        <f aca="false">IF(G30-G61&lt;0,0,G30-G61)</f>
        <v>0</v>
      </c>
      <c r="H63" s="168" t="n">
        <f aca="false">IF(H30-H61&lt;0,0,H30-H61)</f>
        <v>0</v>
      </c>
      <c r="I63" s="169" t="n">
        <f aca="false">IF(I30-I61&lt;0,0,I30-I61)</f>
        <v>0</v>
      </c>
    </row>
    <row r="64" customFormat="false" ht="16.5" hidden="false" customHeight="false" outlineLevel="0" collapsed="false">
      <c r="A64" s="170" t="s">
        <v>252</v>
      </c>
      <c r="B64" s="171"/>
      <c r="C64" s="171"/>
      <c r="D64" s="172" t="n">
        <f aca="false">PGL_Supplies!V7/1000</f>
        <v>177.36</v>
      </c>
      <c r="E64" s="172" t="n">
        <f aca="false">PGL_Supplies!V8/1000</f>
        <v>177.36</v>
      </c>
      <c r="F64" s="172" t="n">
        <f aca="false">PGL_Supplies!V9/1000</f>
        <v>177.36</v>
      </c>
      <c r="G64" s="172" t="n">
        <f aca="false">PGL_Supplies!V10/1000</f>
        <v>177.36</v>
      </c>
      <c r="H64" s="172" t="n">
        <f aca="false">PGL_Supplies!V11/1000</f>
        <v>177.36</v>
      </c>
      <c r="I64" s="173" t="n">
        <f aca="false">PGL_Supplies!V12/1000</f>
        <v>177.36</v>
      </c>
    </row>
    <row r="65" customFormat="false" ht="15.75" hidden="false" customHeight="false" outlineLevel="0" collapsed="false"/>
    <row r="67" customFormat="false" ht="15" hidden="false" customHeight="false" outlineLevel="0" collapsed="false">
      <c r="C67" s="119" t="s">
        <v>253</v>
      </c>
    </row>
  </sheetData>
  <printOptions headings="false" gridLines="false" gridLinesSet="true" horizontalCentered="false" verticalCentered="false"/>
  <pageMargins left="1" right="0.25" top="0.25" bottom="0.5" header="0.511811023622047" footer="0.2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1997-07-16T13:44:22Z</dcterms:created>
  <dc:creator>BERUI</dc:creator>
  <dc:description/>
  <dc:language>en-US</dc:language>
  <cp:lastModifiedBy>CAMPJ</cp:lastModifiedBy>
  <cp:lastPrinted>2001-05-24T06:44:53Z</cp:lastPrinted>
  <cp:revision>0</cp:revision>
  <dc:subject/>
  <dc:title/>
</cp:coreProperties>
</file>