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<sst xmlns="http://schemas.openxmlformats.org/spreadsheetml/2006/main" count="2123" uniqueCount="805">
  <si>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</si>
  <si>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</si>
  <si>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</si>
  <si>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</si>
  <si>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</si>
  <si>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</si>
  <si>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</si>
  <si>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</si>
  <si>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</si>
  <si>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</si>
  <si>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</si>
  <si>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</si>
  <si>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</si>
  <si>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</si>
  <si>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</si>
  <si>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</si>
  <si>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</si>
  <si>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</si>
  <si>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</si>
  <si>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</si>
  <si>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</si>
  <si>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</si>
  <si>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</si>
  <si>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</si>
  <si>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</si>
  <si>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</si>
  <si>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</si>
  <si>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</si>
  <si>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MOSTLY SUNNY. LIGHT WINDS BECOMING S.E. 5 TO 10 MPH. OVERNIGHT…PARTLY </t>
  </si>
  <si>
    <t xml:space="preserve">CLOUDY. SOUTHEAST WINDS 5 TO 10 MPH.</t>
  </si>
  <si>
    <t xml:space="preserve">RAIN</t>
  </si>
  <si>
    <t xml:space="preserve">INCREASING CLOUDS, WITH A CHANCE OF SHOWERS AND T-STORMS THIS AFTER-</t>
  </si>
  <si>
    <t xml:space="preserve">NOON. CHANCE OF RAIN 60%.CLOUDY  WITH SHOWERS AT NIGHT.</t>
  </si>
  <si>
    <t xml:space="preserve">S</t>
  </si>
  <si>
    <t xml:space="preserve">TSTORM</t>
  </si>
  <si>
    <t xml:space="preserve">CLOUDY… A 50% CHANCE OF T-STORMS. HIGH IN THE UPPER 70S. CLOUDY AT </t>
  </si>
  <si>
    <t xml:space="preserve">NIGHT WITH A 50% CHANCE OF SHOWERS AND T-STORMS. LOW IN THE 50S.</t>
  </si>
  <si>
    <t xml:space="preserve">PARTLY CLOUDY. HIGH AROUND 70.</t>
  </si>
  <si>
    <t xml:space="preserve">FAIR.. HIGH AROUDN 75 WITH LOWS IN THE MIDDLE 50S.</t>
  </si>
  <si>
    <t xml:space="preserve">CLOUDY… HIGH IN THE MIDDLE 70S. LOWS IN THE MIDDLE 50S.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</si>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</sst>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2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250</v>
      </c>
      <c r="B1" s="119"/>
      <c r="C1" s="119"/>
      <c r="D1" s="119"/>
      <c r="E1" s="119"/>
      <c r="F1" s="119"/>
      <c r="G1" s="119" t="s">
        <v>212</v>
      </c>
      <c r="H1" s="173" t="str">
        <f aca="false">D3</f>
        <v>SUN</v>
      </c>
      <c r="I1" s="174" t="n">
        <f aca="false">D4</f>
        <v>37024</v>
      </c>
      <c r="J1" s="175"/>
    </row>
    <row r="2" customFormat="false" ht="20.1" hidden="false" customHeight="true" outlineLevel="0" collapsed="false">
      <c r="A2" s="123" t="s">
        <v>251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  <c r="J3" s="175"/>
    </row>
    <row r="4" customFormat="false" ht="20.1" hidden="false" customHeight="true" outlineLevel="0" collapsed="false">
      <c r="A4" s="129" t="s">
        <v>252</v>
      </c>
      <c r="B4" s="130"/>
      <c r="C4" s="130"/>
      <c r="D4" s="176" t="n">
        <f aca="false">Weather_Input!A5</f>
        <v>37024</v>
      </c>
      <c r="E4" s="176" t="n">
        <f aca="false">Weather_Input!A6</f>
        <v>37025</v>
      </c>
      <c r="F4" s="176" t="n">
        <f aca="false">Weather_Input!A7</f>
        <v>37026</v>
      </c>
      <c r="G4" s="176" t="n">
        <f aca="false">Weather_Input!A8</f>
        <v>37027</v>
      </c>
      <c r="H4" s="176" t="n">
        <f aca="false">Weather_Input!A9</f>
        <v>37028</v>
      </c>
      <c r="I4" s="177" t="n">
        <f aca="false">Weather_Input!A10</f>
        <v>37029</v>
      </c>
      <c r="J4" s="175"/>
    </row>
    <row r="5" customFormat="false" ht="20.1" hidden="false" customHeight="true" outlineLevel="0" collapsed="false">
      <c r="A5" s="133" t="s">
        <v>214</v>
      </c>
      <c r="B5" s="124"/>
      <c r="C5" s="124" t="s">
        <v>215</v>
      </c>
      <c r="D5" s="178" t="str">
        <f aca="false">TEXT(Weather_Input!B5,"0")&amp;"/"&amp;TEXT(Weather_Input!C5,"0")&amp;"/"&amp;TEXT((Weather_Input!B5+Weather_Input!C5)/2,"0")</f>
        <v>68/44/56</v>
      </c>
      <c r="E5" s="178" t="str">
        <f aca="false">TEXT(Weather_Input!B6,"0")&amp;"/"&amp;TEXT(Weather_Input!C6,"0")&amp;"/"&amp;TEXT((Weather_Input!B6+Weather_Input!C6)/2,"0")</f>
        <v>73/58/66</v>
      </c>
      <c r="F5" s="178" t="str">
        <f aca="false">TEXT(Weather_Input!B7,"0")&amp;"/"&amp;TEXT(Weather_Input!C7,"0")&amp;"/"&amp;TEXT((Weather_Input!B7+Weather_Input!C7)/2,"0")</f>
        <v>77/55/66</v>
      </c>
      <c r="G5" s="178" t="str">
        <f aca="false">TEXT(Weather_Input!B8,"0")&amp;"/"&amp;TEXT(Weather_Input!C8,"0")&amp;"/"&amp;TEXT((Weather_Input!B8+Weather_Input!C8)/2,"0")</f>
        <v>72/55/64</v>
      </c>
      <c r="H5" s="178" t="str">
        <f aca="false">TEXT(Weather_Input!B9,"0")&amp;"/"&amp;TEXT(Weather_Input!C9,"0")&amp;"/"&amp;TEXT((Weather_Input!B9+Weather_Input!C9)/2,"0")</f>
        <v>78/58/68</v>
      </c>
      <c r="I5" s="179" t="str">
        <f aca="false">TEXT(Weather_Input!B10,"0")&amp;"/"&amp;TEXT(Weather_Input!C10,"0")&amp;"/"&amp;TEXT((Weather_Input!B10+Weather_Input!C10)/2,"0")</f>
        <v>74/53/64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216</v>
      </c>
      <c r="B6" s="124"/>
      <c r="C6" s="124"/>
      <c r="D6" s="180" t="n">
        <f aca="true">VLOOKUP(D4,NSG_Sendouts,CELL("Col",NSG_Deliveries!C5),FALSE())/1000</f>
        <v>52</v>
      </c>
      <c r="E6" s="180" t="n">
        <f aca="true">VLOOKUP(E4,NSG_Sendouts,CELL("Col",NSG_Deliveries!C6),FALSE())/1000</f>
        <v>44</v>
      </c>
      <c r="F6" s="180" t="n">
        <f aca="true">VLOOKUP(F4,NSG_Sendouts,CELL("Col",NSG_Deliveries!C7),FALSE())/1000</f>
        <v>39</v>
      </c>
      <c r="G6" s="180" t="n">
        <f aca="true">VLOOKUP(G4,NSG_Sendouts,CELL("Col",NSG_Deliveries!C8),FALSE())/1000</f>
        <v>39</v>
      </c>
      <c r="H6" s="180" t="n">
        <f aca="true">VLOOKUP(H4,NSG_Sendouts,CELL("Col",NSG_Deliveries!C9),FALSE())/1000</f>
        <v>38</v>
      </c>
      <c r="I6" s="181" t="n">
        <f aca="true">VLOOKUP(I4,NSG_Sendouts,CELL("Col",NSG_Deliveries!C10),FALSE())/1000</f>
        <v>37</v>
      </c>
      <c r="J6" s="117"/>
    </row>
    <row r="7" customFormat="false" ht="20.1" hidden="false" customHeight="true" outlineLevel="0" collapsed="false">
      <c r="A7" s="133" t="s">
        <v>219</v>
      </c>
      <c r="B7" s="124" t="s">
        <v>222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220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221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140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223</v>
      </c>
      <c r="B11" s="124" t="s">
        <v>224</v>
      </c>
      <c r="C11" s="124" t="s">
        <v>76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220</v>
      </c>
      <c r="C12" s="138" t="s">
        <v>152</v>
      </c>
      <c r="D12" s="180" t="n">
        <f aca="false">NSG_Requirements!J7/1000</f>
        <v>12.036</v>
      </c>
      <c r="E12" s="180" t="n">
        <f aca="false">NSG_Requirements!J8/1000</f>
        <v>16.78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222</v>
      </c>
      <c r="C13" s="138" t="s">
        <v>152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220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222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221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140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253</v>
      </c>
      <c r="B18" s="156" t="s">
        <v>254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231</v>
      </c>
      <c r="B19" s="165"/>
      <c r="C19" s="165"/>
      <c r="D19" s="185" t="n">
        <f aca="false">SUM(D6:D18)</f>
        <v>64.036</v>
      </c>
      <c r="E19" s="185" t="n">
        <f aca="false">SUM(E6:E18)</f>
        <v>60.78</v>
      </c>
      <c r="F19" s="185" t="n">
        <f aca="false">SUM(F6:F18)</f>
        <v>59</v>
      </c>
      <c r="G19" s="185" t="n">
        <f aca="false">SUM(G6:G18)</f>
        <v>59</v>
      </c>
      <c r="H19" s="185" t="n">
        <f aca="false">SUM(H6:H18)</f>
        <v>58</v>
      </c>
      <c r="I19" s="186" t="n">
        <f aca="false">SUM(I6:I18)</f>
        <v>57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232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255</v>
      </c>
      <c r="B22" s="124" t="s">
        <v>224</v>
      </c>
      <c r="C22" s="124" t="s">
        <v>256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220</v>
      </c>
      <c r="C23" s="124" t="s">
        <v>257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258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222</v>
      </c>
      <c r="C25" s="138" t="s">
        <v>152</v>
      </c>
      <c r="D25" s="180" t="n">
        <f aca="false">NSG_Supplies!F7/1000</f>
        <v>12.511</v>
      </c>
      <c r="E25" s="180" t="n">
        <f aca="false">NSG_Supplies!F8/1000</f>
        <v>9</v>
      </c>
      <c r="F25" s="180" t="n">
        <f aca="false">NSG_Supplies!F9/1000</f>
        <v>9</v>
      </c>
      <c r="G25" s="180" t="n">
        <f aca="false">NSG_Supplies!F10/1000</f>
        <v>9</v>
      </c>
      <c r="H25" s="180" t="n">
        <f aca="false">NSG_Supplies!F11/1000</f>
        <v>9</v>
      </c>
      <c r="I25" s="181" t="n">
        <f aca="false">NSG_Supplies!F12/1000</f>
        <v>9</v>
      </c>
      <c r="J25" s="117"/>
    </row>
    <row r="26" customFormat="false" ht="20.1" hidden="false" customHeight="true" outlineLevel="0" collapsed="false">
      <c r="A26" s="133"/>
      <c r="B26" s="124" t="s">
        <v>126</v>
      </c>
      <c r="C26" s="124" t="s">
        <v>259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260</v>
      </c>
      <c r="B27" s="138" t="s">
        <v>220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222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221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140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261</v>
      </c>
      <c r="B31" s="124" t="s">
        <v>220</v>
      </c>
      <c r="C31" s="124" t="s">
        <v>262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222</v>
      </c>
      <c r="C32" s="193" t="s">
        <v>263</v>
      </c>
      <c r="D32" s="180" t="n">
        <f aca="false">NSG_Supplies!R7/1000</f>
        <v>31.776</v>
      </c>
      <c r="E32" s="180" t="n">
        <f aca="false">NSG_Supplies!R8/1000</f>
        <v>31.776</v>
      </c>
      <c r="F32" s="180" t="n">
        <f aca="false">NSG_Supplies!R9/1000</f>
        <v>31.776</v>
      </c>
      <c r="G32" s="180" t="n">
        <f aca="false">NSG_Supplies!R10/1000</f>
        <v>31.776</v>
      </c>
      <c r="H32" s="180" t="n">
        <f aca="false">NSG_Supplies!R11/1000</f>
        <v>31.776</v>
      </c>
      <c r="I32" s="181" t="n">
        <f aca="false">NSG_Supplies!R12/1000</f>
        <v>31.776</v>
      </c>
      <c r="J32" s="175"/>
    </row>
    <row r="33" customFormat="false" ht="20.1" hidden="false" customHeight="true" outlineLevel="0" collapsed="false">
      <c r="A33" s="133"/>
      <c r="B33" s="124" t="s">
        <v>220</v>
      </c>
      <c r="C33" s="124" t="s">
        <v>264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246</v>
      </c>
      <c r="B34" s="124" t="s">
        <v>221</v>
      </c>
      <c r="C34" s="124" t="s">
        <v>265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140</v>
      </c>
      <c r="C35" s="138" t="s">
        <v>266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254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246</v>
      </c>
      <c r="B37" s="158"/>
      <c r="C37" s="158"/>
      <c r="D37" s="195" t="n">
        <f aca="false">SUM(D22:D36)</f>
        <v>64.287</v>
      </c>
      <c r="E37" s="195" t="n">
        <f aca="false">SUM(E22:E36)</f>
        <v>60.776</v>
      </c>
      <c r="F37" s="195" t="n">
        <f aca="false">SUM(F22:F36)</f>
        <v>60.776</v>
      </c>
      <c r="G37" s="195" t="n">
        <f aca="false">SUM(G22:G36)</f>
        <v>60.776</v>
      </c>
      <c r="H37" s="195" t="n">
        <f aca="false">SUM(H22:H36)</f>
        <v>60.776</v>
      </c>
      <c r="I37" s="196" t="n">
        <f aca="false">SUM(I22:I36)</f>
        <v>60.776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247</v>
      </c>
      <c r="B38" s="198"/>
      <c r="C38" s="198"/>
      <c r="D38" s="199" t="n">
        <f aca="false">IF(D37-D19&lt;0,0,D37-D19)</f>
        <v>0.251000000000005</v>
      </c>
      <c r="E38" s="199" t="n">
        <f aca="false">IF(E37-E19&lt;0,0,E37-E19)</f>
        <v>0</v>
      </c>
      <c r="F38" s="199" t="n">
        <f aca="false">IF(F37-F19&lt;0,0,F37-F19)</f>
        <v>1.776</v>
      </c>
      <c r="G38" s="199" t="n">
        <f aca="false">IF(G37-G19&lt;0,0,G37-G19)</f>
        <v>1.776</v>
      </c>
      <c r="H38" s="199" t="n">
        <f aca="false">IF(H37-H19&lt;0,0,H37-H19)</f>
        <v>2.776</v>
      </c>
      <c r="I38" s="200" t="n">
        <f aca="false">IF(I37-I19&lt;0,0,I37-I19)</f>
        <v>3.776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248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0.00400000000000489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267</v>
      </c>
      <c r="B40" s="205"/>
      <c r="C40" s="205"/>
      <c r="D40" s="206" t="n">
        <f aca="false">NSG_Supplies!S7/1000</f>
        <v>20.831</v>
      </c>
      <c r="E40" s="206" t="n">
        <f aca="false">NSG_Supplies!S8/1000</f>
        <v>20.831</v>
      </c>
      <c r="F40" s="206" t="n">
        <f aca="false">NSG_Supplies!S9/1000</f>
        <v>20.831</v>
      </c>
      <c r="G40" s="206" t="n">
        <f aca="false">NSG_Supplies!S10/1000</f>
        <v>20.831</v>
      </c>
      <c r="H40" s="206" t="n">
        <f aca="false">NSG_Supplies!S11/1000</f>
        <v>20.831</v>
      </c>
      <c r="I40" s="207" t="n">
        <f aca="false">NSG_Supplies!S12/1000</f>
        <v>20.831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268</v>
      </c>
      <c r="B42" s="210"/>
      <c r="C42" s="210"/>
      <c r="D42" s="211" t="n">
        <f aca="false">Weather_Input!D5</f>
        <v>5.2</v>
      </c>
      <c r="E42" s="211" t="n">
        <f aca="false">Weather_Input!D6</f>
        <v>12</v>
      </c>
      <c r="F42" s="211" t="n">
        <f aca="false">Weather_Input!D7</f>
        <v>12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269</v>
      </c>
      <c r="F1" s="216" t="n">
        <f aca="false">Weather_Input!A5</f>
        <v>37024</v>
      </c>
      <c r="G1" s="217" t="str">
        <f aca="false">CHOOSE(WEEKDAY(F1),"SUN","MON","TUE","WED","THU","FRI","SAT")</f>
        <v>SUN</v>
      </c>
      <c r="H1" s="218" t="s">
        <v>270</v>
      </c>
      <c r="I1" s="219"/>
    </row>
    <row r="2" customFormat="false" ht="15.75" hidden="false" customHeight="false" outlineLevel="0" collapsed="false">
      <c r="A2" s="220" t="s">
        <v>1</v>
      </c>
      <c r="B2" s="221" t="s">
        <v>271</v>
      </c>
      <c r="C2" s="222"/>
      <c r="D2" s="223" t="s">
        <v>272</v>
      </c>
      <c r="E2" s="224"/>
      <c r="F2" s="225" t="s">
        <v>273</v>
      </c>
      <c r="G2" s="224" t="s">
        <v>1</v>
      </c>
      <c r="H2" s="225" t="s">
        <v>274</v>
      </c>
      <c r="I2" s="226"/>
    </row>
    <row r="3" customFormat="false" ht="15" hidden="false" customHeight="false" outlineLevel="0" collapsed="false">
      <c r="A3" s="227" t="s">
        <v>275</v>
      </c>
      <c r="B3" s="223" t="s">
        <v>276</v>
      </c>
      <c r="C3" s="228" t="s">
        <v>1</v>
      </c>
      <c r="D3" s="223" t="s">
        <v>17</v>
      </c>
      <c r="E3" s="228" t="s">
        <v>277</v>
      </c>
      <c r="F3" s="223" t="s">
        <v>17</v>
      </c>
      <c r="G3" s="228" t="s">
        <v>277</v>
      </c>
      <c r="H3" s="223" t="s">
        <v>17</v>
      </c>
      <c r="I3" s="226" t="s">
        <v>277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68</v>
      </c>
      <c r="C4" s="230" t="n">
        <f aca="false">Weather_Input!C5</f>
        <v>44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278</v>
      </c>
      <c r="B5" s="235"/>
      <c r="C5" s="236" t="n">
        <f aca="false">PGL_Requirements!H7/1000</f>
        <v>0.161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279</v>
      </c>
      <c r="B6" s="241" t="s">
        <v>1</v>
      </c>
      <c r="C6" s="242" t="n">
        <f aca="false">PGL_Deliveries!C5/1000</f>
        <v>265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280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281</v>
      </c>
      <c r="B9" s="253" t="s">
        <v>1</v>
      </c>
      <c r="C9" s="254" t="n">
        <f aca="false">B31</f>
        <v>24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86</v>
      </c>
      <c r="B10" s="256"/>
      <c r="C10" s="257" t="n">
        <f aca="false">+B34</f>
        <v>133.294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282</v>
      </c>
      <c r="B11" s="262" t="s">
        <v>1</v>
      </c>
      <c r="C11" s="254" t="n">
        <f aca="false">B41</f>
        <v>7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283</v>
      </c>
      <c r="B12" s="262" t="s">
        <v>1</v>
      </c>
      <c r="C12" s="254" t="n">
        <f aca="false">B55</f>
        <v>-160.763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284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285</v>
      </c>
      <c r="B14" s="263" t="s">
        <v>1</v>
      </c>
      <c r="C14" s="254" t="n">
        <f aca="false">I65</f>
        <v>179.469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286</v>
      </c>
      <c r="B15" s="262" t="s">
        <v>1</v>
      </c>
      <c r="C15" s="264" t="n">
        <f aca="false">PGL_Supplies!I7/1000</f>
        <v>18.854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287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288</v>
      </c>
      <c r="B17" s="262" t="s">
        <v>3</v>
      </c>
      <c r="C17" s="264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289</v>
      </c>
      <c r="B18" s="265" t="s">
        <v>1</v>
      </c>
      <c r="C18" s="245" t="n">
        <f aca="false">PGL_Requirements!G7/1000</f>
        <v>11.279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290</v>
      </c>
      <c r="B19" s="267" t="s">
        <v>1</v>
      </c>
      <c r="C19" s="268" t="n">
        <f aca="false">SUM(C9:C17)-C18</f>
        <v>190.575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45</v>
      </c>
      <c r="B20" s="273" t="s">
        <v>1</v>
      </c>
      <c r="C20" s="274"/>
      <c r="D20" s="275"/>
      <c r="E20" s="276"/>
      <c r="F20" s="275"/>
      <c r="G20" s="275" t="s">
        <v>291</v>
      </c>
      <c r="H20" s="275"/>
      <c r="I20" s="251"/>
    </row>
    <row r="21" customFormat="false" ht="15" hidden="false" customHeight="false" outlineLevel="0" collapsed="false">
      <c r="A21" s="261" t="s">
        <v>292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293</v>
      </c>
      <c r="B22" s="262" t="s">
        <v>1</v>
      </c>
      <c r="C22" s="254" t="n">
        <f aca="false">C6+C7-C19</f>
        <v>74.425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294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295</v>
      </c>
      <c r="B24" s="282" t="s">
        <v>1</v>
      </c>
      <c r="C24" s="283" t="n">
        <f aca="false">SUM(B54+B56+B57)</f>
        <v>2.41245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296</v>
      </c>
      <c r="B25" s="289" t="s">
        <v>1</v>
      </c>
      <c r="C25" s="290" t="n">
        <f aca="false">SUM(C22:C24)</f>
        <v>76.83745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297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298</v>
      </c>
      <c r="B27" s="300"/>
      <c r="C27" s="301" t="n">
        <f aca="false">PGL_Requirements!O7/1000</f>
        <v>0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61" t="s">
        <v>299</v>
      </c>
      <c r="B28" s="305"/>
      <c r="C28" s="306" t="n">
        <f aca="false">-PGL_Supplies!L7/1000</f>
        <v>-20.98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52" t="s">
        <v>300</v>
      </c>
      <c r="B29" s="310"/>
      <c r="C29" s="306" t="n">
        <f aca="false">-PGL_Supplies!AC7/1000</f>
        <v>-54.57</v>
      </c>
      <c r="D29" s="307" t="s">
        <v>1</v>
      </c>
      <c r="E29" s="306" t="n">
        <f aca="false">-PGL_Supplies!AC7/1000</f>
        <v>-54.57</v>
      </c>
      <c r="F29" s="303"/>
      <c r="G29" s="306" t="n">
        <f aca="false">-PGL_Supplies!AC7/1000</f>
        <v>-54.57</v>
      </c>
      <c r="H29" s="298"/>
      <c r="I29" s="299" t="n">
        <f aca="false">-PGL_Supplies!AC7/1000</f>
        <v>-54.57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86</v>
      </c>
      <c r="D30" s="314"/>
      <c r="E30" s="315"/>
      <c r="F30" s="316" t="s">
        <v>301</v>
      </c>
      <c r="G30" s="316"/>
      <c r="H30" s="316"/>
      <c r="I30" s="316"/>
      <c r="L30" s="317"/>
    </row>
    <row r="31" customFormat="false" ht="15" hidden="false" customHeight="false" outlineLevel="0" collapsed="false">
      <c r="A31" s="252" t="s">
        <v>302</v>
      </c>
      <c r="B31" s="318" t="n">
        <v>24</v>
      </c>
      <c r="C31" s="319"/>
      <c r="D31" s="320"/>
      <c r="E31" s="319"/>
      <c r="F31" s="252" t="s">
        <v>303</v>
      </c>
      <c r="G31" s="321"/>
      <c r="H31" s="322"/>
      <c r="I31" s="323"/>
      <c r="L31" s="309"/>
    </row>
    <row r="32" customFormat="false" ht="15.75" hidden="false" customHeight="false" outlineLevel="0" collapsed="false">
      <c r="A32" s="252" t="s">
        <v>304</v>
      </c>
      <c r="B32" s="301" t="n">
        <f aca="false">PGL_Requirements!J7/1000</f>
        <v>0</v>
      </c>
      <c r="C32" s="324" t="s">
        <v>1</v>
      </c>
      <c r="D32" s="325"/>
      <c r="E32" s="326"/>
      <c r="F32" s="252" t="s">
        <v>305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306</v>
      </c>
      <c r="B33" s="318" t="n">
        <f aca="false">PGL_Supplies!Y7/1000</f>
        <v>157.294</v>
      </c>
      <c r="C33" s="329" t="s">
        <v>1</v>
      </c>
      <c r="D33" s="330"/>
      <c r="E33" s="331"/>
      <c r="F33" s="252" t="s">
        <v>307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308</v>
      </c>
      <c r="B34" s="333" t="n">
        <f aca="false">+B33-B32-B31</f>
        <v>133.294</v>
      </c>
      <c r="C34" s="334" t="s">
        <v>1</v>
      </c>
      <c r="D34" s="335"/>
      <c r="E34" s="336"/>
      <c r="F34" s="252" t="s">
        <v>309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87</v>
      </c>
      <c r="D35" s="339"/>
      <c r="E35" s="340"/>
      <c r="F35" s="252" t="s">
        <v>310</v>
      </c>
      <c r="G35" s="321"/>
      <c r="H35" s="327"/>
      <c r="I35" s="341" t="s">
        <v>311</v>
      </c>
      <c r="L35" s="309"/>
    </row>
    <row r="36" customFormat="false" ht="15" hidden="false" customHeight="false" outlineLevel="0" collapsed="false">
      <c r="A36" s="252" t="s">
        <v>312</v>
      </c>
      <c r="B36" s="318" t="n">
        <f aca="false">PGL_Requirements!U7/1000</f>
        <v>33.2</v>
      </c>
      <c r="C36" s="317"/>
      <c r="D36" s="325"/>
      <c r="E36" s="326"/>
      <c r="F36" s="342" t="s">
        <v>313</v>
      </c>
      <c r="G36" s="321"/>
      <c r="H36" s="327"/>
      <c r="I36" s="343"/>
      <c r="L36" s="309"/>
    </row>
    <row r="37" customFormat="false" ht="15" hidden="false" customHeight="false" outlineLevel="0" collapsed="false">
      <c r="A37" s="252" t="s">
        <v>314</v>
      </c>
      <c r="B37" s="318" t="n">
        <f aca="false">PGL_Supplies!R7/1000</f>
        <v>0</v>
      </c>
      <c r="C37" s="325"/>
      <c r="D37" s="325"/>
      <c r="E37" s="326"/>
      <c r="F37" s="252" t="s">
        <v>315</v>
      </c>
      <c r="G37" s="321"/>
      <c r="H37" s="327"/>
      <c r="I37" s="323"/>
      <c r="L37" s="309"/>
    </row>
    <row r="38" customFormat="false" ht="15" hidden="false" customHeight="false" outlineLevel="0" collapsed="false">
      <c r="A38" s="252" t="s">
        <v>316</v>
      </c>
      <c r="B38" s="318" t="n">
        <f aca="false">PGL_Requirements!C7/1000</f>
        <v>0</v>
      </c>
      <c r="C38" s="256"/>
      <c r="D38" s="344"/>
      <c r="E38" s="345"/>
      <c r="F38" s="252" t="s">
        <v>317</v>
      </c>
      <c r="G38" s="321"/>
      <c r="H38" s="327"/>
      <c r="I38" s="323"/>
      <c r="L38" s="309"/>
    </row>
    <row r="39" customFormat="false" ht="15" hidden="false" customHeight="false" outlineLevel="0" collapsed="false">
      <c r="A39" s="252" t="s">
        <v>318</v>
      </c>
      <c r="B39" s="318" t="n">
        <f aca="false">PGL_Supplies!C7/1000</f>
        <v>0</v>
      </c>
      <c r="C39" s="256"/>
      <c r="D39" s="344"/>
      <c r="E39" s="346"/>
      <c r="F39" s="347" t="s">
        <v>319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320</v>
      </c>
      <c r="B40" s="318" t="n">
        <f aca="false">PGL_Supplies!Z7/1000</f>
        <v>40.2</v>
      </c>
      <c r="C40" s="40"/>
      <c r="D40" s="350"/>
      <c r="E40" s="40"/>
      <c r="F40" s="351" t="s">
        <v>321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308</v>
      </c>
      <c r="B41" s="353" t="n">
        <f aca="false">B40+B37-B36-B38+B39</f>
        <v>7</v>
      </c>
      <c r="C41" s="335"/>
      <c r="D41" s="335"/>
      <c r="E41" s="336"/>
      <c r="F41" s="252" t="s">
        <v>322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88</v>
      </c>
      <c r="D42" s="357"/>
      <c r="E42" s="358" t="s">
        <v>1</v>
      </c>
      <c r="F42" s="252" t="s">
        <v>323</v>
      </c>
      <c r="G42" s="321"/>
      <c r="H42" s="327"/>
      <c r="I42" s="323"/>
    </row>
    <row r="43" customFormat="false" ht="15" hidden="false" customHeight="false" outlineLevel="0" collapsed="false">
      <c r="A43" s="252" t="s">
        <v>324</v>
      </c>
      <c r="B43" s="318" t="n">
        <f aca="false">NSG_Supplies!O7/1000+PGL_Supplies!AA7/1000</f>
        <v>0</v>
      </c>
      <c r="C43" s="354"/>
      <c r="D43" s="325"/>
      <c r="E43" s="359"/>
      <c r="F43" s="252" t="s">
        <v>52</v>
      </c>
      <c r="G43" s="321"/>
      <c r="H43" s="354"/>
      <c r="I43" s="323"/>
    </row>
    <row r="44" customFormat="false" ht="15" hidden="false" customHeight="false" outlineLevel="0" collapsed="false">
      <c r="A44" s="360" t="s">
        <v>325</v>
      </c>
      <c r="B44" s="318" t="n">
        <v>0</v>
      </c>
      <c r="C44" s="317"/>
      <c r="D44" s="325"/>
      <c r="E44" s="359"/>
      <c r="F44" s="342" t="s">
        <v>326</v>
      </c>
      <c r="G44" s="361"/>
      <c r="H44" s="362"/>
      <c r="I44" s="323"/>
    </row>
    <row r="45" customFormat="false" ht="15.75" hidden="false" customHeight="false" outlineLevel="0" collapsed="false">
      <c r="A45" s="252" t="s">
        <v>327</v>
      </c>
      <c r="B45" s="363" t="n">
        <f aca="false">PGL_Requirements!D7/1000</f>
        <v>0</v>
      </c>
      <c r="C45" s="354"/>
      <c r="D45" s="325"/>
      <c r="E45" s="359"/>
      <c r="F45" s="342" t="s">
        <v>328</v>
      </c>
      <c r="G45" s="361"/>
      <c r="H45" s="364"/>
      <c r="I45" s="323"/>
    </row>
    <row r="46" customFormat="false" ht="16.5" hidden="false" customHeight="false" outlineLevel="0" collapsed="false">
      <c r="A46" s="252" t="s">
        <v>329</v>
      </c>
      <c r="B46" s="318" t="n">
        <f aca="false">PGL_Supplies!D7/1000</f>
        <v>0</v>
      </c>
      <c r="C46" s="354"/>
      <c r="D46" s="325"/>
      <c r="E46" s="359"/>
      <c r="F46" s="365" t="s">
        <v>330</v>
      </c>
      <c r="G46" s="366"/>
      <c r="H46" s="367"/>
      <c r="I46" s="323"/>
    </row>
    <row r="47" customFormat="false" ht="16.5" hidden="false" customHeight="false" outlineLevel="0" collapsed="false">
      <c r="A47" s="332" t="s">
        <v>308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331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76</v>
      </c>
      <c r="D48" s="357"/>
      <c r="E48" s="357"/>
      <c r="F48" s="374" t="s">
        <v>294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94</v>
      </c>
      <c r="B49" s="318" t="n">
        <f aca="false">PGL_Requirements!P7/1000</f>
        <v>160.83</v>
      </c>
      <c r="C49" s="325"/>
      <c r="D49" s="325"/>
      <c r="E49" s="325"/>
      <c r="F49" s="378" t="s">
        <v>332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333</v>
      </c>
      <c r="B50" s="318" t="n">
        <f aca="false">PGL_Supplies!M7/1000</f>
        <v>0</v>
      </c>
      <c r="C50" s="325"/>
      <c r="D50" s="325"/>
      <c r="E50" s="325"/>
      <c r="F50" s="380" t="s">
        <v>334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335</v>
      </c>
      <c r="B51" s="318" t="n">
        <f aca="false">SUM(PGL_Requirements!B7/1000)</f>
        <v>0</v>
      </c>
      <c r="C51" s="325"/>
      <c r="D51" s="325"/>
      <c r="E51" s="325"/>
      <c r="F51" s="384" t="s">
        <v>336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337</v>
      </c>
      <c r="B52" s="318" t="n">
        <f aca="false">PGL_Supplies!H7/1000</f>
        <v>0.627</v>
      </c>
      <c r="C52" s="325"/>
      <c r="D52" s="325"/>
      <c r="E52" s="325"/>
      <c r="F52" s="386" t="s">
        <v>338</v>
      </c>
      <c r="G52" s="386"/>
      <c r="H52" s="386"/>
      <c r="I52" s="386"/>
    </row>
    <row r="53" customFormat="false" ht="15" hidden="false" customHeight="false" outlineLevel="0" collapsed="false">
      <c r="A53" s="342" t="s">
        <v>339</v>
      </c>
      <c r="B53" s="318" t="n">
        <f aca="false">PGL_Requirements!R7/1000</f>
        <v>0.56</v>
      </c>
      <c r="C53" s="325"/>
      <c r="D53" s="325"/>
      <c r="E53" s="325"/>
      <c r="F53" s="387" t="s">
        <v>340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341</v>
      </c>
      <c r="B54" s="318" t="n">
        <f aca="false">PGL_Requirements!Q7/1000</f>
        <v>2.41245</v>
      </c>
      <c r="C54" s="330"/>
      <c r="D54" s="330"/>
      <c r="E54" s="330"/>
      <c r="F54" s="386" t="s">
        <v>342</v>
      </c>
      <c r="G54" s="386"/>
      <c r="H54" s="386"/>
      <c r="I54" s="386"/>
    </row>
    <row r="55" customFormat="false" ht="16.5" hidden="false" customHeight="false" outlineLevel="0" collapsed="false">
      <c r="A55" s="332" t="s">
        <v>336</v>
      </c>
      <c r="B55" s="391" t="n">
        <f aca="false">-B49+B50+B52-B53-B51+B56+B57</f>
        <v>-160.763</v>
      </c>
      <c r="C55" s="392"/>
      <c r="D55" s="392"/>
      <c r="E55" s="336"/>
      <c r="F55" s="351" t="s">
        <v>343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344</v>
      </c>
      <c r="B56" s="318" t="n">
        <v>0</v>
      </c>
      <c r="C56" s="322"/>
      <c r="D56" s="322"/>
      <c r="E56" s="396"/>
      <c r="F56" s="342" t="s">
        <v>345</v>
      </c>
      <c r="G56" s="321"/>
      <c r="H56" s="397" t="n">
        <f aca="false">PGL_Supplies!E7/1000</f>
        <v>0</v>
      </c>
      <c r="I56" s="398" t="s">
        <v>1</v>
      </c>
    </row>
    <row r="57" customFormat="false" ht="15" hidden="false" customHeight="false" outlineLevel="0" collapsed="false">
      <c r="A57" s="252" t="s">
        <v>346</v>
      </c>
      <c r="B57" s="399" t="n">
        <v>0</v>
      </c>
      <c r="C57" s="394"/>
      <c r="D57" s="394"/>
      <c r="E57" s="400"/>
      <c r="F57" s="252" t="s">
        <v>161</v>
      </c>
      <c r="G57" s="401"/>
      <c r="H57" s="397" t="n">
        <f aca="false">PGL_Supplies!AB7/1000+NSG_Supplies!N7/1000</f>
        <v>169.63</v>
      </c>
      <c r="I57" s="398" t="s">
        <v>1</v>
      </c>
    </row>
    <row r="58" customFormat="false" ht="15.75" hidden="false" customHeight="false" outlineLevel="0" collapsed="false">
      <c r="A58" s="252" t="s">
        <v>347</v>
      </c>
      <c r="B58" s="402" t="n">
        <v>0</v>
      </c>
      <c r="C58" s="317"/>
      <c r="D58" s="403"/>
      <c r="E58" s="404"/>
      <c r="F58" s="40" t="s">
        <v>348</v>
      </c>
      <c r="G58" s="40"/>
      <c r="H58" s="397" t="n">
        <f aca="false">PGL_Supplies!T7/1000*0.5</f>
        <v>10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44</v>
      </c>
      <c r="D59" s="407"/>
      <c r="E59" s="408"/>
      <c r="F59" s="40" t="s">
        <v>349</v>
      </c>
      <c r="G59" s="40"/>
      <c r="H59" s="409"/>
      <c r="I59" s="410" t="n">
        <f aca="false">PGL_Requirements!H7/1000</f>
        <v>0.161</v>
      </c>
    </row>
    <row r="60" customFormat="false" ht="16.5" hidden="false" customHeight="false" outlineLevel="0" collapsed="false">
      <c r="A60" s="252" t="s">
        <v>350</v>
      </c>
      <c r="B60" s="318" t="n">
        <f aca="false">PGL_Supplies!Q7/1000</f>
        <v>0</v>
      </c>
      <c r="C60" s="411" t="s">
        <v>1</v>
      </c>
      <c r="D60" s="325"/>
      <c r="E60" s="412"/>
      <c r="F60" s="365" t="s">
        <v>351</v>
      </c>
      <c r="G60" s="413"/>
      <c r="H60" s="413"/>
      <c r="I60" s="414" t="n">
        <f aca="false">SUM(H55:H59)-I55</f>
        <v>179.63</v>
      </c>
    </row>
    <row r="61" customFormat="false" ht="15" hidden="false" customHeight="false" outlineLevel="0" collapsed="false">
      <c r="A61" s="252" t="s">
        <v>352</v>
      </c>
      <c r="B61" s="379" t="n">
        <f aca="false">PGL_Requirements!F7/1000</f>
        <v>0</v>
      </c>
      <c r="C61" s="411" t="s">
        <v>1</v>
      </c>
      <c r="D61" s="325"/>
      <c r="E61" s="412"/>
      <c r="F61" s="415" t="s">
        <v>353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354</v>
      </c>
      <c r="B62" s="318" t="n">
        <f aca="false">PGL_Supplies!G7/1000</f>
        <v>0</v>
      </c>
      <c r="C62" s="318"/>
      <c r="D62" s="325"/>
      <c r="E62" s="327"/>
      <c r="F62" s="419" t="s">
        <v>355</v>
      </c>
      <c r="G62" s="317"/>
      <c r="H62" s="420" t="s">
        <v>1</v>
      </c>
      <c r="I62" s="421" t="n">
        <f aca="false">I60-I61-I63</f>
        <v>179.469</v>
      </c>
    </row>
    <row r="63" customFormat="false" ht="15.75" hidden="false" customHeight="false" outlineLevel="0" collapsed="false">
      <c r="A63" s="252" t="s">
        <v>161</v>
      </c>
      <c r="B63" s="422" t="n">
        <f aca="false">PGL_Supplies!AD7/1000</f>
        <v>0</v>
      </c>
      <c r="C63" s="423"/>
      <c r="D63" s="330"/>
      <c r="E63" s="424"/>
      <c r="F63" s="425" t="s">
        <v>356</v>
      </c>
      <c r="G63" s="426"/>
      <c r="H63" s="256"/>
      <c r="I63" s="427" t="n">
        <f aca="false">I59</f>
        <v>0.161</v>
      </c>
    </row>
    <row r="64" customFormat="false" ht="16.5" hidden="false" customHeight="false" outlineLevel="0" collapsed="false">
      <c r="A64" s="428" t="s">
        <v>357</v>
      </c>
      <c r="B64" s="429" t="n">
        <f aca="false">+B63+B62-B61+B60</f>
        <v>0</v>
      </c>
      <c r="C64" s="368" t="s">
        <v>1</v>
      </c>
      <c r="D64" s="335"/>
      <c r="E64" s="336"/>
      <c r="F64" s="430" t="s">
        <v>358</v>
      </c>
      <c r="G64" s="258"/>
      <c r="H64" s="344"/>
      <c r="I64" s="427" t="n">
        <f aca="false">PGL_Requirements!H7/1000</f>
        <v>0.161</v>
      </c>
    </row>
    <row r="65" customFormat="false" ht="15.75" hidden="false" customHeight="false" outlineLevel="0" collapsed="false">
      <c r="A65" s="387" t="s">
        <v>359</v>
      </c>
      <c r="B65" s="431"/>
      <c r="C65" s="432" t="s">
        <v>1</v>
      </c>
      <c r="D65" s="432" t="s">
        <v>1</v>
      </c>
      <c r="E65" s="433" t="s">
        <v>1</v>
      </c>
      <c r="F65" s="434" t="s">
        <v>360</v>
      </c>
      <c r="H65" s="344"/>
      <c r="I65" s="435" t="n">
        <f aca="false">+I61+I62+I63-I64-I66</f>
        <v>179.469</v>
      </c>
    </row>
    <row r="66" customFormat="false" ht="15.75" hidden="false" customHeight="false" outlineLevel="0" collapsed="false">
      <c r="A66" s="342" t="s">
        <v>361</v>
      </c>
      <c r="B66" s="436"/>
      <c r="C66" s="437" t="s">
        <v>1</v>
      </c>
      <c r="D66" s="437" t="s">
        <v>1</v>
      </c>
      <c r="E66" s="438" t="s">
        <v>1</v>
      </c>
      <c r="F66" s="439" t="s">
        <v>362</v>
      </c>
      <c r="G66" s="259"/>
      <c r="H66" s="440"/>
      <c r="I66" s="427" t="n">
        <f aca="false">PGL_Requirements!K7/1000</f>
        <v>0</v>
      </c>
    </row>
    <row r="67" customFormat="false" ht="16.5" hidden="false" customHeight="false" outlineLevel="0" collapsed="false">
      <c r="A67" s="441" t="s">
        <v>363</v>
      </c>
      <c r="B67" s="442"/>
      <c r="C67" s="443" t="s">
        <v>1</v>
      </c>
      <c r="D67" s="443" t="s">
        <v>1</v>
      </c>
      <c r="E67" s="444" t="s">
        <v>1</v>
      </c>
      <c r="F67" s="386" t="s">
        <v>364</v>
      </c>
      <c r="G67" s="386"/>
      <c r="H67" s="386"/>
      <c r="I67" s="386"/>
    </row>
    <row r="68" customFormat="false" ht="16.5" hidden="false" customHeight="false" outlineLevel="0" collapsed="false">
      <c r="A68" s="445" t="s">
        <v>365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366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367</v>
      </c>
      <c r="B69" s="453"/>
      <c r="C69" s="40"/>
      <c r="D69" s="453"/>
      <c r="E69" s="40"/>
      <c r="F69" s="378" t="s">
        <v>368</v>
      </c>
      <c r="G69" s="325"/>
      <c r="H69" s="394"/>
      <c r="I69" s="454"/>
    </row>
    <row r="70" customFormat="false" ht="16.5" hidden="false" customHeight="false" outlineLevel="0" collapsed="false">
      <c r="A70" s="332" t="s">
        <v>369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370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371</v>
      </c>
      <c r="G71" s="465"/>
      <c r="H71" s="466" t="s">
        <v>372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269</v>
      </c>
      <c r="F1" s="217" t="str">
        <f aca="false">CHOOSE(WEEKDAY(G1),"SUN","MON","TUE","WED","THU","FRI","SAT")</f>
        <v>SUN</v>
      </c>
      <c r="G1" s="471" t="n">
        <f aca="false">Weather_Input!A5</f>
        <v>37024</v>
      </c>
      <c r="H1" s="215" t="s">
        <v>270</v>
      </c>
      <c r="I1" s="219"/>
    </row>
    <row r="2" customFormat="false" ht="20.25" hidden="false" customHeight="false" outlineLevel="0" collapsed="false">
      <c r="A2" s="472" t="s">
        <v>1</v>
      </c>
      <c r="B2" s="473" t="s">
        <v>373</v>
      </c>
      <c r="C2" s="474"/>
      <c r="D2" s="38" t="s">
        <v>272</v>
      </c>
      <c r="E2" s="475"/>
      <c r="F2" s="38" t="s">
        <v>273</v>
      </c>
      <c r="G2" s="475"/>
      <c r="H2" s="476" t="s">
        <v>374</v>
      </c>
      <c r="I2" s="477"/>
    </row>
    <row r="3" customFormat="false" ht="20.25" hidden="false" customHeight="false" outlineLevel="0" collapsed="false">
      <c r="A3" s="478" t="s">
        <v>375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68</v>
      </c>
      <c r="C4" s="485" t="n">
        <f aca="false">Weather_Input!C5</f>
        <v>44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216</v>
      </c>
      <c r="B5" s="491"/>
      <c r="C5" s="492" t="n">
        <f aca="false">NSG_Deliveries!C5/1000</f>
        <v>52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130</v>
      </c>
      <c r="B7" s="491"/>
      <c r="C7" s="501" t="n">
        <f aca="false">C5-C9-C11-C12</f>
        <v>44.036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376</v>
      </c>
      <c r="B9" s="505"/>
      <c r="C9" s="506" t="n">
        <f aca="false">B46</f>
        <v>7.964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377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378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148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168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379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380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381</v>
      </c>
      <c r="B18" s="496"/>
      <c r="C18" s="497" t="s">
        <v>1</v>
      </c>
      <c r="D18" s="498"/>
      <c r="E18" s="497"/>
      <c r="F18" s="498"/>
      <c r="G18" s="275" t="s">
        <v>291</v>
      </c>
      <c r="H18" s="496"/>
      <c r="I18" s="543"/>
    </row>
    <row r="19" customFormat="false" ht="24" hidden="false" customHeight="false" outlineLevel="0" collapsed="false">
      <c r="A19" s="544" t="s">
        <v>296</v>
      </c>
      <c r="B19" s="545"/>
      <c r="C19" s="546" t="n">
        <f aca="false">C7+C12</f>
        <v>44.036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382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383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384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385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298</v>
      </c>
      <c r="B24" s="559"/>
      <c r="C24" s="552" t="n">
        <f aca="false">NSG_Requirements!H7/1000</f>
        <v>0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299</v>
      </c>
      <c r="B25" s="556"/>
      <c r="C25" s="552" t="n">
        <f aca="false">-NSG_Supplies!F7/1000</f>
        <v>-12.511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300</v>
      </c>
      <c r="B26" s="559"/>
      <c r="C26" s="552" t="n">
        <f aca="false">-NSG_Supplies!R7/1000</f>
        <v>-31.776</v>
      </c>
      <c r="D26" s="560"/>
      <c r="E26" s="552" t="n">
        <f aca="false">-NSG_Supplies!R7/1000</f>
        <v>-31.776</v>
      </c>
      <c r="F26" s="560"/>
      <c r="G26" s="552" t="n">
        <f aca="false">-NSG_Supplies!R7/1000</f>
        <v>-31.776</v>
      </c>
      <c r="H26" s="559"/>
      <c r="I26" s="561" t="n">
        <f aca="false">-NSG_Supplies!R7/1000</f>
        <v>-31.776</v>
      </c>
    </row>
    <row r="27" customFormat="false" ht="20.25" hidden="false" customHeight="false" outlineLevel="0" collapsed="false">
      <c r="A27" s="550" t="s">
        <v>386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387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377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388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389</v>
      </c>
      <c r="G30" s="580"/>
      <c r="H30" s="580"/>
      <c r="I30" s="581"/>
    </row>
    <row r="31" customFormat="false" ht="20.25" hidden="false" customHeight="false" outlineLevel="0" collapsed="false">
      <c r="A31" s="582" t="s">
        <v>390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391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392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393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394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395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161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396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397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398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399</v>
      </c>
      <c r="B41" s="599" t="n">
        <f aca="false">NSG_Requirements!J7/1000</f>
        <v>12.036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400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401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402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403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396</v>
      </c>
      <c r="B46" s="603" t="n">
        <f aca="false">B45+B42-B41</f>
        <v>7.964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88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404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405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393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161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406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407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408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269</v>
      </c>
      <c r="F1" s="629" t="n">
        <f aca="false">Weather_Input!A5</f>
        <v>37024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409</v>
      </c>
      <c r="C3" s="633" t="n">
        <v>44</v>
      </c>
      <c r="D3" s="228"/>
      <c r="E3" s="228"/>
      <c r="F3" s="633" t="s">
        <v>410</v>
      </c>
      <c r="G3" s="633"/>
      <c r="H3" s="228" t="s">
        <v>274</v>
      </c>
      <c r="I3" s="226"/>
    </row>
    <row r="4" customFormat="false" ht="17.1" hidden="false" customHeight="true" outlineLevel="0" collapsed="false">
      <c r="A4" s="240" t="s">
        <v>411</v>
      </c>
      <c r="B4" s="240" t="s">
        <v>411</v>
      </c>
      <c r="C4" s="278" t="s">
        <v>277</v>
      </c>
      <c r="D4" s="278" t="s">
        <v>17</v>
      </c>
      <c r="E4" s="278" t="s">
        <v>277</v>
      </c>
      <c r="F4" s="278" t="s">
        <v>17</v>
      </c>
      <c r="G4" s="278" t="s">
        <v>277</v>
      </c>
      <c r="H4" s="278" t="s">
        <v>17</v>
      </c>
      <c r="I4" s="234" t="s">
        <v>277</v>
      </c>
    </row>
    <row r="5" customFormat="false" ht="17.1" hidden="false" customHeight="true" outlineLevel="0" collapsed="false">
      <c r="A5" s="240" t="s">
        <v>412</v>
      </c>
      <c r="B5" s="278" t="n">
        <f aca="false">Weather_Input!B5</f>
        <v>68</v>
      </c>
      <c r="C5" s="278" t="n">
        <f aca="false">Weather_Input!C5</f>
        <v>44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413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414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415</v>
      </c>
      <c r="B8" s="636" t="n">
        <f aca="false">PGL_Deliveries!C5/1000</f>
        <v>265</v>
      </c>
      <c r="C8" s="637" t="n">
        <f aca="false">NSG_Deliveries!C5/1000</f>
        <v>52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65</v>
      </c>
      <c r="C9" s="641" t="s">
        <v>126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87</v>
      </c>
      <c r="B10" s="262" t="n">
        <f aca="false">B62</f>
        <v>7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416</v>
      </c>
      <c r="B11" s="262" t="n">
        <f aca="false">+B54</f>
        <v>176.704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417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96</v>
      </c>
      <c r="B13" s="262" t="n">
        <f aca="false">PGL_Supplies!I7/1000</f>
        <v>18.854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418</v>
      </c>
      <c r="B14" s="263" t="n">
        <f aca="false">+B72</f>
        <v>-3.536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69</v>
      </c>
      <c r="B15" s="262" t="n">
        <f aca="false">+B46</f>
        <v>0.627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419</v>
      </c>
      <c r="B16" s="262" t="n">
        <f aca="false">PGL_Requirements!G7/1000</f>
        <v>11.279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420</v>
      </c>
      <c r="B17" s="262" t="n">
        <f aca="false">PGL_Supplies!B7/1000</f>
        <v>0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421</v>
      </c>
      <c r="B18" s="650" t="n">
        <f aca="false">-B10-B11-B12-B13-B14-B15+B16-B17</f>
        <v>-188.37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77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422</v>
      </c>
      <c r="B20" s="262" t="n">
        <f aca="false">B8+B18+B19</f>
        <v>76.63</v>
      </c>
      <c r="C20" s="655" t="n">
        <f aca="false">C8+C18+C19</f>
        <v>52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423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424</v>
      </c>
      <c r="B22" s="262" t="n">
        <f aca="false">+B44</f>
        <v>2.41245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425</v>
      </c>
      <c r="B23" s="658" t="n">
        <f aca="false">B20+B21+B22</f>
        <v>79.04245</v>
      </c>
      <c r="C23" s="659" t="n">
        <f aca="false">C20</f>
        <v>52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426</v>
      </c>
      <c r="B24" s="647" t="n">
        <f aca="false">-NSG_Requirements!$L$7/1000</f>
        <v>-0</v>
      </c>
      <c r="C24" s="647" t="n">
        <f aca="false">NSG_Requirements!$L$7/1000</f>
        <v>0</v>
      </c>
      <c r="D24" s="303" t="n">
        <f aca="false">B24</f>
        <v>-0</v>
      </c>
      <c r="E24" s="647" t="n">
        <f aca="false">C24</f>
        <v>0</v>
      </c>
      <c r="F24" s="303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427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428</v>
      </c>
      <c r="B27" s="666" t="n">
        <f aca="false">PGL_Requirements!R7/1000</f>
        <v>0.56</v>
      </c>
      <c r="C27" s="666" t="n">
        <f aca="false">NSG_Requirements!P7/1000</f>
        <v>0</v>
      </c>
      <c r="D27" s="666" t="n">
        <f aca="false">PGL_Requirements!R7/1000</f>
        <v>0.56</v>
      </c>
      <c r="E27" s="666" t="n">
        <f aca="false">NSG_Requirements!P7/1000</f>
        <v>0</v>
      </c>
      <c r="F27" s="666" t="n">
        <f aca="false">PGL_Requirements!R7/1000</f>
        <v>0.56</v>
      </c>
      <c r="G27" s="666" t="n">
        <f aca="false">NSG_Requirements!P7/1000</f>
        <v>0</v>
      </c>
      <c r="H27" s="667" t="n">
        <f aca="false">+B27</f>
        <v>0.56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429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430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431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432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300</v>
      </c>
      <c r="B32" s="324" t="n">
        <f aca="false">-PGL_Supplies!AC7/1000</f>
        <v>-54.57</v>
      </c>
      <c r="C32" s="324" t="n">
        <f aca="false">-NSG_Supplies!R7/1000</f>
        <v>-31.776</v>
      </c>
      <c r="D32" s="324" t="n">
        <f aca="false">B32</f>
        <v>-54.57</v>
      </c>
      <c r="E32" s="324" t="n">
        <f aca="false">C32</f>
        <v>-31.776</v>
      </c>
      <c r="F32" s="324" t="n">
        <f aca="false">B32</f>
        <v>-54.57</v>
      </c>
      <c r="G32" s="324" t="n">
        <f aca="false">C32</f>
        <v>-31.776</v>
      </c>
      <c r="H32" s="670" t="n">
        <f aca="false">B32</f>
        <v>-54.57</v>
      </c>
      <c r="I32" s="671" t="n">
        <f aca="false">C32</f>
        <v>-31.776</v>
      </c>
    </row>
    <row r="33" customFormat="false" ht="17.1" hidden="false" customHeight="true" outlineLevel="0" collapsed="false">
      <c r="A33" s="669" t="s">
        <v>433</v>
      </c>
      <c r="B33" s="324" t="n">
        <f aca="false">-PGL_Supplies!X7/1000</f>
        <v>-0</v>
      </c>
      <c r="C33" s="324" t="n">
        <f aca="false">-NSG_Supplies!S7/1000</f>
        <v>-20.831</v>
      </c>
      <c r="D33" s="324" t="n">
        <f aca="false">B33</f>
        <v>-0</v>
      </c>
      <c r="E33" s="324" t="n">
        <f aca="false">C33</f>
        <v>-20.831</v>
      </c>
      <c r="F33" s="324" t="n">
        <f aca="false">B33</f>
        <v>-0</v>
      </c>
      <c r="G33" s="324" t="n">
        <f aca="false">C33</f>
        <v>-20.831</v>
      </c>
      <c r="H33" s="670" t="n">
        <f aca="false">B33</f>
        <v>-0</v>
      </c>
      <c r="I33" s="671" t="n">
        <f aca="false">C33</f>
        <v>-20.831</v>
      </c>
    </row>
    <row r="34" customFormat="false" ht="17.1" hidden="false" customHeight="true" outlineLevel="0" collapsed="false">
      <c r="A34" s="665" t="s">
        <v>434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435</v>
      </c>
      <c r="B35" s="666" t="n">
        <f aca="false">PGL_Requirements!O7/1000</f>
        <v>0</v>
      </c>
      <c r="C35" s="666" t="n">
        <f aca="false">NSG_Requirements!H7/1000</f>
        <v>0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436</v>
      </c>
      <c r="B36" s="324" t="n">
        <f aca="false">-PGL_Supplies!L7/1000</f>
        <v>-20.98</v>
      </c>
      <c r="C36" s="324" t="n">
        <f aca="false">-NSG_Supplies!F7/1000</f>
        <v>-12.511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437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438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439</v>
      </c>
      <c r="C39" s="679"/>
      <c r="D39" s="314"/>
      <c r="E39" s="315"/>
      <c r="F39" s="316" t="s">
        <v>301</v>
      </c>
      <c r="G39" s="316"/>
      <c r="H39" s="316"/>
      <c r="I39" s="316"/>
    </row>
    <row r="40" customFormat="false" ht="17.1" hidden="false" customHeight="true" outlineLevel="0" collapsed="false">
      <c r="A40" s="252" t="s">
        <v>101</v>
      </c>
      <c r="B40" s="324" t="n">
        <f aca="false">PGL_Requirements!P7/1000</f>
        <v>160.83</v>
      </c>
      <c r="C40" s="324" t="s">
        <v>1</v>
      </c>
      <c r="D40" s="680"/>
      <c r="E40" s="326"/>
      <c r="F40" s="681" t="s">
        <v>440</v>
      </c>
      <c r="G40" s="325"/>
      <c r="H40" s="682"/>
      <c r="I40" s="323"/>
    </row>
    <row r="41" customFormat="false" ht="17.1" hidden="false" customHeight="true" outlineLevel="0" collapsed="false">
      <c r="A41" s="252" t="s">
        <v>441</v>
      </c>
      <c r="B41" s="318" t="n">
        <f aca="false">PGL_Supplies!M7/1000</f>
        <v>0</v>
      </c>
      <c r="C41" s="324" t="s">
        <v>1</v>
      </c>
      <c r="D41" s="325"/>
      <c r="E41" s="326"/>
      <c r="F41" s="683" t="s">
        <v>442</v>
      </c>
      <c r="G41" s="325"/>
      <c r="H41" s="327"/>
      <c r="I41" s="323"/>
    </row>
    <row r="42" customFormat="false" ht="17.1" hidden="false" customHeight="true" outlineLevel="0" collapsed="false">
      <c r="A42" s="252" t="s">
        <v>443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444</v>
      </c>
      <c r="G42" s="325"/>
      <c r="H42" s="327"/>
      <c r="I42" s="323"/>
    </row>
    <row r="43" customFormat="false" ht="17.1" hidden="false" customHeight="true" outlineLevel="0" collapsed="false">
      <c r="A43" s="252" t="s">
        <v>445</v>
      </c>
      <c r="B43" s="324" t="n">
        <f aca="false">PGL_Supplies!H7/1000</f>
        <v>0.627</v>
      </c>
      <c r="C43" s="325"/>
      <c r="D43" s="325"/>
      <c r="E43" s="326"/>
      <c r="F43" s="683" t="s">
        <v>446</v>
      </c>
      <c r="G43" s="325"/>
      <c r="H43" s="327"/>
      <c r="I43" s="323"/>
    </row>
    <row r="44" customFormat="false" ht="17.1" hidden="false" customHeight="true" outlineLevel="0" collapsed="false">
      <c r="A44" s="252" t="s">
        <v>424</v>
      </c>
      <c r="B44" s="684" t="n">
        <f aca="false">+B48+B47+B45</f>
        <v>2.41245</v>
      </c>
      <c r="C44" s="685"/>
      <c r="D44" s="325"/>
      <c r="E44" s="326"/>
      <c r="F44" s="683" t="s">
        <v>447</v>
      </c>
      <c r="G44" s="325"/>
      <c r="H44" s="327"/>
      <c r="I44" s="323"/>
    </row>
    <row r="45" customFormat="false" ht="17.1" hidden="false" customHeight="true" outlineLevel="0" collapsed="false">
      <c r="A45" s="252" t="s">
        <v>103</v>
      </c>
      <c r="B45" s="324" t="n">
        <f aca="false">PGL_Requirements!Q7/1000</f>
        <v>2.41245</v>
      </c>
      <c r="C45" s="325"/>
      <c r="D45" s="325"/>
      <c r="E45" s="326"/>
      <c r="F45" s="686" t="s">
        <v>448</v>
      </c>
      <c r="G45" s="325"/>
      <c r="H45" s="327"/>
      <c r="I45" s="323"/>
    </row>
    <row r="46" customFormat="false" ht="17.1" hidden="false" customHeight="true" outlineLevel="0" collapsed="false">
      <c r="A46" s="669" t="s">
        <v>449</v>
      </c>
      <c r="B46" s="324" t="n">
        <f aca="false">+B47+B43+B41</f>
        <v>0.627</v>
      </c>
      <c r="C46" s="325"/>
      <c r="D46" s="325"/>
      <c r="E46" s="326"/>
      <c r="F46" s="683" t="s">
        <v>450</v>
      </c>
      <c r="G46" s="325"/>
      <c r="H46" s="327"/>
      <c r="I46" s="323"/>
    </row>
    <row r="47" customFormat="false" ht="17.1" hidden="false" customHeight="true" outlineLevel="0" collapsed="false">
      <c r="A47" s="252" t="s">
        <v>346</v>
      </c>
      <c r="B47" s="687" t="n">
        <v>0</v>
      </c>
      <c r="C47" s="325"/>
      <c r="D47" s="325"/>
      <c r="E47" s="326"/>
      <c r="F47" s="683" t="s">
        <v>451</v>
      </c>
      <c r="G47" s="325"/>
      <c r="H47" s="327"/>
      <c r="I47" s="323"/>
    </row>
    <row r="48" customFormat="false" ht="17.1" hidden="false" customHeight="true" outlineLevel="0" collapsed="false">
      <c r="A48" s="252" t="s">
        <v>452</v>
      </c>
      <c r="B48" s="688" t="n">
        <v>0</v>
      </c>
      <c r="C48" s="689"/>
      <c r="D48" s="689"/>
      <c r="E48" s="690"/>
      <c r="F48" s="683" t="s">
        <v>453</v>
      </c>
      <c r="G48" s="325"/>
      <c r="H48" s="327"/>
      <c r="I48" s="323"/>
    </row>
    <row r="49" customFormat="false" ht="17.1" hidden="false" customHeight="true" outlineLevel="0" collapsed="false">
      <c r="A49" s="691" t="s">
        <v>1</v>
      </c>
      <c r="B49" s="692" t="s">
        <v>454</v>
      </c>
      <c r="C49" s="692"/>
      <c r="D49" s="692"/>
      <c r="E49" s="693" t="s">
        <v>1</v>
      </c>
      <c r="F49" s="694" t="s">
        <v>455</v>
      </c>
      <c r="G49" s="330"/>
      <c r="H49" s="352"/>
      <c r="I49" s="323"/>
    </row>
    <row r="50" customFormat="false" ht="17.1" hidden="false" customHeight="true" outlineLevel="0" collapsed="false">
      <c r="A50" s="252" t="s">
        <v>456</v>
      </c>
      <c r="B50" s="318" t="n">
        <f aca="false">PGL_Supplies!V7/1000+PGL_Supplies!D7/1000</f>
        <v>176.704</v>
      </c>
      <c r="C50" s="325"/>
      <c r="D50" s="325"/>
      <c r="E50" s="325"/>
      <c r="F50" s="669" t="s">
        <v>457</v>
      </c>
      <c r="G50" s="359"/>
      <c r="H50" s="354"/>
      <c r="I50" s="323"/>
    </row>
    <row r="51" customFormat="false" ht="17.1" hidden="false" customHeight="true" outlineLevel="0" collapsed="false">
      <c r="A51" s="252" t="s">
        <v>458</v>
      </c>
      <c r="B51" s="318" t="n">
        <f aca="false">PGL_Supplies!AA7/1000</f>
        <v>0</v>
      </c>
      <c r="C51" s="685"/>
      <c r="D51" s="325"/>
      <c r="E51" s="325"/>
      <c r="F51" s="695" t="s">
        <v>459</v>
      </c>
      <c r="G51" s="359"/>
      <c r="H51" s="327"/>
      <c r="I51" s="323"/>
    </row>
    <row r="52" customFormat="false" ht="17.1" hidden="false" customHeight="true" outlineLevel="0" collapsed="false">
      <c r="A52" s="252" t="s">
        <v>460</v>
      </c>
      <c r="B52" s="318" t="n">
        <f aca="false">NSG_Supplies!O7/1000+PGL_Supplies!Q7/1000</f>
        <v>0</v>
      </c>
      <c r="C52" s="325"/>
      <c r="D52" s="325"/>
      <c r="E52" s="325"/>
      <c r="F52" s="696" t="s">
        <v>461</v>
      </c>
      <c r="G52" s="381"/>
      <c r="H52" s="697"/>
      <c r="I52" s="323"/>
    </row>
    <row r="53" customFormat="false" ht="17.1" hidden="false" customHeight="true" outlineLevel="0" collapsed="false">
      <c r="A53" s="342" t="s">
        <v>462</v>
      </c>
      <c r="B53" s="318" t="n">
        <f aca="false">PGL_Requirements!J7/1000+NSG_Requirements!E7/1000</f>
        <v>0</v>
      </c>
      <c r="C53" s="325"/>
      <c r="D53" s="325"/>
      <c r="E53" s="325"/>
      <c r="F53" s="694" t="s">
        <v>330</v>
      </c>
      <c r="G53" s="698"/>
      <c r="H53" s="685"/>
      <c r="I53" s="323"/>
    </row>
    <row r="54" customFormat="false" ht="17.1" hidden="false" customHeight="true" outlineLevel="0" collapsed="false">
      <c r="A54" s="669" t="s">
        <v>463</v>
      </c>
      <c r="B54" s="699" t="n">
        <f aca="false">SUM(B50+B51+B52-B53)</f>
        <v>176.704</v>
      </c>
      <c r="C54" s="318"/>
      <c r="D54" s="325"/>
      <c r="E54" s="325"/>
      <c r="F54" s="386" t="s">
        <v>464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3" t="s">
        <v>87</v>
      </c>
      <c r="C55" s="313"/>
      <c r="D55" s="313"/>
      <c r="E55" s="313"/>
      <c r="F55" s="378" t="s">
        <v>465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433</v>
      </c>
      <c r="B56" s="318" t="n">
        <f aca="false">PGL_Supplies!U7/1000</f>
        <v>0</v>
      </c>
      <c r="C56" s="325"/>
      <c r="D56" s="325"/>
      <c r="E56" s="325"/>
      <c r="F56" s="378" t="s">
        <v>466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467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468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469</v>
      </c>
      <c r="B58" s="318" t="n">
        <f aca="false">PGL_Requirements!U7/1000</f>
        <v>33.2</v>
      </c>
      <c r="C58" s="325"/>
      <c r="D58" s="325"/>
      <c r="E58" s="325"/>
      <c r="F58" s="378" t="s">
        <v>470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471</v>
      </c>
      <c r="B59" s="318" t="n">
        <f aca="false">PGL_Supplies!R7/1000</f>
        <v>0</v>
      </c>
      <c r="C59" s="325"/>
      <c r="D59" s="325"/>
      <c r="E59" s="325"/>
      <c r="F59" s="704" t="s">
        <v>462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462</v>
      </c>
      <c r="B60" s="318" t="n">
        <f aca="false">PGL_Requirements!I7/1000</f>
        <v>0</v>
      </c>
      <c r="C60" s="325"/>
      <c r="D60" s="325"/>
      <c r="E60" s="325"/>
      <c r="F60" s="707" t="s">
        <v>472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473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474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463</v>
      </c>
      <c r="B62" s="699" t="n">
        <f aca="false">B56+B57-B58+B59-B60+B61</f>
        <v>7</v>
      </c>
      <c r="C62" s="712"/>
      <c r="D62" s="712"/>
      <c r="E62" s="712"/>
      <c r="F62" s="713" t="s">
        <v>475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476</v>
      </c>
      <c r="D63" s="692"/>
      <c r="E63" s="715" t="s">
        <v>1</v>
      </c>
      <c r="F63" s="694" t="s">
        <v>477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433</v>
      </c>
      <c r="B64" s="318" t="n">
        <f aca="false">PGL_Supplies!Y7/1000</f>
        <v>157.294</v>
      </c>
      <c r="C64" s="325"/>
      <c r="D64" s="325"/>
      <c r="E64" s="716"/>
      <c r="F64" s="386" t="s">
        <v>478</v>
      </c>
      <c r="G64" s="386"/>
      <c r="H64" s="386"/>
      <c r="I64" s="386"/>
    </row>
    <row r="65" customFormat="false" ht="17.1" hidden="false" customHeight="true" outlineLevel="0" collapsed="false">
      <c r="A65" s="252" t="s">
        <v>479</v>
      </c>
      <c r="B65" s="318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480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481</v>
      </c>
      <c r="B66" s="318" t="n">
        <f aca="false">PGL_Supplies!AE7/1000</f>
        <v>0</v>
      </c>
      <c r="C66" s="411" t="s">
        <v>1</v>
      </c>
      <c r="D66" s="325"/>
      <c r="E66" s="412"/>
      <c r="F66" s="718" t="s">
        <v>482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483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484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485</v>
      </c>
      <c r="B68" s="318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462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486</v>
      </c>
      <c r="G69" s="719" t="s">
        <v>1</v>
      </c>
      <c r="H69" s="680" t="s">
        <v>487</v>
      </c>
      <c r="I69" s="412"/>
    </row>
    <row r="70" customFormat="false" ht="17.1" hidden="false" customHeight="true" outlineLevel="0" collapsed="false">
      <c r="A70" s="252" t="s">
        <v>488</v>
      </c>
      <c r="B70" s="379" t="n">
        <f aca="false">PGL_Requirements!P7/1000</f>
        <v>160.83</v>
      </c>
      <c r="C70" s="722" t="s">
        <v>1</v>
      </c>
      <c r="D70" s="325"/>
      <c r="E70" s="412"/>
      <c r="F70" s="727" t="s">
        <v>489</v>
      </c>
      <c r="G70" s="719" t="s">
        <v>1</v>
      </c>
      <c r="H70" s="728" t="s">
        <v>490</v>
      </c>
      <c r="I70" s="729"/>
    </row>
    <row r="71" customFormat="false" ht="17.1" hidden="false" customHeight="true" outlineLevel="0" collapsed="false">
      <c r="A71" s="252" t="s">
        <v>491</v>
      </c>
      <c r="B71" s="379" t="n">
        <f aca="false">PGL_Requirements!F7/1000</f>
        <v>0</v>
      </c>
      <c r="C71" s="411" t="s">
        <v>1</v>
      </c>
      <c r="D71" s="325"/>
      <c r="E71" s="412"/>
      <c r="F71" s="718" t="s">
        <v>492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463</v>
      </c>
      <c r="B72" s="732" t="n">
        <f aca="false">+B65+B64+B66+B68-B67-B69-B70</f>
        <v>-3.536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493</v>
      </c>
      <c r="B73" s="386"/>
      <c r="C73" s="386"/>
      <c r="D73" s="685"/>
      <c r="E73" s="685"/>
      <c r="F73" s="738" t="s">
        <v>494</v>
      </c>
      <c r="G73" s="739" t="str">
        <f aca="false">CHOOSE(WEEKDAY(H73),"SUN","MON","TUE","WED","THU","FRI","SAT")</f>
        <v>SUN</v>
      </c>
      <c r="H73" s="740" t="n">
        <f aca="false">Weather_Input!A5</f>
        <v>37024</v>
      </c>
      <c r="I73" s="383"/>
    </row>
    <row r="74" customFormat="false" ht="17.1" hidden="false" customHeight="true" outlineLevel="0" collapsed="false">
      <c r="A74" s="717" t="s">
        <v>495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496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497</v>
      </c>
      <c r="B76" s="689"/>
      <c r="C76" s="690"/>
      <c r="D76" s="744" t="s">
        <v>498</v>
      </c>
      <c r="E76" s="745"/>
      <c r="F76" s="746" t="s">
        <v>499</v>
      </c>
      <c r="G76" s="747"/>
      <c r="H76" s="748" t="s">
        <v>270</v>
      </c>
      <c r="I76" s="749" t="s">
        <v>270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500</v>
      </c>
      <c r="B90" s="214"/>
      <c r="C90" s="214"/>
      <c r="D90" s="214"/>
      <c r="E90" s="215" t="s">
        <v>269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501</v>
      </c>
      <c r="C91" s="233" t="s">
        <v>1</v>
      </c>
      <c r="D91" s="223" t="s">
        <v>502</v>
      </c>
      <c r="E91" s="224"/>
      <c r="F91" s="225" t="s">
        <v>503</v>
      </c>
      <c r="G91" s="224"/>
      <c r="H91" s="225" t="s">
        <v>274</v>
      </c>
      <c r="I91" s="226"/>
    </row>
    <row r="92" customFormat="false" ht="15" hidden="false" customHeight="false" outlineLevel="0" collapsed="false">
      <c r="A92" s="261" t="s">
        <v>504</v>
      </c>
      <c r="B92" s="223" t="s">
        <v>276</v>
      </c>
      <c r="C92" s="228" t="s">
        <v>277</v>
      </c>
      <c r="D92" s="223" t="s">
        <v>17</v>
      </c>
      <c r="E92" s="228" t="s">
        <v>277</v>
      </c>
      <c r="F92" s="223" t="s">
        <v>17</v>
      </c>
      <c r="G92" s="228" t="s">
        <v>277</v>
      </c>
      <c r="H92" s="223" t="s">
        <v>17</v>
      </c>
      <c r="I92" s="226" t="s">
        <v>277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279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417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87</v>
      </c>
      <c r="B97" s="262" t="s">
        <v>1</v>
      </c>
      <c r="C97" s="756" t="n">
        <f aca="false">B133</f>
        <v>7</v>
      </c>
      <c r="D97" s="231"/>
      <c r="E97" s="254" t="n">
        <f aca="false">+C97</f>
        <v>7</v>
      </c>
      <c r="F97" s="231"/>
      <c r="G97" s="254" t="n">
        <f aca="false">+C97</f>
        <v>7</v>
      </c>
      <c r="H97" s="231"/>
      <c r="I97" s="260" t="n">
        <f aca="false">+C97</f>
        <v>7</v>
      </c>
    </row>
    <row r="98" customFormat="false" ht="15" hidden="false" customHeight="false" outlineLevel="0" collapsed="false">
      <c r="A98" s="261" t="s">
        <v>76</v>
      </c>
      <c r="B98" s="262" t="s">
        <v>1</v>
      </c>
      <c r="C98" s="756" t="n">
        <f aca="false">B149</f>
        <v>0.627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88</v>
      </c>
      <c r="B99" s="262" t="s">
        <v>1</v>
      </c>
      <c r="C99" s="756" t="n">
        <f aca="false">B141</f>
        <v>176.704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342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286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44</v>
      </c>
      <c r="B102" s="262" t="s">
        <v>3</v>
      </c>
      <c r="C102" s="756" t="n">
        <f aca="false">B162</f>
        <v>157.294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148</v>
      </c>
      <c r="B103" s="262" t="s">
        <v>1</v>
      </c>
      <c r="C103" s="756" t="n">
        <f aca="false">PGL_Requirements!G7/1000</f>
        <v>11.279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168</v>
      </c>
      <c r="B104" s="265" t="s">
        <v>1</v>
      </c>
      <c r="C104" s="756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505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45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506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293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294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295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296</v>
      </c>
      <c r="B111" s="647" t="n">
        <f aca="false">-NSG_Requirements!$L$7/1000</f>
        <v>-0</v>
      </c>
      <c r="C111" s="647" t="n">
        <f aca="false">NSG_Requirements!$L$7/1000</f>
        <v>0</v>
      </c>
      <c r="D111" s="303" t="n">
        <f aca="false">B111</f>
        <v>-0</v>
      </c>
      <c r="E111" s="647" t="n">
        <f aca="false">C111</f>
        <v>0</v>
      </c>
      <c r="F111" s="303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507</v>
      </c>
      <c r="B112" s="647"/>
      <c r="C112" s="647"/>
      <c r="D112" s="303"/>
      <c r="E112" s="647"/>
      <c r="F112" s="303"/>
      <c r="G112" s="647"/>
      <c r="H112" s="298"/>
      <c r="I112" s="762"/>
    </row>
    <row r="113" customFormat="false" ht="15.75" hidden="false" customHeight="false" outlineLevel="0" collapsed="false">
      <c r="A113" s="252" t="s">
        <v>382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508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509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383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385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298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299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300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386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510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511</v>
      </c>
      <c r="B123" s="324" t="n">
        <f aca="false">-PGL_Supplies!X7/1000</f>
        <v>-0</v>
      </c>
      <c r="C123" s="324" t="n">
        <f aca="false">-NSG_Supplies!S7/1000</f>
        <v>-20.831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87</v>
      </c>
      <c r="D124" s="314"/>
      <c r="E124" s="315"/>
      <c r="F124" s="316" t="s">
        <v>301</v>
      </c>
      <c r="G124" s="316"/>
      <c r="H124" s="316"/>
      <c r="I124" s="316"/>
    </row>
    <row r="125" customFormat="false" ht="15" hidden="false" customHeight="false" outlineLevel="0" collapsed="false">
      <c r="A125" s="252" t="s">
        <v>388</v>
      </c>
      <c r="B125" s="324" t="n">
        <f aca="false">PGL_Requirements!U7/1000</f>
        <v>33.2</v>
      </c>
      <c r="F125" s="387" t="s">
        <v>1</v>
      </c>
      <c r="G125" s="388"/>
      <c r="H125" s="763"/>
      <c r="I125" s="323"/>
    </row>
    <row r="126" customFormat="false" ht="15" hidden="false" customHeight="false" outlineLevel="0" collapsed="false">
      <c r="A126" s="252" t="s">
        <v>512</v>
      </c>
      <c r="B126" s="318" t="n">
        <f aca="false">PGL_Supplies!R7/1000</f>
        <v>0</v>
      </c>
      <c r="C126" s="324" t="s">
        <v>1</v>
      </c>
      <c r="D126" s="325"/>
      <c r="E126" s="326"/>
      <c r="F126" s="252" t="s">
        <v>303</v>
      </c>
      <c r="G126" s="321"/>
      <c r="H126" s="348"/>
      <c r="I126" s="323"/>
    </row>
    <row r="127" customFormat="false" ht="15" hidden="false" customHeight="false" outlineLevel="0" collapsed="false">
      <c r="A127" s="252" t="s">
        <v>513</v>
      </c>
      <c r="B127" s="324" t="n">
        <f aca="false">PGL_Requirements!O7/1000</f>
        <v>0</v>
      </c>
      <c r="C127" s="324" t="s">
        <v>1</v>
      </c>
      <c r="D127" s="325"/>
      <c r="E127" s="326"/>
      <c r="F127" s="252" t="s">
        <v>305</v>
      </c>
      <c r="G127" s="321"/>
      <c r="H127" s="327"/>
      <c r="I127" s="323"/>
    </row>
    <row r="128" customFormat="false" ht="15" hidden="false" customHeight="false" outlineLevel="0" collapsed="false">
      <c r="A128" s="252" t="s">
        <v>382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307</v>
      </c>
      <c r="G128" s="321"/>
      <c r="H128" s="327"/>
      <c r="I128" s="323"/>
    </row>
    <row r="129" customFormat="false" ht="15" hidden="false" customHeight="false" outlineLevel="0" collapsed="false">
      <c r="A129" s="252" t="s">
        <v>316</v>
      </c>
      <c r="B129" s="324" t="n">
        <f aca="false">PGL_Requirements!C7/1000</f>
        <v>0</v>
      </c>
      <c r="C129" s="325"/>
      <c r="D129" s="325"/>
      <c r="E129" s="326"/>
      <c r="F129" s="252" t="s">
        <v>309</v>
      </c>
      <c r="G129" s="321"/>
      <c r="H129" s="327"/>
      <c r="I129" s="323"/>
    </row>
    <row r="130" customFormat="false" ht="15" hidden="false" customHeight="false" outlineLevel="0" collapsed="false">
      <c r="A130" s="252" t="s">
        <v>318</v>
      </c>
      <c r="B130" s="324" t="n">
        <f aca="false">PGL_Requirements!AA7/1000</f>
        <v>0</v>
      </c>
      <c r="C130" s="317"/>
      <c r="D130" s="325"/>
      <c r="E130" s="326"/>
      <c r="F130" s="252" t="s">
        <v>310</v>
      </c>
      <c r="G130" s="321"/>
      <c r="H130" s="327"/>
      <c r="I130" s="323"/>
    </row>
    <row r="131" customFormat="false" ht="15" hidden="false" customHeight="false" outlineLevel="0" collapsed="false">
      <c r="A131" s="8" t="s">
        <v>161</v>
      </c>
      <c r="B131" s="318" t="n">
        <f aca="false">PGL_Supplies!Z7/1000</f>
        <v>40.2</v>
      </c>
      <c r="C131" s="325"/>
      <c r="D131" s="325"/>
      <c r="E131" s="326"/>
      <c r="F131" s="342" t="s">
        <v>313</v>
      </c>
      <c r="G131" s="321"/>
      <c r="H131" s="327"/>
      <c r="I131" s="323"/>
    </row>
    <row r="132" customFormat="false" ht="15.75" hidden="false" customHeight="false" outlineLevel="0" collapsed="false">
      <c r="A132" s="252" t="s">
        <v>433</v>
      </c>
      <c r="B132" s="318" t="n">
        <f aca="false">PGL_Supplies!U7/1000</f>
        <v>0</v>
      </c>
      <c r="C132" s="330"/>
      <c r="D132" s="330"/>
      <c r="E132" s="331"/>
      <c r="F132" s="252" t="s">
        <v>315</v>
      </c>
      <c r="G132" s="321"/>
      <c r="H132" s="327"/>
      <c r="I132" s="323"/>
    </row>
    <row r="133" customFormat="false" ht="16.5" hidden="false" customHeight="false" outlineLevel="0" collapsed="false">
      <c r="A133" s="332" t="s">
        <v>308</v>
      </c>
      <c r="B133" s="353" t="n">
        <f aca="false">B126+B127+B130+B131+B132-B125-B128-B129</f>
        <v>7</v>
      </c>
      <c r="C133" s="335"/>
      <c r="D133" s="335"/>
      <c r="E133" s="336"/>
      <c r="F133" s="252" t="s">
        <v>317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88</v>
      </c>
      <c r="D134" s="357"/>
      <c r="E134" s="357" t="s">
        <v>1</v>
      </c>
      <c r="F134" s="765" t="s">
        <v>319</v>
      </c>
      <c r="G134" s="393"/>
      <c r="H134" s="327"/>
      <c r="I134" s="323"/>
    </row>
    <row r="135" customFormat="false" ht="15" hidden="false" customHeight="false" outlineLevel="0" collapsed="false">
      <c r="A135" s="252" t="s">
        <v>382</v>
      </c>
      <c r="B135" s="766" t="n">
        <f aca="false">PGL_Requirements!J7</f>
        <v>0</v>
      </c>
      <c r="C135" s="319"/>
      <c r="D135" s="319"/>
      <c r="E135" s="319"/>
      <c r="F135" s="351" t="s">
        <v>321</v>
      </c>
      <c r="G135" s="393"/>
      <c r="H135" s="352"/>
      <c r="I135" s="323"/>
    </row>
    <row r="136" customFormat="false" ht="15" hidden="false" customHeight="false" outlineLevel="0" collapsed="false">
      <c r="A136" s="252" t="s">
        <v>514</v>
      </c>
      <c r="B136" s="318" t="n">
        <f aca="false">NSG_Supplies!O7/1011</f>
        <v>0</v>
      </c>
      <c r="C136" s="325"/>
      <c r="D136" s="325"/>
      <c r="E136" s="325"/>
      <c r="F136" s="252" t="s">
        <v>322</v>
      </c>
      <c r="G136" s="321"/>
      <c r="H136" s="354"/>
      <c r="I136" s="323"/>
    </row>
    <row r="137" customFormat="false" ht="15" hidden="false" customHeight="false" outlineLevel="0" collapsed="false">
      <c r="A137" s="252" t="s">
        <v>515</v>
      </c>
      <c r="B137" s="318" t="n">
        <f aca="false">PGL_Supplies!AA7/1000</f>
        <v>0</v>
      </c>
      <c r="C137" s="317"/>
      <c r="D137" s="325"/>
      <c r="E137" s="325"/>
      <c r="F137" s="252" t="s">
        <v>323</v>
      </c>
      <c r="G137" s="321"/>
      <c r="H137" s="327"/>
      <c r="I137" s="323"/>
    </row>
    <row r="138" customFormat="false" ht="15" hidden="false" customHeight="false" outlineLevel="0" collapsed="false">
      <c r="A138" s="252" t="s">
        <v>327</v>
      </c>
      <c r="B138" s="766" t="n">
        <f aca="false">PGL_Requirements!D7</f>
        <v>0</v>
      </c>
      <c r="C138" s="325"/>
      <c r="D138" s="325"/>
      <c r="E138" s="325"/>
      <c r="F138" s="252" t="s">
        <v>52</v>
      </c>
      <c r="G138" s="321"/>
      <c r="H138" s="354"/>
      <c r="I138" s="323"/>
    </row>
    <row r="139" customFormat="false" ht="15" hidden="false" customHeight="false" outlineLevel="0" collapsed="false">
      <c r="A139" s="252" t="s">
        <v>329</v>
      </c>
      <c r="B139" s="318" t="n">
        <f aca="false">PGL_Supplies!D7/1000</f>
        <v>0</v>
      </c>
      <c r="C139" s="325"/>
      <c r="D139" s="325"/>
      <c r="E139" s="325"/>
      <c r="F139" s="342" t="s">
        <v>326</v>
      </c>
      <c r="G139" s="361"/>
      <c r="H139" s="362"/>
      <c r="I139" s="323"/>
    </row>
    <row r="140" customFormat="false" ht="15.75" hidden="false" customHeight="false" outlineLevel="0" collapsed="false">
      <c r="A140" s="252" t="s">
        <v>433</v>
      </c>
      <c r="B140" s="318" t="n">
        <f aca="false">PGL_Supplies!V7/1000</f>
        <v>176.704</v>
      </c>
      <c r="C140" s="330"/>
      <c r="D140" s="330"/>
      <c r="E140" s="330"/>
      <c r="F140" s="342" t="s">
        <v>328</v>
      </c>
      <c r="G140" s="361"/>
      <c r="H140" s="364"/>
      <c r="I140" s="323"/>
    </row>
    <row r="141" customFormat="false" ht="16.5" hidden="false" customHeight="false" outlineLevel="0" collapsed="false">
      <c r="A141" s="332" t="s">
        <v>308</v>
      </c>
      <c r="B141" s="767" t="n">
        <f aca="false">-B135+B136+B137-B138+B139+B140</f>
        <v>176.704</v>
      </c>
      <c r="C141" s="768"/>
      <c r="D141" s="335"/>
      <c r="E141" s="769"/>
      <c r="F141" s="365" t="s">
        <v>330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76</v>
      </c>
      <c r="D142" s="357"/>
      <c r="E142" s="357"/>
      <c r="F142" s="371" t="s">
        <v>1</v>
      </c>
      <c r="G142" s="372" t="s">
        <v>331</v>
      </c>
      <c r="H142" s="373" t="s">
        <v>1</v>
      </c>
      <c r="I142" s="373"/>
    </row>
    <row r="143" customFormat="false" ht="15" hidden="false" customHeight="false" outlineLevel="0" collapsed="false">
      <c r="A143" s="252" t="s">
        <v>94</v>
      </c>
      <c r="B143" s="318" t="n">
        <f aca="false">PGL_Requirements!P7/1000</f>
        <v>160.83</v>
      </c>
      <c r="C143" s="325"/>
      <c r="D143" s="325"/>
      <c r="E143" s="325"/>
      <c r="F143" s="374" t="s">
        <v>294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333</v>
      </c>
      <c r="B144" s="318" t="n">
        <f aca="false">PGL_Supplies!M7/1000</f>
        <v>0</v>
      </c>
      <c r="C144" s="325"/>
      <c r="D144" s="325"/>
      <c r="E144" s="325"/>
      <c r="F144" s="378" t="s">
        <v>332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335</v>
      </c>
      <c r="B145" s="318" t="n">
        <f aca="false">PGL_Requirements!B7/1000</f>
        <v>0</v>
      </c>
      <c r="C145" s="325"/>
      <c r="D145" s="325"/>
      <c r="E145" s="325"/>
      <c r="F145" s="380" t="s">
        <v>334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337</v>
      </c>
      <c r="B146" s="318" t="n">
        <f aca="false">PGL_Supplies!H7/1000</f>
        <v>0.627</v>
      </c>
      <c r="C146" s="325"/>
      <c r="D146" s="325"/>
      <c r="E146" s="325"/>
      <c r="F146" s="384" t="s">
        <v>336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295</v>
      </c>
      <c r="B147" s="318" t="s">
        <v>1</v>
      </c>
      <c r="C147" s="325"/>
      <c r="D147" s="325"/>
      <c r="E147" s="325"/>
      <c r="F147" s="386" t="s">
        <v>338</v>
      </c>
      <c r="G147" s="386"/>
      <c r="H147" s="386"/>
      <c r="I147" s="386"/>
    </row>
    <row r="148" customFormat="false" ht="15.75" hidden="false" customHeight="false" outlineLevel="0" collapsed="false">
      <c r="A148" s="252" t="s">
        <v>516</v>
      </c>
      <c r="B148" s="318" t="n">
        <f aca="false">PGL_Requirements!Q7/1000</f>
        <v>2.41245</v>
      </c>
      <c r="C148" s="330"/>
      <c r="D148" s="330"/>
      <c r="E148" s="330"/>
      <c r="F148" s="387" t="s">
        <v>340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336</v>
      </c>
      <c r="B149" s="391" t="n">
        <f aca="false">B144+B146</f>
        <v>0.627</v>
      </c>
      <c r="C149" s="392"/>
      <c r="D149" s="392"/>
      <c r="E149" s="336"/>
      <c r="F149" s="252" t="s">
        <v>1</v>
      </c>
      <c r="G149" s="321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452</v>
      </c>
      <c r="B150" s="773" t="n">
        <f aca="false">PGL_Deliveries!AE5</f>
        <v>0</v>
      </c>
      <c r="C150" s="322"/>
      <c r="D150" s="322"/>
      <c r="E150" s="396"/>
      <c r="F150" s="384" t="s">
        <v>336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346</v>
      </c>
      <c r="B151" s="773" t="n">
        <f aca="false">PGL_Deliveries!AG5</f>
        <v>0</v>
      </c>
      <c r="C151" s="712"/>
      <c r="D151" s="712"/>
      <c r="E151" s="712"/>
      <c r="F151" s="386" t="s">
        <v>342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44</v>
      </c>
      <c r="D152" s="693"/>
      <c r="E152" s="715" t="s">
        <v>1</v>
      </c>
      <c r="F152" s="387" t="s">
        <v>517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518</v>
      </c>
      <c r="B153" s="379" t="n">
        <f aca="false">PGL_Requirements!N7/1000</f>
        <v>0</v>
      </c>
      <c r="C153" s="325"/>
      <c r="D153" s="325"/>
      <c r="E153" s="716"/>
      <c r="F153" s="775" t="s">
        <v>343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350</v>
      </c>
      <c r="B154" s="318" t="n">
        <f aca="false">PGL_Supplies!AE7/1000</f>
        <v>0</v>
      </c>
      <c r="C154" s="411" t="s">
        <v>1</v>
      </c>
      <c r="D154" s="325"/>
      <c r="E154" s="412"/>
      <c r="F154" s="380" t="s">
        <v>345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52" t="s">
        <v>352</v>
      </c>
      <c r="B155" s="379" t="n">
        <f aca="false">PGL_Requirements!F7/1000</f>
        <v>0</v>
      </c>
      <c r="C155" s="411" t="s">
        <v>1</v>
      </c>
      <c r="D155" s="325"/>
      <c r="E155" s="412"/>
      <c r="F155" s="252" t="s">
        <v>161</v>
      </c>
      <c r="G155" s="401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52" t="s">
        <v>354</v>
      </c>
      <c r="B156" s="318" t="n">
        <f aca="false">PGL_Supplies!G7/1000</f>
        <v>0</v>
      </c>
      <c r="C156" s="722" t="s">
        <v>1</v>
      </c>
      <c r="D156" s="325"/>
      <c r="E156" s="412"/>
      <c r="F156" s="342" t="s">
        <v>433</v>
      </c>
      <c r="G156" s="401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52" t="s">
        <v>519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520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521</v>
      </c>
      <c r="B158" s="318" t="n">
        <f aca="false">PGL_Supplies!P7/1000</f>
        <v>0</v>
      </c>
      <c r="C158" s="722" t="s">
        <v>1</v>
      </c>
      <c r="D158" s="325"/>
      <c r="E158" s="726"/>
      <c r="F158" s="779" t="s">
        <v>522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161</v>
      </c>
      <c r="B159" s="318" t="n">
        <f aca="false">PGL_Supplies!AD7/1000</f>
        <v>0</v>
      </c>
      <c r="C159" s="722" t="s">
        <v>1</v>
      </c>
      <c r="D159" s="325"/>
      <c r="E159" s="412"/>
      <c r="F159" s="782" t="s">
        <v>493</v>
      </c>
      <c r="G159" s="782"/>
      <c r="H159" s="782"/>
      <c r="I159" s="782"/>
    </row>
    <row r="160" customFormat="false" ht="15.75" hidden="false" customHeight="false" outlineLevel="0" collapsed="false">
      <c r="A160" s="252" t="s">
        <v>433</v>
      </c>
      <c r="B160" s="783" t="n">
        <f aca="false">PGL_Supplies!Y7/1000</f>
        <v>157.294</v>
      </c>
      <c r="C160" s="423" t="s">
        <v>1</v>
      </c>
      <c r="D160" s="330"/>
      <c r="E160" s="424"/>
      <c r="F160" s="449" t="s">
        <v>366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84" t="s">
        <v>523</v>
      </c>
      <c r="B161" s="320"/>
      <c r="C161" s="785" t="s">
        <v>1</v>
      </c>
      <c r="D161" s="786"/>
      <c r="E161" s="787"/>
      <c r="F161" s="788" t="s">
        <v>368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336</v>
      </c>
      <c r="B162" s="791" t="n">
        <f aca="false">B154+B156+B158+B159+B160-B153-B155-B157-B161</f>
        <v>157.294</v>
      </c>
      <c r="C162" s="732"/>
      <c r="D162" s="733"/>
      <c r="E162" s="792"/>
      <c r="F162" s="793" t="s">
        <v>497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371</v>
      </c>
      <c r="C163" s="796"/>
      <c r="D163" s="796" t="s">
        <v>372</v>
      </c>
      <c r="E163" s="796"/>
      <c r="F163" s="796"/>
      <c r="G163" s="796"/>
      <c r="H163" s="797" t="s">
        <v>270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524</v>
      </c>
      <c r="B2" s="799" t="s">
        <v>524</v>
      </c>
      <c r="C2" s="799" t="s">
        <v>524</v>
      </c>
      <c r="D2" s="799" t="s">
        <v>524</v>
      </c>
      <c r="E2" s="799" t="s">
        <v>524</v>
      </c>
      <c r="F2" s="799" t="s">
        <v>524</v>
      </c>
      <c r="G2" s="799" t="s">
        <v>524</v>
      </c>
      <c r="H2" s="799" t="s">
        <v>524</v>
      </c>
      <c r="I2" s="800" t="s">
        <v>524</v>
      </c>
      <c r="J2" s="800"/>
    </row>
    <row r="14" customFormat="false" ht="30" hidden="false" customHeight="false" outlineLevel="0" collapsed="false">
      <c r="A14" s="799" t="s">
        <v>525</v>
      </c>
      <c r="B14" s="799" t="s">
        <v>525</v>
      </c>
      <c r="C14" s="799" t="s">
        <v>525</v>
      </c>
      <c r="D14" s="799" t="s">
        <v>525</v>
      </c>
      <c r="E14" s="799" t="s">
        <v>525</v>
      </c>
      <c r="F14" s="799" t="s">
        <v>525</v>
      </c>
      <c r="G14" s="799" t="s">
        <v>525</v>
      </c>
      <c r="H14" s="799" t="s">
        <v>525</v>
      </c>
      <c r="I14" s="800" t="s">
        <v>525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524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526</v>
      </c>
      <c r="D5" s="9" t="s">
        <v>527</v>
      </c>
      <c r="F5" s="801" t="s">
        <v>528</v>
      </c>
      <c r="G5" s="9" t="s">
        <v>529</v>
      </c>
    </row>
    <row r="6" customFormat="false" ht="15" hidden="false" customHeight="false" outlineLevel="0" collapsed="false">
      <c r="D6" s="9" t="s">
        <v>530</v>
      </c>
      <c r="G6" s="9" t="s">
        <v>531</v>
      </c>
    </row>
    <row r="7" customFormat="false" ht="15" hidden="false" customHeight="false" outlineLevel="0" collapsed="false">
      <c r="D7" s="9" t="s">
        <v>531</v>
      </c>
    </row>
    <row r="8" customFormat="false" ht="15" hidden="false" customHeight="false" outlineLevel="0" collapsed="false">
      <c r="G8" s="9" t="s">
        <v>532</v>
      </c>
    </row>
    <row r="9" customFormat="false" ht="15" hidden="false" customHeight="false" outlineLevel="0" collapsed="false">
      <c r="D9" s="9" t="s">
        <v>533</v>
      </c>
      <c r="G9" s="9" t="s">
        <v>534</v>
      </c>
    </row>
    <row r="10" customFormat="false" ht="15" hidden="false" customHeight="false" outlineLevel="0" collapsed="false">
      <c r="D10" s="9" t="s">
        <v>535</v>
      </c>
    </row>
    <row r="11" customFormat="false" ht="15.75" hidden="false" customHeight="false" outlineLevel="0" collapsed="false">
      <c r="D11" s="801" t="s">
        <v>536</v>
      </c>
    </row>
    <row r="12" customFormat="false" ht="15.75" hidden="false" customHeight="false" outlineLevel="0" collapsed="false">
      <c r="D12" s="801" t="s">
        <v>537</v>
      </c>
    </row>
    <row r="14" customFormat="false" ht="30" hidden="false" customHeight="false" outlineLevel="0" collapsed="false">
      <c r="A14" s="800" t="s">
        <v>525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538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539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540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541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542</v>
      </c>
      <c r="D22" s="804" t="n">
        <f aca="true">NOW()</f>
        <v>45927.0033899465</v>
      </c>
      <c r="F22" s="9" t="s">
        <v>543</v>
      </c>
      <c r="G22" s="805" t="n">
        <f aca="true">NOW()</f>
        <v>45927.0033899466</v>
      </c>
    </row>
    <row r="24" customFormat="false" ht="15" hidden="false" customHeight="false" outlineLevel="0" collapsed="false">
      <c r="B24" s="9" t="s">
        <v>544</v>
      </c>
      <c r="D24" s="806" t="s">
        <v>545</v>
      </c>
      <c r="E24" s="0" t="s">
        <v>1</v>
      </c>
      <c r="F24" s="9" t="s">
        <v>546</v>
      </c>
      <c r="G24" s="807" t="s">
        <v>547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548</v>
      </c>
    </row>
    <row r="27" customFormat="false" ht="15.75" hidden="false" customHeight="false" outlineLevel="0" collapsed="false">
      <c r="B27" s="808" t="s">
        <v>1</v>
      </c>
      <c r="C27" s="9" t="s">
        <v>549</v>
      </c>
    </row>
    <row r="28" customFormat="false" ht="15.75" hidden="false" customHeight="false" outlineLevel="0" collapsed="false">
      <c r="B28" s="808" t="s">
        <v>550</v>
      </c>
      <c r="C28" s="9" t="s">
        <v>551</v>
      </c>
    </row>
    <row r="29" customFormat="false" ht="15" hidden="false" customHeight="false" outlineLevel="0" collapsed="false">
      <c r="B29" s="0" t="s">
        <v>1</v>
      </c>
      <c r="C29" s="9" t="s">
        <v>552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553</v>
      </c>
      <c r="E32" s="809" t="n">
        <v>35915</v>
      </c>
    </row>
    <row r="34" customFormat="false" ht="15.75" hidden="false" customHeight="false" outlineLevel="0" collapsed="false">
      <c r="B34" s="9" t="s">
        <v>554</v>
      </c>
      <c r="E34" s="810" t="n">
        <v>0</v>
      </c>
      <c r="F34" s="0" t="s">
        <v>555</v>
      </c>
    </row>
    <row r="36" customFormat="false" ht="15.75" hidden="false" customHeight="false" outlineLevel="0" collapsed="false">
      <c r="B36" s="9" t="s">
        <v>556</v>
      </c>
      <c r="E36" s="810" t="n">
        <v>0</v>
      </c>
      <c r="F36" s="0" t="s">
        <v>555</v>
      </c>
    </row>
    <row r="38" customFormat="false" ht="15.75" hidden="false" customHeight="false" outlineLevel="0" collapsed="false">
      <c r="B38" s="0" t="s">
        <v>557</v>
      </c>
      <c r="E38" s="804" t="n">
        <f aca="false">+E32+1</f>
        <v>35916</v>
      </c>
      <c r="F38" s="810" t="n">
        <v>0</v>
      </c>
      <c r="G38" s="0" t="s">
        <v>555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555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555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555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555</v>
      </c>
    </row>
    <row r="44" customFormat="false" ht="15" hidden="false" customHeight="false" outlineLevel="0" collapsed="false">
      <c r="B44" s="9" t="s">
        <v>558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389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559</v>
      </c>
      <c r="D49" s="812"/>
    </row>
    <row r="50" customFormat="false" ht="15" hidden="false" customHeight="false" outlineLevel="0" collapsed="false">
      <c r="B50" s="813"/>
      <c r="C50" s="811" t="s">
        <v>560</v>
      </c>
    </row>
    <row r="51" customFormat="false" ht="15" hidden="false" customHeight="false" outlineLevel="0" collapsed="false">
      <c r="B51" s="813"/>
      <c r="C51" s="811" t="s">
        <v>561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562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563</v>
      </c>
      <c r="E4" s="823"/>
      <c r="F4" s="823" t="s">
        <v>564</v>
      </c>
      <c r="G4" s="823"/>
      <c r="H4" s="824"/>
      <c r="I4" s="825" t="s">
        <v>565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Sunday</v>
      </c>
      <c r="B5" s="826" t="n">
        <f aca="false">Weather_Input!A5</f>
        <v>37024</v>
      </c>
      <c r="C5" s="13"/>
      <c r="D5" s="827" t="s">
        <v>566</v>
      </c>
      <c r="E5" s="828" t="n">
        <f aca="false">Weather_Input!B5</f>
        <v>68</v>
      </c>
      <c r="F5" s="829" t="s">
        <v>567</v>
      </c>
      <c r="G5" s="830" t="n">
        <f aca="false">Weather_Input!H5</f>
        <v>12</v>
      </c>
      <c r="H5" s="831" t="s">
        <v>568</v>
      </c>
      <c r="I5" s="832" t="n">
        <f aca="true">G5-(VLOOKUP(B5,DD_Normal_Data,CELL("Col",B6),FALSE()))</f>
        <v>5</v>
      </c>
    </row>
    <row r="6" customFormat="false" ht="15" hidden="false" customHeight="false" outlineLevel="0" collapsed="false">
      <c r="A6" s="820"/>
      <c r="B6" s="826"/>
      <c r="C6" s="13"/>
      <c r="D6" s="827" t="s">
        <v>277</v>
      </c>
      <c r="E6" s="828" t="n">
        <f aca="false">Weather_Input!C5</f>
        <v>44</v>
      </c>
      <c r="F6" s="829" t="s">
        <v>569</v>
      </c>
      <c r="G6" s="830" t="n">
        <f aca="false">Weather_Input!F5</f>
        <v>65</v>
      </c>
      <c r="H6" s="831" t="s">
        <v>570</v>
      </c>
      <c r="I6" s="832" t="n">
        <f aca="true">G6-(VLOOKUP(B5,DD_Normal_Data,CELL("Col",C7),FALSE()))</f>
        <v>-57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571</v>
      </c>
      <c r="E7" s="828" t="n">
        <f aca="false">IF(Weather_Input!E5="N/A",(Weather_Input!C5+Weather_Input!B5)/2,Weather_Input!E5)</f>
        <v>56.1</v>
      </c>
      <c r="F7" s="829" t="s">
        <v>572</v>
      </c>
      <c r="G7" s="830" t="n">
        <f aca="false">Weather_Input!G5</f>
        <v>6472</v>
      </c>
      <c r="H7" s="831" t="s">
        <v>572</v>
      </c>
      <c r="I7" s="834" t="n">
        <f aca="true">G7-(VLOOKUP(B5,DD_Normal_Data,CELL("Col",D4),FALSE()))</f>
        <v>199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MOSTLY SUNNY. LIGHT WINDS BECOMING S.E. 5 TO 10 MPH. OVERNIGHT…PARTLY 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CLOUDY. SOUTHEAST WINDS 5 TO 10 MPH.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Monday</v>
      </c>
      <c r="B10" s="826" t="n">
        <f aca="false">Weather_Input!A6</f>
        <v>37025</v>
      </c>
      <c r="C10" s="13"/>
      <c r="D10" s="827" t="s">
        <v>566</v>
      </c>
      <c r="E10" s="828" t="n">
        <f aca="false">Weather_Input!B6</f>
        <v>73</v>
      </c>
      <c r="F10" s="829" t="s">
        <v>567</v>
      </c>
      <c r="G10" s="830" t="n">
        <f aca="false">IF(E12&lt;65,65-(Weather_Input!B6+Weather_Input!C6)/2,0)</f>
        <v>0</v>
      </c>
      <c r="H10" s="831" t="s">
        <v>568</v>
      </c>
      <c r="I10" s="832" t="n">
        <f aca="true">G10-(VLOOKUP(B10,DD_Normal_Data,CELL("Col",B11),FALSE()))</f>
        <v>-7</v>
      </c>
    </row>
    <row r="11" customFormat="false" ht="15" hidden="false" customHeight="false" outlineLevel="0" collapsed="false">
      <c r="A11" s="820"/>
      <c r="B11" s="826"/>
      <c r="C11" s="13"/>
      <c r="D11" s="827" t="s">
        <v>277</v>
      </c>
      <c r="E11" s="828" t="n">
        <f aca="false">Weather_Input!C6</f>
        <v>58</v>
      </c>
      <c r="F11" s="829" t="s">
        <v>569</v>
      </c>
      <c r="G11" s="830" t="n">
        <f aca="false">IF(DAY(B10)=1,G10,G6+G10)</f>
        <v>65</v>
      </c>
      <c r="H11" s="831" t="s">
        <v>570</v>
      </c>
      <c r="I11" s="832" t="n">
        <f aca="true">G11-(VLOOKUP(B10,DD_Normal_Data,CELL("Col",C12),FALSE()))</f>
        <v>-64</v>
      </c>
      <c r="DE11" s="27" t="s">
        <v>573</v>
      </c>
    </row>
    <row r="12" customFormat="false" ht="15" hidden="false" customHeight="false" outlineLevel="0" collapsed="false">
      <c r="A12" s="820"/>
      <c r="B12" s="822"/>
      <c r="C12" s="13"/>
      <c r="D12" s="827" t="s">
        <v>571</v>
      </c>
      <c r="E12" s="828" t="n">
        <f aca="false">(Weather_Input!C6+Weather_Input!B6)/2</f>
        <v>65.5</v>
      </c>
      <c r="F12" s="829" t="s">
        <v>572</v>
      </c>
      <c r="G12" s="830" t="n">
        <f aca="false">IF(AND(DAY(B10)=1,MONTH(B10)=8),G10,G7+G10)</f>
        <v>6472</v>
      </c>
      <c r="H12" s="831" t="s">
        <v>572</v>
      </c>
      <c r="I12" s="832" t="n">
        <f aca="true">G12-(VLOOKUP(B10,DD_Normal_Data,CELL("Col",D9),FALSE()))</f>
        <v>192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INCREASING CLOUDS, WITH A CHANCE OF SHOWERS AND T-STORMS THIS AFTER-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NOON. CHANCE OF RAIN 60%.CLOUDY  WITH SHOWERS AT NIGHT.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Tuesday</v>
      </c>
      <c r="B15" s="826" t="n">
        <f aca="false">Weather_Input!A7</f>
        <v>37026</v>
      </c>
      <c r="C15" s="13"/>
      <c r="D15" s="827" t="s">
        <v>566</v>
      </c>
      <c r="E15" s="828" t="n">
        <f aca="false">Weather_Input!B7</f>
        <v>77</v>
      </c>
      <c r="F15" s="829" t="s">
        <v>567</v>
      </c>
      <c r="G15" s="830" t="n">
        <f aca="false">IF(E17&lt;65,65-(Weather_Input!B7+Weather_Input!C7)/2,0)</f>
        <v>0</v>
      </c>
      <c r="H15" s="831" t="s">
        <v>568</v>
      </c>
      <c r="I15" s="832" t="n">
        <f aca="true">G15-(VLOOKUP(B15,DD_Normal_Data,CELL("Col",B16),FALSE()))</f>
        <v>-7</v>
      </c>
    </row>
    <row r="16" customFormat="false" ht="15" hidden="false" customHeight="false" outlineLevel="0" collapsed="false">
      <c r="A16" s="820"/>
      <c r="B16" s="822"/>
      <c r="C16" s="13"/>
      <c r="D16" s="827" t="s">
        <v>277</v>
      </c>
      <c r="E16" s="828" t="n">
        <f aca="false">Weather_Input!C7</f>
        <v>55</v>
      </c>
      <c r="F16" s="829" t="s">
        <v>569</v>
      </c>
      <c r="G16" s="830" t="n">
        <f aca="false">IF(DAY(B15)=1,G15,G11+G15)</f>
        <v>65</v>
      </c>
      <c r="H16" s="831" t="s">
        <v>570</v>
      </c>
      <c r="I16" s="832" t="n">
        <f aca="true">G16-(VLOOKUP(B15,DD_Normal_Data,CELL("Col",C17),FALSE()))</f>
        <v>-71</v>
      </c>
      <c r="DE16" s="27" t="s">
        <v>30</v>
      </c>
    </row>
    <row r="17" customFormat="false" ht="15" hidden="false" customHeight="false" outlineLevel="0" collapsed="false">
      <c r="A17" s="820"/>
      <c r="B17" s="826"/>
      <c r="C17" s="13"/>
      <c r="D17" s="827" t="s">
        <v>571</v>
      </c>
      <c r="E17" s="828" t="n">
        <f aca="false">(Weather_Input!C7+Weather_Input!B7)/2</f>
        <v>66</v>
      </c>
      <c r="F17" s="829" t="s">
        <v>572</v>
      </c>
      <c r="G17" s="830" t="n">
        <f aca="false">IF(AND(DAY(B15)=1,MONTH(B15)=8),G15,G12+G15)</f>
        <v>6472</v>
      </c>
      <c r="H17" s="831" t="s">
        <v>572</v>
      </c>
      <c r="I17" s="832" t="n">
        <f aca="true">G17-(VLOOKUP(B15,DD_Normal_Data,CELL("Col",D14),FALSE()))</f>
        <v>185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CLOUDY… A 50% CHANCE OF T-STORMS. HIGH IN THE UPPER 70S. CLOUDY AT 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NIGHT WITH A 50% CHANCE OF SHOWERS AND T-STORMS. LOW IN THE 50S.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Wednesday</v>
      </c>
      <c r="B20" s="826" t="n">
        <f aca="false">Weather_Input!A8</f>
        <v>37027</v>
      </c>
      <c r="C20" s="13"/>
      <c r="D20" s="827" t="s">
        <v>566</v>
      </c>
      <c r="E20" s="828" t="n">
        <f aca="false">Weather_Input!B8</f>
        <v>72</v>
      </c>
      <c r="F20" s="829" t="s">
        <v>567</v>
      </c>
      <c r="G20" s="830" t="n">
        <f aca="false">IF(E22&lt;65,65-(Weather_Input!B8+Weather_Input!C8)/2,0)</f>
        <v>1.5</v>
      </c>
      <c r="H20" s="831" t="s">
        <v>568</v>
      </c>
      <c r="I20" s="832" t="n">
        <f aca="true">G20-(VLOOKUP(B20,DD_Normal_Data,CELL("Col",B21),FALSE()))</f>
        <v>-5.5</v>
      </c>
    </row>
    <row r="21" customFormat="false" ht="15" hidden="false" customHeight="false" outlineLevel="0" collapsed="false">
      <c r="A21" s="820"/>
      <c r="B21" s="826"/>
      <c r="C21" s="13"/>
      <c r="D21" s="827" t="s">
        <v>277</v>
      </c>
      <c r="E21" s="828" t="n">
        <f aca="false">Weather_Input!C8</f>
        <v>55</v>
      </c>
      <c r="F21" s="829" t="s">
        <v>569</v>
      </c>
      <c r="G21" s="830" t="n">
        <f aca="false">IF(DAY(B20)=1,G20,G16+G20)</f>
        <v>66.5</v>
      </c>
      <c r="H21" s="831" t="s">
        <v>570</v>
      </c>
      <c r="I21" s="832" t="n">
        <f aca="true">G21-(VLOOKUP(B20,DD_Normal_Data,CELL("Col",C22),FALSE()))</f>
        <v>-76.5</v>
      </c>
      <c r="DE21" s="27" t="s">
        <v>574</v>
      </c>
    </row>
    <row r="22" customFormat="false" ht="15" hidden="false" customHeight="false" outlineLevel="0" collapsed="false">
      <c r="A22" s="820"/>
      <c r="B22" s="826"/>
      <c r="C22" s="13"/>
      <c r="D22" s="827" t="s">
        <v>571</v>
      </c>
      <c r="E22" s="828" t="n">
        <f aca="false">(Weather_Input!C8+Weather_Input!B8)/2</f>
        <v>63.5</v>
      </c>
      <c r="F22" s="829" t="s">
        <v>572</v>
      </c>
      <c r="G22" s="830" t="n">
        <f aca="false">IF(AND(DAY(B20)=1,MONTH(B20)=8),G20,G17+G20)</f>
        <v>6473.5</v>
      </c>
      <c r="H22" s="831" t="s">
        <v>572</v>
      </c>
      <c r="I22" s="832" t="n">
        <f aca="true">G22-(VLOOKUP(B20,DD_Normal_Data,CELL("Col",D19),FALSE()))</f>
        <v>179.5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PARTLY CLOUDY. HIGH AROUND 70.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Thursday</v>
      </c>
      <c r="B25" s="826" t="n">
        <f aca="false">Weather_Input!A9</f>
        <v>37028</v>
      </c>
      <c r="C25" s="13"/>
      <c r="D25" s="827" t="s">
        <v>566</v>
      </c>
      <c r="E25" s="828" t="n">
        <f aca="false">Weather_Input!B9</f>
        <v>78</v>
      </c>
      <c r="F25" s="829" t="s">
        <v>567</v>
      </c>
      <c r="G25" s="830" t="n">
        <f aca="false">IF(E27&lt;65,65-(Weather_Input!B9+Weather_Input!C9)/2,0)</f>
        <v>0</v>
      </c>
      <c r="H25" s="831" t="s">
        <v>568</v>
      </c>
      <c r="I25" s="832" t="n">
        <f aca="true">G25-(VLOOKUP(B25,DD_Normal_Data,CELL("Col",B26),FALSE()))</f>
        <v>-7</v>
      </c>
    </row>
    <row r="26" customFormat="false" ht="15" hidden="false" customHeight="false" outlineLevel="0" collapsed="false">
      <c r="A26" s="820"/>
      <c r="B26" s="826"/>
      <c r="C26" s="13"/>
      <c r="D26" s="827" t="s">
        <v>277</v>
      </c>
      <c r="E26" s="828" t="n">
        <f aca="false">Weather_Input!C9</f>
        <v>58</v>
      </c>
      <c r="F26" s="829" t="s">
        <v>569</v>
      </c>
      <c r="G26" s="830" t="n">
        <f aca="false">IF(DAY(B25)=1,G25,G21+G25)</f>
        <v>66.5</v>
      </c>
      <c r="H26" s="831" t="s">
        <v>570</v>
      </c>
      <c r="I26" s="832" t="n">
        <f aca="true">G26-(VLOOKUP(B25,DD_Normal_Data,CELL("Col",C27),FALSE()))</f>
        <v>-83.5</v>
      </c>
      <c r="DE26" s="27" t="s">
        <v>575</v>
      </c>
    </row>
    <row r="27" customFormat="false" ht="15" hidden="false" customHeight="false" outlineLevel="0" collapsed="false">
      <c r="A27" s="820"/>
      <c r="B27" s="822"/>
      <c r="C27" s="13"/>
      <c r="D27" s="827" t="s">
        <v>571</v>
      </c>
      <c r="E27" s="828" t="n">
        <f aca="false">(Weather_Input!C9+Weather_Input!B9)/2</f>
        <v>68</v>
      </c>
      <c r="F27" s="829" t="s">
        <v>572</v>
      </c>
      <c r="G27" s="830" t="n">
        <f aca="false">IF(AND(DAY(B25)=1,MONTH(B25)=8),G25,G22+G25)</f>
        <v>6473.5</v>
      </c>
      <c r="H27" s="831" t="s">
        <v>572</v>
      </c>
      <c r="I27" s="832" t="n">
        <f aca="true">G27-(VLOOKUP(B25,DD_Normal_Data,CELL("Col",D24),FALSE()))</f>
        <v>172.5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FAIR.. HIGH AROUDN 75 WITH LOWS IN THE MIDDLE 50S.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 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Friday</v>
      </c>
      <c r="B30" s="826" t="n">
        <f aca="false">Weather_Input!A10</f>
        <v>37029</v>
      </c>
      <c r="C30" s="13"/>
      <c r="D30" s="827" t="s">
        <v>566</v>
      </c>
      <c r="E30" s="828" t="n">
        <f aca="false">Weather_Input!B10</f>
        <v>74</v>
      </c>
      <c r="F30" s="829" t="s">
        <v>567</v>
      </c>
      <c r="G30" s="830" t="n">
        <f aca="false">IF(E32&lt;65,65-(Weather_Input!B10+Weather_Input!C10)/2,0)</f>
        <v>1.5</v>
      </c>
      <c r="H30" s="831" t="s">
        <v>568</v>
      </c>
      <c r="I30" s="832" t="n">
        <f aca="true">G30-(VLOOKUP(B30,DD_Normal_Data,CELL("Col",B31),FALSE()))</f>
        <v>-5.5</v>
      </c>
    </row>
    <row r="31" customFormat="false" ht="15" hidden="false" customHeight="false" outlineLevel="0" collapsed="false">
      <c r="A31" s="13"/>
      <c r="B31" s="13"/>
      <c r="C31" s="13"/>
      <c r="D31" s="827" t="s">
        <v>277</v>
      </c>
      <c r="E31" s="828" t="n">
        <f aca="false">Weather_Input!C10</f>
        <v>53</v>
      </c>
      <c r="F31" s="829" t="s">
        <v>569</v>
      </c>
      <c r="G31" s="830" t="n">
        <f aca="false">IF(DAY(B30)=1,G30,G26+G30)</f>
        <v>68</v>
      </c>
      <c r="H31" s="831" t="s">
        <v>570</v>
      </c>
      <c r="I31" s="832" t="n">
        <f aca="true">G31-(VLOOKUP(B30,DD_Normal_Data,CELL("Col",C32),FALSE()))</f>
        <v>-89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571</v>
      </c>
      <c r="E32" s="828" t="n">
        <f aca="false">(Weather_Input!C10+Weather_Input!B10)/2</f>
        <v>63.5</v>
      </c>
      <c r="F32" s="829" t="s">
        <v>572</v>
      </c>
      <c r="G32" s="830" t="n">
        <f aca="false">IF(AND(DAY(B30)=1,MONTH(B30)=8),G30,G27+G30)</f>
        <v>6475</v>
      </c>
      <c r="H32" s="831" t="s">
        <v>572</v>
      </c>
      <c r="I32" s="832" t="n">
        <f aca="true">G32-(VLOOKUP(B30,DD_Normal_Data,CELL("Col",D29),FALSE()))</f>
        <v>167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CLOUDY… HIGH IN THE MIDDLE 70S. LOWS IN THE MIDDLE 50S.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576</v>
      </c>
      <c r="B35" s="820" t="s">
        <v>251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65</v>
      </c>
      <c r="B36" s="847" t="n">
        <f aca="false">B5</f>
        <v>37024</v>
      </c>
      <c r="C36" s="847" t="n">
        <f aca="false">B10</f>
        <v>37025</v>
      </c>
      <c r="D36" s="847" t="n">
        <f aca="false">B15</f>
        <v>37026</v>
      </c>
      <c r="E36" s="847" t="n">
        <f aca="false">B20</f>
        <v>37027</v>
      </c>
      <c r="F36" s="847" t="n">
        <f aca="false">B25</f>
        <v>37028</v>
      </c>
      <c r="G36" s="847" t="n">
        <f aca="false">B30</f>
        <v>37029</v>
      </c>
      <c r="H36" s="27"/>
      <c r="I36" s="13"/>
    </row>
    <row r="37" customFormat="false" ht="15" hidden="false" customHeight="false" outlineLevel="0" collapsed="false">
      <c r="A37" s="13" t="s">
        <v>72</v>
      </c>
      <c r="B37" s="848" t="n">
        <f aca="true">(VLOOKUP(B36,PGL_Sendouts,(CELL("COL",PGL_Deliveries!C6))))/1000</f>
        <v>265</v>
      </c>
      <c r="C37" s="848" t="n">
        <f aca="true">(VLOOKUP(C36,PGL_Sendouts,(CELL("COL",PGL_Deliveries!C7))))/1000</f>
        <v>240</v>
      </c>
      <c r="D37" s="848" t="n">
        <f aca="true">(VLOOKUP(D36,PGL_Sendouts,(CELL("COL",PGL_Deliveries!C8))))/1000</f>
        <v>240</v>
      </c>
      <c r="E37" s="848" t="n">
        <f aca="true">(VLOOKUP(E36,PGL_Sendouts,(CELL("COL",PGL_Deliveries!C9))))/1000</f>
        <v>240</v>
      </c>
      <c r="F37" s="848" t="n">
        <f aca="true">(VLOOKUP(F36,PGL_Sendouts,(CELL("COL",PGL_Deliveries!C10))))/1000</f>
        <v>240</v>
      </c>
      <c r="G37" s="848" t="n">
        <f aca="true">(VLOOKUP(G36,PGL_Sendouts,(CELL("COL",PGL_Deliveries!C10))))/1000</f>
        <v>230</v>
      </c>
      <c r="H37" s="27"/>
      <c r="I37" s="13"/>
    </row>
    <row r="38" customFormat="false" ht="15" hidden="false" customHeight="false" outlineLevel="0" collapsed="false">
      <c r="A38" s="13" t="s">
        <v>577</v>
      </c>
      <c r="B38" s="848" t="n">
        <f aca="false">PGL_6_Day_Report!D30</f>
        <v>473.44245</v>
      </c>
      <c r="C38" s="848" t="n">
        <f aca="false">PGL_6_Day_Report!E30</f>
        <v>451.5</v>
      </c>
      <c r="D38" s="848" t="n">
        <f aca="false">PGL_6_Day_Report!F30</f>
        <v>452.08</v>
      </c>
      <c r="E38" s="848" t="n">
        <f aca="false">PGL_6_Day_Report!G30</f>
        <v>433.08</v>
      </c>
      <c r="F38" s="848" t="n">
        <f aca="false">PGL_6_Day_Report!H30</f>
        <v>433.08</v>
      </c>
      <c r="G38" s="848" t="n">
        <f aca="false">PGL_6_Day_Report!I30</f>
        <v>423.08</v>
      </c>
      <c r="H38" s="27"/>
      <c r="I38" s="13"/>
    </row>
    <row r="39" customFormat="false" ht="15" hidden="false" customHeight="false" outlineLevel="0" collapsed="false">
      <c r="A39" s="849" t="s">
        <v>161</v>
      </c>
      <c r="B39" s="848" t="n">
        <f aca="false">SUM(PGL_Supplies!Z7:AE7)/1000</f>
        <v>264.4</v>
      </c>
      <c r="C39" s="848" t="n">
        <f aca="false">SUM(PGL_Supplies!Z8:AE8)/1000</f>
        <v>264.4</v>
      </c>
      <c r="D39" s="848" t="n">
        <f aca="false">SUM(PGL_Supplies!Z9:AE9)/1000</f>
        <v>264.4</v>
      </c>
      <c r="E39" s="848" t="n">
        <f aca="false">SUM(PGL_Supplies!Z10:AE10)/1000</f>
        <v>264.4</v>
      </c>
      <c r="F39" s="848" t="n">
        <f aca="false">SUM(PGL_Supplies!Z11:AE11)/1000</f>
        <v>264.4</v>
      </c>
      <c r="G39" s="848" t="n">
        <f aca="false">SUM(PGL_Supplies!Z12:AE12)/1000</f>
        <v>264.4</v>
      </c>
      <c r="H39" s="27"/>
      <c r="I39" s="13"/>
    </row>
    <row r="40" customFormat="false" ht="15" hidden="false" customHeight="false" outlineLevel="0" collapsed="false">
      <c r="A40" s="849" t="s">
        <v>578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579</v>
      </c>
      <c r="B41" s="848" t="n">
        <f aca="false">SUM(PGL_Requirements!R7:U7)/1000</f>
        <v>33.76</v>
      </c>
      <c r="C41" s="848" t="n">
        <f aca="false">SUM(PGL_Requirements!R7:U7)/1000</f>
        <v>33.76</v>
      </c>
      <c r="D41" s="848" t="n">
        <f aca="false">SUM(PGL_Requirements!R7:U7)/1000</f>
        <v>33.76</v>
      </c>
      <c r="E41" s="848" t="n">
        <f aca="false">SUM(PGL_Requirements!R7:U7)/1000</f>
        <v>33.76</v>
      </c>
      <c r="F41" s="848" t="n">
        <f aca="false">SUM(PGL_Requirements!R7:U7)/1000</f>
        <v>33.76</v>
      </c>
      <c r="G41" s="848" t="n">
        <f aca="false">SUM(PGL_Requirements!R7:U7)/1000</f>
        <v>33.76</v>
      </c>
      <c r="H41" s="27"/>
      <c r="I41" s="13"/>
    </row>
    <row r="42" customFormat="false" ht="15" hidden="false" customHeight="false" outlineLevel="0" collapsed="false">
      <c r="A42" s="13" t="s">
        <v>580</v>
      </c>
      <c r="B42" s="848" t="n">
        <f aca="false">PGL_Supplies!V7/1000</f>
        <v>176.704</v>
      </c>
      <c r="C42" s="848" t="n">
        <f aca="false">PGL_Supplies!V8/1000</f>
        <v>176.704</v>
      </c>
      <c r="D42" s="848" t="n">
        <f aca="false">PGL_Supplies!V9/1000</f>
        <v>176.704</v>
      </c>
      <c r="E42" s="848" t="n">
        <f aca="false">PGL_Supplies!V10/1000</f>
        <v>176.704</v>
      </c>
      <c r="F42" s="848" t="n">
        <f aca="false">PGL_Supplies!V11/1000</f>
        <v>176.704</v>
      </c>
      <c r="G42" s="848" t="n">
        <f aca="false">PGL_Supplies!V12/1000</f>
        <v>176.704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126</v>
      </c>
      <c r="B44" s="847" t="n">
        <f aca="false">B36</f>
        <v>37024</v>
      </c>
      <c r="C44" s="847" t="n">
        <f aca="false">C36</f>
        <v>37025</v>
      </c>
      <c r="D44" s="847" t="n">
        <f aca="false">D36</f>
        <v>37026</v>
      </c>
      <c r="E44" s="847" t="n">
        <f aca="false">E36</f>
        <v>37027</v>
      </c>
      <c r="F44" s="847" t="n">
        <f aca="false">F36</f>
        <v>37028</v>
      </c>
      <c r="G44" s="847" t="n">
        <f aca="false">G36</f>
        <v>37029</v>
      </c>
      <c r="H44" s="27"/>
      <c r="I44" s="13"/>
    </row>
    <row r="45" customFormat="false" ht="15" hidden="false" customHeight="false" outlineLevel="0" collapsed="false">
      <c r="A45" s="13" t="s">
        <v>72</v>
      </c>
      <c r="B45" s="848" t="n">
        <f aca="false">NSG_6_Day_Report!D6</f>
        <v>52</v>
      </c>
      <c r="C45" s="848" t="n">
        <f aca="false">NSG_6_Day_Report!E6</f>
        <v>44</v>
      </c>
      <c r="D45" s="848" t="n">
        <f aca="false">NSG_6_Day_Report!F6</f>
        <v>39</v>
      </c>
      <c r="E45" s="848" t="n">
        <f aca="false">NSG_6_Day_Report!G6</f>
        <v>39</v>
      </c>
      <c r="F45" s="848" t="n">
        <f aca="false">NSG_6_Day_Report!H6</f>
        <v>38</v>
      </c>
      <c r="G45" s="848" t="n">
        <f aca="false">NSG_6_Day_Report!I6</f>
        <v>37</v>
      </c>
      <c r="H45" s="27"/>
      <c r="I45" s="13"/>
    </row>
    <row r="46" customFormat="false" ht="15" hidden="false" customHeight="false" outlineLevel="0" collapsed="false">
      <c r="A46" s="849" t="s">
        <v>577</v>
      </c>
      <c r="B46" s="848" t="n">
        <f aca="false">NSG_6_Day_Report!D19</f>
        <v>64.036</v>
      </c>
      <c r="C46" s="848" t="n">
        <f aca="false">NSG_6_Day_Report!E19</f>
        <v>60.78</v>
      </c>
      <c r="D46" s="848" t="n">
        <f aca="false">NSG_6_Day_Report!F19</f>
        <v>59</v>
      </c>
      <c r="E46" s="848" t="n">
        <f aca="false">NSG_6_Day_Report!G19</f>
        <v>59</v>
      </c>
      <c r="F46" s="848" t="n">
        <f aca="false">NSG_6_Day_Report!H19</f>
        <v>58</v>
      </c>
      <c r="G46" s="848" t="n">
        <f aca="false">NSG_6_Day_Report!I19</f>
        <v>57</v>
      </c>
      <c r="H46" s="27"/>
      <c r="I46" s="13"/>
    </row>
    <row r="47" customFormat="false" ht="15" hidden="false" customHeight="false" outlineLevel="0" collapsed="false">
      <c r="A47" s="849" t="s">
        <v>161</v>
      </c>
      <c r="B47" s="848" t="n">
        <f aca="false">SUM(NSG_Supplies!P7:R7)/1000</f>
        <v>51.776</v>
      </c>
      <c r="C47" s="848" t="n">
        <f aca="false">SUM(NSG_Supplies!P8:R8)/1000</f>
        <v>51.776</v>
      </c>
      <c r="D47" s="848" t="n">
        <f aca="false">SUM(NSG_Supplies!P9:R9)/1000</f>
        <v>51.776</v>
      </c>
      <c r="E47" s="848" t="n">
        <f aca="false">SUM(NSG_Supplies!P10:R10)/1000</f>
        <v>51.776</v>
      </c>
      <c r="F47" s="848" t="n">
        <f aca="false">SUM(NSG_Supplies!P11:R11)/1000</f>
        <v>51.776</v>
      </c>
      <c r="G47" s="848" t="n">
        <f aca="false">SUM(NSG_Supplies!P12:R12)/1000</f>
        <v>51.776</v>
      </c>
      <c r="H47" s="27"/>
      <c r="I47" s="13"/>
    </row>
    <row r="48" customFormat="false" ht="15" hidden="false" customHeight="false" outlineLevel="0" collapsed="false">
      <c r="A48" s="849" t="s">
        <v>578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579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580</v>
      </c>
      <c r="B50" s="848" t="n">
        <f aca="false">NSG_Supplies!S7/1000</f>
        <v>20.831</v>
      </c>
      <c r="C50" s="848" t="n">
        <f aca="false">NSG_Supplies!S8/1000</f>
        <v>20.831</v>
      </c>
      <c r="D50" s="848" t="n">
        <f aca="false">NSG_Supplies!S9/1000</f>
        <v>20.831</v>
      </c>
      <c r="E50" s="848" t="n">
        <f aca="false">NSG_Supplies!S10/1000</f>
        <v>20.831</v>
      </c>
      <c r="F50" s="848" t="n">
        <f aca="false">NSG_Supplies!S11/1000</f>
        <v>20.831</v>
      </c>
      <c r="G50" s="848" t="n">
        <f aca="false">NSG_Supplies!S12/1000</f>
        <v>20.831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581</v>
      </c>
      <c r="B52" s="847" t="n">
        <f aca="false">B36</f>
        <v>37024</v>
      </c>
      <c r="C52" s="847" t="n">
        <f aca="false">C36</f>
        <v>37025</v>
      </c>
      <c r="D52" s="847" t="n">
        <f aca="false">D36</f>
        <v>37026</v>
      </c>
      <c r="E52" s="847" t="n">
        <f aca="false">E36</f>
        <v>37027</v>
      </c>
      <c r="F52" s="847" t="n">
        <f aca="false">F36</f>
        <v>37028</v>
      </c>
      <c r="G52" s="847" t="n">
        <f aca="false">G36</f>
        <v>37029</v>
      </c>
      <c r="H52" s="27"/>
      <c r="I52" s="13"/>
    </row>
    <row r="53" customFormat="false" ht="15" hidden="false" customHeight="false" outlineLevel="0" collapsed="false">
      <c r="A53" s="852" t="s">
        <v>582</v>
      </c>
      <c r="B53" s="848" t="n">
        <f aca="false">PGL_Requirements!P7/1000</f>
        <v>160.83</v>
      </c>
      <c r="C53" s="848" t="n">
        <f aca="false">PGL_Requirements!P8/1000</f>
        <v>132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583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584</v>
      </c>
    </row>
    <row r="57" customFormat="false" ht="15.75" hidden="false" customHeight="false" outlineLevel="0" collapsed="false">
      <c r="A57" s="817" t="s">
        <v>585</v>
      </c>
    </row>
    <row r="58" customFormat="false" ht="15.75" hidden="false" customHeight="false" outlineLevel="0" collapsed="false">
      <c r="A58" s="817" t="s">
        <v>586</v>
      </c>
      <c r="G58" s="854"/>
    </row>
    <row r="59" customFormat="false" ht="15.75" hidden="false" customHeight="false" outlineLevel="0" collapsed="false">
      <c r="A59" s="817" t="s">
        <v>587</v>
      </c>
    </row>
    <row r="60" customFormat="false" ht="15.75" hidden="false" customHeight="false" outlineLevel="0" collapsed="false">
      <c r="A60" s="817" t="s">
        <v>588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589</v>
      </c>
    </row>
    <row r="4" customFormat="false" ht="15" hidden="false" customHeight="false" outlineLevel="0" collapsed="false">
      <c r="A4" s="859"/>
      <c r="B4" s="860" t="str">
        <f aca="false">Six_Day_Summary!A10</f>
        <v>Monday</v>
      </c>
      <c r="C4" s="861" t="str">
        <f aca="false">Six_Day_Summary!A15</f>
        <v>Tuesday</v>
      </c>
      <c r="D4" s="861" t="str">
        <f aca="false">Six_Day_Summary!A20</f>
        <v>Wednesday</v>
      </c>
      <c r="E4" s="861" t="str">
        <f aca="false">Six_Day_Summary!A25</f>
        <v>Thursday</v>
      </c>
      <c r="F4" s="862" t="str">
        <f aca="false">Six_Day_Summary!A30</f>
        <v>Friday</v>
      </c>
      <c r="G4" s="863"/>
    </row>
    <row r="5" customFormat="false" ht="15" hidden="false" customHeight="false" outlineLevel="0" collapsed="false">
      <c r="A5" s="864" t="s">
        <v>590</v>
      </c>
      <c r="B5" s="865" t="n">
        <f aca="false">Weather_Input!A6</f>
        <v>37025</v>
      </c>
      <c r="C5" s="866" t="n">
        <f aca="false">Weather_Input!A7</f>
        <v>37026</v>
      </c>
      <c r="D5" s="866" t="n">
        <f aca="false">Weather_Input!A8</f>
        <v>37027</v>
      </c>
      <c r="E5" s="866" t="n">
        <f aca="false">Weather_Input!A9</f>
        <v>37028</v>
      </c>
      <c r="F5" s="867" t="n">
        <f aca="false">Weather_Input!A10</f>
        <v>37029</v>
      </c>
      <c r="G5" s="863"/>
    </row>
    <row r="6" customFormat="false" ht="15" hidden="false" customHeight="false" outlineLevel="0" collapsed="false">
      <c r="A6" s="863" t="s">
        <v>591</v>
      </c>
      <c r="B6" s="868" t="n">
        <f aca="false">PGL_Supplies!AC8/1000+PGL_Supplies!L8/1000-PGL_Requirements!O8/1000-PGL_Requirements!T8/1000+B8</f>
        <v>68.38</v>
      </c>
      <c r="C6" s="868" t="n">
        <f aca="false">PGL_Supplies!AC9/1000+PGL_Supplies!L9/1000-PGL_Requirements!O9/1000+C15-PGL_Requirements!T9/1000</f>
        <v>54.57</v>
      </c>
      <c r="D6" s="868" t="n">
        <f aca="false">PGL_Supplies!AC10/1000+PGL_Supplies!L10/1000-PGL_Requirements!O10/1000+D15-PGL_Requirements!T10/1000</f>
        <v>54.57</v>
      </c>
      <c r="E6" s="868" t="n">
        <f aca="false">PGL_Supplies!AC11/1000+PGL_Supplies!L11/1000-PGL_Requirements!O11/1000+E15-PGL_Requirements!T11/1000</f>
        <v>54.57</v>
      </c>
      <c r="F6" s="869" t="n">
        <f aca="false">PGL_Supplies!AC12/1000+PGL_Supplies!L12/1000-PGL_Requirements!O12/1000+F15-PGL_Requirements!T12/1000</f>
        <v>54.57</v>
      </c>
      <c r="G6" s="863"/>
      <c r="H6" s="0" t="s">
        <v>1</v>
      </c>
    </row>
    <row r="7" customFormat="false" ht="15" hidden="false" customHeight="false" outlineLevel="0" collapsed="false">
      <c r="A7" s="863" t="s">
        <v>592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593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594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595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596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597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424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598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599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600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601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Monday</v>
      </c>
      <c r="C21" s="882" t="str">
        <f aca="false">C4</f>
        <v>Tuesday</v>
      </c>
      <c r="D21" s="882" t="str">
        <f aca="false">D4</f>
        <v>Wednesday</v>
      </c>
      <c r="E21" s="882" t="str">
        <f aca="false">E4</f>
        <v>Thursday</v>
      </c>
      <c r="F21" s="883" t="str">
        <f aca="false">F4</f>
        <v>Friday</v>
      </c>
      <c r="G21" s="863"/>
    </row>
    <row r="22" customFormat="false" ht="15" hidden="false" customHeight="false" outlineLevel="0" collapsed="false">
      <c r="A22" s="884" t="s">
        <v>590</v>
      </c>
      <c r="B22" s="885" t="n">
        <f aca="false">B5</f>
        <v>37025</v>
      </c>
      <c r="C22" s="885" t="n">
        <f aca="false">C5</f>
        <v>37026</v>
      </c>
      <c r="D22" s="885" t="n">
        <f aca="false">D5</f>
        <v>37027</v>
      </c>
      <c r="E22" s="885" t="n">
        <f aca="false">E5</f>
        <v>37028</v>
      </c>
      <c r="F22" s="886" t="n">
        <f aca="false">F5</f>
        <v>37029</v>
      </c>
      <c r="G22" s="863"/>
    </row>
    <row r="23" customFormat="false" ht="15" hidden="false" customHeight="false" outlineLevel="0" collapsed="false">
      <c r="A23" s="863" t="s">
        <v>591</v>
      </c>
      <c r="B23" s="874" t="n">
        <f aca="false">NSG_Supplies!R8/1000+NSG_Supplies!F8/1000-NSG_Requirements!H8/1000</f>
        <v>40.776</v>
      </c>
      <c r="C23" s="874" t="n">
        <f aca="false">NSG_Supplies!R9/1000+NSG_Supplies!F9/1000-NSG_Requirements!H9/1000</f>
        <v>40.776</v>
      </c>
      <c r="D23" s="874" t="n">
        <f aca="false">NSG_Supplies!R10/1000+NSG_Supplies!F10/1000-NSG_Requirements!H10/1000</f>
        <v>40.776</v>
      </c>
      <c r="E23" s="874" t="n">
        <f aca="false">NSG_Supplies!R12/1000+NSG_Supplies!F11/1000-NSG_Requirements!H11/1000</f>
        <v>40.776</v>
      </c>
      <c r="F23" s="869" t="n">
        <f aca="false">NSG_Supplies!R12/1000+NSG_Supplies!F12/1000-NSG_Requirements!H12/1000</f>
        <v>40.776</v>
      </c>
      <c r="G23" s="863"/>
    </row>
    <row r="24" customFormat="false" ht="15" hidden="false" customHeight="false" outlineLevel="0" collapsed="false">
      <c r="A24" s="863" t="s">
        <v>602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592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593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594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603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595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596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597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604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605</v>
      </c>
      <c r="C1" s="889" t="n">
        <f aca="false">Weather_Input!A6</f>
        <v>37025</v>
      </c>
      <c r="D1" s="890" t="s">
        <v>606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607</v>
      </c>
      <c r="E2" s="895"/>
      <c r="I2" s="895"/>
    </row>
    <row r="3" customFormat="false" ht="15.75" hidden="false" customHeight="true" outlineLevel="0" collapsed="false">
      <c r="B3" s="896" t="s">
        <v>161</v>
      </c>
      <c r="C3" s="897" t="n">
        <f aca="false">NSG_Supplies!Q8/1000</f>
        <v>20</v>
      </c>
      <c r="E3" s="895"/>
      <c r="F3" s="898" t="s">
        <v>256</v>
      </c>
      <c r="G3" s="899"/>
      <c r="H3" s="900" t="s">
        <v>608</v>
      </c>
      <c r="I3" s="901" t="s">
        <v>609</v>
      </c>
    </row>
    <row r="4" customFormat="false" ht="15.75" hidden="false" customHeight="true" outlineLevel="0" collapsed="false">
      <c r="A4" s="0" t="s">
        <v>1</v>
      </c>
      <c r="B4" s="863" t="s">
        <v>610</v>
      </c>
      <c r="C4" s="902" t="n">
        <f aca="false">NSG_Supplies!E8/1000</f>
        <v>0</v>
      </c>
      <c r="D4" s="766" t="n">
        <f aca="false">NSG_Requirements!J8/1000</f>
        <v>16.78</v>
      </c>
      <c r="E4" s="903"/>
      <c r="F4" s="896" t="s">
        <v>611</v>
      </c>
      <c r="G4" s="74"/>
      <c r="H4" s="904" t="n">
        <f aca="false">PGL_Requirements!P8/1000</f>
        <v>132</v>
      </c>
      <c r="I4" s="905" t="n">
        <f aca="false">AVERAGE(H4/1.025)</f>
        <v>128.780487804878</v>
      </c>
      <c r="J4" s="0" t="s">
        <v>1</v>
      </c>
    </row>
    <row r="5" customFormat="false" ht="15.75" hidden="false" customHeight="true" outlineLevel="0" collapsed="false">
      <c r="B5" s="906" t="s">
        <v>612</v>
      </c>
      <c r="C5" s="907" t="n">
        <f aca="false">C3+C4-D4</f>
        <v>3.22</v>
      </c>
      <c r="D5" s="908"/>
      <c r="E5" s="909" t="n">
        <f aca="false">AVERAGE(C5/24)</f>
        <v>0.134166666666667</v>
      </c>
      <c r="F5" s="910" t="s">
        <v>333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613</v>
      </c>
      <c r="C6" s="915"/>
      <c r="D6" s="40"/>
      <c r="E6" s="916"/>
      <c r="F6" s="0" t="s">
        <v>614</v>
      </c>
      <c r="G6" s="915" t="n">
        <f aca="false">AVERAGE(H4/24)</f>
        <v>5.5</v>
      </c>
      <c r="H6" s="413"/>
      <c r="I6" s="893"/>
    </row>
    <row r="7" customFormat="false" ht="15.75" hidden="false" customHeight="true" outlineLevel="0" collapsed="false">
      <c r="B7" s="896" t="s">
        <v>615</v>
      </c>
      <c r="C7" s="904" t="n">
        <f aca="false">NSG_Supplies!L8/1000</f>
        <v>0</v>
      </c>
      <c r="D7" s="74"/>
      <c r="E7" s="917"/>
      <c r="F7" s="894" t="s">
        <v>616</v>
      </c>
      <c r="G7" s="918"/>
      <c r="H7" s="74"/>
      <c r="I7" s="895"/>
    </row>
    <row r="8" customFormat="false" ht="15.75" hidden="false" customHeight="true" outlineLevel="0" collapsed="false">
      <c r="B8" s="896" t="s">
        <v>617</v>
      </c>
      <c r="C8" s="904" t="n">
        <f aca="false">PGL_Requirements!V8/1000</f>
        <v>0</v>
      </c>
      <c r="D8" s="74"/>
      <c r="E8" s="917"/>
      <c r="F8" s="896" t="s">
        <v>618</v>
      </c>
      <c r="G8" s="904" t="n">
        <f aca="false">PGL_Supplies!T8/1000*0.5</f>
        <v>0</v>
      </c>
      <c r="H8" s="74"/>
      <c r="I8" s="895"/>
    </row>
    <row r="9" customFormat="false" ht="15.75" hidden="false" customHeight="true" outlineLevel="0" collapsed="false">
      <c r="B9" s="896" t="s">
        <v>619</v>
      </c>
      <c r="C9" s="904" t="n">
        <f aca="false">NSG_Requirements!B8/1000</f>
        <v>0</v>
      </c>
      <c r="D9" s="74"/>
      <c r="E9" s="917"/>
      <c r="F9" s="29" t="s">
        <v>620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621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515</v>
      </c>
      <c r="G10" s="904" t="n">
        <f aca="false">PGL_Supplies!AB8/1000</f>
        <v>169.63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622</v>
      </c>
      <c r="C11" s="904" t="n">
        <f aca="false">PGL_Supplies!Y8/1000</f>
        <v>157.294</v>
      </c>
      <c r="D11" s="899"/>
      <c r="E11" s="920"/>
      <c r="F11" s="921" t="s">
        <v>623</v>
      </c>
      <c r="G11" s="922" t="n">
        <f aca="false">G8+G10</f>
        <v>169.63</v>
      </c>
      <c r="H11" s="258"/>
      <c r="I11" s="923"/>
    </row>
    <row r="12" customFormat="false" ht="15.75" hidden="false" customHeight="true" outlineLevel="0" collapsed="false">
      <c r="B12" s="243" t="s">
        <v>624</v>
      </c>
      <c r="C12" s="904" t="n">
        <v>25</v>
      </c>
      <c r="D12" s="40"/>
      <c r="E12" s="895"/>
      <c r="F12" s="924" t="s">
        <v>625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626</v>
      </c>
      <c r="C13" s="40"/>
      <c r="D13" s="904" t="n">
        <f aca="false">PGL_Requirements!J8/1000</f>
        <v>0</v>
      </c>
      <c r="E13" s="895"/>
      <c r="F13" s="924" t="s">
        <v>627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628</v>
      </c>
      <c r="C14" s="907" t="n">
        <f aca="false">C11-C12</f>
        <v>132.294</v>
      </c>
      <c r="D14" s="908"/>
      <c r="E14" s="909" t="n">
        <f aca="false">AVERAGE(C14/24)</f>
        <v>5.51225</v>
      </c>
      <c r="F14" s="926" t="s">
        <v>629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630</v>
      </c>
      <c r="C15" s="904" t="n">
        <f aca="false">PGL_Supplies!Z8/1000</f>
        <v>40.2</v>
      </c>
      <c r="D15" s="74"/>
      <c r="E15" s="895"/>
      <c r="F15" s="926" t="s">
        <v>631</v>
      </c>
      <c r="G15" s="922" t="n">
        <f aca="false">SUM(G11)-G16-G17</f>
        <v>140.94</v>
      </c>
      <c r="H15" s="908" t="s">
        <v>1</v>
      </c>
      <c r="I15" s="909" t="n">
        <f aca="false">AVERAGE(G15/24)</f>
        <v>5.8725</v>
      </c>
    </row>
    <row r="16" customFormat="false" ht="15.75" hidden="false" customHeight="true" outlineLevel="0" collapsed="false">
      <c r="B16" s="896" t="s">
        <v>632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633</v>
      </c>
      <c r="G16" s="907" t="n">
        <f aca="false">PGL_Requirements!H8/1000</f>
        <v>28.69</v>
      </c>
      <c r="H16" s="907" t="s">
        <v>1</v>
      </c>
      <c r="I16" s="909" t="n">
        <f aca="false">AVERAGE(G16/24)</f>
        <v>1.19541666666667</v>
      </c>
    </row>
    <row r="17" customFormat="false" ht="15.75" hidden="false" customHeight="true" outlineLevel="0" collapsed="false">
      <c r="B17" s="921" t="s">
        <v>623</v>
      </c>
      <c r="C17" s="922" t="n">
        <f aca="false">SUM(C15:C16)-SUM(D15:D16)</f>
        <v>0</v>
      </c>
      <c r="D17" s="258"/>
      <c r="E17" s="923"/>
      <c r="F17" s="927" t="s">
        <v>634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635</v>
      </c>
      <c r="C18" s="904" t="n">
        <f aca="false">PGL_Supplies!C8/1000</f>
        <v>0</v>
      </c>
      <c r="D18" s="74"/>
      <c r="E18" s="895"/>
      <c r="F18" s="931" t="s">
        <v>636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637</v>
      </c>
      <c r="C19" s="74"/>
      <c r="D19" s="904" t="n">
        <f aca="false">PGL_Requirements!C8/1000</f>
        <v>0</v>
      </c>
      <c r="E19" s="895"/>
      <c r="F19" s="910" t="s">
        <v>638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639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418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640</v>
      </c>
      <c r="C21" s="904" t="n">
        <f aca="false">PGL_Supplies!AA8/1000</f>
        <v>0</v>
      </c>
      <c r="D21" s="904" t="s">
        <v>1</v>
      </c>
      <c r="E21" s="895"/>
      <c r="F21" s="896" t="s">
        <v>161</v>
      </c>
      <c r="G21" s="904" t="n">
        <f aca="false">PGL_Supplies!AD8/1000</f>
        <v>0</v>
      </c>
      <c r="H21" s="904" t="s">
        <v>1</v>
      </c>
      <c r="I21" s="895"/>
    </row>
    <row r="22" customFormat="false" ht="15.75" hidden="false" customHeight="true" outlineLevel="0" collapsed="false">
      <c r="B22" s="921" t="s">
        <v>623</v>
      </c>
      <c r="C22" s="922" t="n">
        <f aca="false">SUM(C21)-SUM(D21)</f>
        <v>0</v>
      </c>
      <c r="D22" s="258"/>
      <c r="E22" s="923"/>
      <c r="F22" s="921" t="s">
        <v>623</v>
      </c>
      <c r="G22" s="922" t="n">
        <f aca="false">G21</f>
        <v>0</v>
      </c>
      <c r="H22" s="258"/>
      <c r="I22" s="923"/>
    </row>
    <row r="23" customFormat="false" ht="15.75" hidden="false" customHeight="true" outlineLevel="0" collapsed="false">
      <c r="B23" s="896" t="s">
        <v>641</v>
      </c>
      <c r="C23" s="904" t="n">
        <f aca="false">PGL_Supplies!D8/1000</f>
        <v>0</v>
      </c>
      <c r="D23" s="74"/>
      <c r="E23" s="895"/>
      <c r="F23" s="896" t="s">
        <v>642</v>
      </c>
      <c r="G23" s="904" t="n">
        <f aca="false">PGL_Supplies!G8/1000</f>
        <v>0</v>
      </c>
      <c r="H23" s="74"/>
      <c r="I23" s="895"/>
    </row>
    <row r="24" customFormat="false" ht="15.75" hidden="false" customHeight="true" outlineLevel="0" collapsed="false">
      <c r="B24" s="896" t="s">
        <v>643</v>
      </c>
      <c r="C24" s="74" t="n">
        <v>0</v>
      </c>
      <c r="D24" s="904" t="n">
        <f aca="false">PGL_Requirements!D8/1000</f>
        <v>0</v>
      </c>
      <c r="E24" s="895"/>
      <c r="F24" s="896" t="s">
        <v>644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645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646</v>
      </c>
      <c r="G25" s="935" t="n">
        <f aca="false">G22+G23-H24+G20</f>
        <v>0</v>
      </c>
      <c r="H25" s="413"/>
      <c r="I25" s="936" t="n">
        <f aca="false">AVERAGE(G25/24)</f>
        <v>0</v>
      </c>
    </row>
    <row r="26" customFormat="false" ht="15.75" hidden="false" customHeight="true" outlineLevel="0" collapsed="false">
      <c r="B26" s="0" t="s">
        <v>647</v>
      </c>
    </row>
    <row r="27" customFormat="false" ht="15.75" hidden="false" customHeight="true" outlineLevel="0" collapsed="false">
      <c r="B27" s="0" t="s">
        <v>648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649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650</v>
      </c>
      <c r="D1" s="941"/>
      <c r="E1" s="941" t="s">
        <v>651</v>
      </c>
      <c r="F1" s="941"/>
      <c r="G1" s="942" t="s">
        <v>652</v>
      </c>
      <c r="H1" s="943" t="n">
        <f aca="false">Weather_Input!A6</f>
        <v>37025</v>
      </c>
      <c r="I1" s="944"/>
      <c r="J1" s="945"/>
      <c r="K1" s="945"/>
    </row>
    <row r="2" customFormat="false" ht="16.5" hidden="false" customHeight="true" outlineLevel="0" collapsed="false">
      <c r="A2" s="946" t="s">
        <v>653</v>
      </c>
      <c r="C2" s="947" t="n">
        <v>365</v>
      </c>
      <c r="F2" s="948" t="n">
        <v>369</v>
      </c>
      <c r="H2" s="945"/>
      <c r="I2" s="944" t="s">
        <v>654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655</v>
      </c>
      <c r="G4" s="952"/>
      <c r="H4" s="945"/>
      <c r="I4" s="944"/>
      <c r="J4" s="944" t="s">
        <v>656</v>
      </c>
      <c r="K4" s="949" t="n">
        <f aca="false">Billy_Sheet!C5</f>
        <v>3.22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657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96</v>
      </c>
      <c r="G8" s="939"/>
      <c r="H8" s="944" t="s">
        <v>413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658</v>
      </c>
      <c r="L9" s="949" t="n">
        <f aca="false">NSG_Deliveries!C6/1000</f>
        <v>44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87</v>
      </c>
      <c r="H10" s="958" t="s">
        <v>659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660</v>
      </c>
      <c r="L11" s="952" t="n">
        <f aca="false">SUM(K4+K17+K19+H11+H9-L9)</f>
        <v>-0.00400000000000489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661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157.294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370</v>
      </c>
      <c r="F15" s="960" t="n">
        <v>370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662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403</v>
      </c>
      <c r="D18" s="964"/>
      <c r="E18" s="964"/>
      <c r="F18" s="948" t="n">
        <v>783</v>
      </c>
    </row>
    <row r="19" customFormat="false" ht="11.25" hidden="false" customHeight="false" outlineLevel="0" collapsed="false">
      <c r="A19" s="955" t="s">
        <v>663</v>
      </c>
      <c r="C19" s="937" t="s">
        <v>1</v>
      </c>
      <c r="J19" s="944" t="s">
        <v>664</v>
      </c>
      <c r="K19" s="949" t="n">
        <f aca="false">NSG_Supplies!R8/1000+NSG_Supplies!F8/1000-NSG_Requirements!H8/1000</f>
        <v>40.776</v>
      </c>
      <c r="N19" s="967"/>
    </row>
    <row r="20" customFormat="false" ht="17.25" hidden="false" customHeight="true" outlineLevel="0" collapsed="false">
      <c r="A20" s="949" t="n">
        <f aca="false">Billy_Sheet!G15</f>
        <v>140.94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416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665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0</v>
      </c>
      <c r="H24" s="939"/>
      <c r="I24" s="939"/>
      <c r="J24" s="939"/>
    </row>
    <row r="25" customFormat="false" ht="10.5" hidden="false" customHeight="true" outlineLevel="0" collapsed="false">
      <c r="A25" s="945" t="s">
        <v>418</v>
      </c>
      <c r="B25" s="945"/>
      <c r="C25" s="945"/>
      <c r="D25" s="945"/>
      <c r="F25" s="945"/>
      <c r="G25" s="944" t="s">
        <v>666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0</v>
      </c>
      <c r="B26" s="945"/>
      <c r="C26" s="939"/>
      <c r="D26" s="939"/>
      <c r="F26" s="939"/>
      <c r="G26" s="969" t="n">
        <v>0</v>
      </c>
      <c r="H26" s="939"/>
      <c r="I26" s="939"/>
      <c r="J26" s="939" t="s">
        <v>667</v>
      </c>
      <c r="K26" s="970" t="n">
        <f aca="false">PGL_Deliveries!C6/1000</f>
        <v>240</v>
      </c>
      <c r="L26" s="944" t="s">
        <v>658</v>
      </c>
      <c r="M26" s="949" t="n">
        <f aca="false">NSG_Deliveries!C6/1000</f>
        <v>44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668</v>
      </c>
      <c r="B28" s="949"/>
      <c r="C28" s="945"/>
      <c r="D28" s="939"/>
      <c r="F28" s="944"/>
      <c r="G28" s="961" t="s">
        <v>669</v>
      </c>
      <c r="H28" s="34"/>
      <c r="J28" s="939" t="s">
        <v>670</v>
      </c>
      <c r="K28" s="952" t="n">
        <f aca="false">SUM(A42)</f>
        <v>153.544</v>
      </c>
      <c r="L28" s="939" t="s">
        <v>671</v>
      </c>
      <c r="M28" s="952" t="n">
        <f aca="false">SUM(J2+K17+K19+H11+H9-M26)</f>
        <v>16.776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37024</v>
      </c>
      <c r="G29" s="949" t="n">
        <f aca="false">PGL_Requirements!H7/1000</f>
        <v>0.161</v>
      </c>
      <c r="H29" s="956"/>
      <c r="J29" s="939" t="s">
        <v>672</v>
      </c>
      <c r="K29" s="949" t="n">
        <f aca="false">PGL_Supplies!AC8/1000+PGL_Supplies!L8/1000-PGL_Requirements!O8/1000</f>
        <v>68.38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37025</v>
      </c>
      <c r="G30" s="949" t="n">
        <f aca="false">PGL_Requirements!H8/1000</f>
        <v>28.69</v>
      </c>
    </row>
    <row r="31" customFormat="false" ht="17.25" hidden="false" customHeight="true" outlineLevel="0" collapsed="false">
      <c r="A31" s="941" t="s">
        <v>673</v>
      </c>
      <c r="B31" s="976"/>
      <c r="C31" s="977"/>
      <c r="D31" s="952"/>
      <c r="G31" s="961" t="s">
        <v>674</v>
      </c>
      <c r="H31" s="952"/>
      <c r="J31" s="939" t="s">
        <v>660</v>
      </c>
      <c r="K31" s="952" t="n">
        <f aca="false">SUM(K28+K29-K26)</f>
        <v>-18.076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675</v>
      </c>
      <c r="G34" s="939" t="s">
        <v>676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677</v>
      </c>
      <c r="F37" s="944" t="s">
        <v>678</v>
      </c>
      <c r="G37" s="949"/>
    </row>
    <row r="38" customFormat="false" ht="11.25" hidden="false" customHeight="false" outlineLevel="0" collapsed="false">
      <c r="C38" s="960" t="n">
        <v>404</v>
      </c>
      <c r="F38" s="960" t="n">
        <v>752</v>
      </c>
    </row>
    <row r="39" customFormat="false" ht="11.25" hidden="false" customHeight="false" outlineLevel="0" collapsed="false">
      <c r="A39" s="946" t="s">
        <v>679</v>
      </c>
      <c r="E39" s="945" t="s">
        <v>680</v>
      </c>
      <c r="F39" s="945"/>
    </row>
    <row r="40" customFormat="false" ht="11.25" hidden="false" customHeight="false" outlineLevel="0" collapsed="false">
      <c r="A40" s="952" t="n">
        <f aca="false">SUM(A3:A35)</f>
        <v>314.234</v>
      </c>
      <c r="B40" s="959"/>
      <c r="C40" s="978"/>
      <c r="D40" s="959"/>
      <c r="E40" s="959"/>
      <c r="F40" s="949"/>
      <c r="G40" s="949" t="n">
        <f aca="false">SUM(G30:G35)</f>
        <v>160.69</v>
      </c>
      <c r="H40" s="959"/>
      <c r="I40" s="978"/>
    </row>
    <row r="41" customFormat="false" ht="11.25" hidden="false" customHeight="false" outlineLevel="0" collapsed="false">
      <c r="A41" s="979" t="s">
        <v>681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153.544</v>
      </c>
      <c r="B42" s="949"/>
      <c r="C42" s="959"/>
      <c r="D42" s="959"/>
      <c r="E42" s="959"/>
      <c r="F42" s="980"/>
      <c r="G42" s="981" t="s">
        <v>682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683</v>
      </c>
      <c r="G43" s="980" t="s">
        <v>684</v>
      </c>
      <c r="I43" s="949"/>
    </row>
    <row r="44" customFormat="false" ht="12.75" hidden="false" customHeight="true" outlineLevel="0" collapsed="false">
      <c r="A44" s="979" t="s">
        <v>685</v>
      </c>
      <c r="B44" s="949" t="s">
        <v>686</v>
      </c>
      <c r="C44" s="949" t="s">
        <v>687</v>
      </c>
      <c r="D44" s="949" t="s">
        <v>688</v>
      </c>
      <c r="E44" s="984"/>
      <c r="F44" s="984" t="s">
        <v>689</v>
      </c>
      <c r="G44" s="959" t="s">
        <v>690</v>
      </c>
      <c r="H44" s="945" t="s">
        <v>691</v>
      </c>
      <c r="I44" s="949"/>
      <c r="K44" s="945"/>
    </row>
    <row r="45" customFormat="false" ht="11.25" hidden="false" customHeight="false" outlineLevel="0" collapsed="false">
      <c r="A45" s="979" t="s">
        <v>692</v>
      </c>
      <c r="B45" s="985" t="n">
        <v>250</v>
      </c>
      <c r="C45" s="985" t="n">
        <v>410</v>
      </c>
      <c r="D45" s="986" t="n">
        <f aca="false">SUM(F2+F15)/2</f>
        <v>369.5</v>
      </c>
      <c r="E45" s="987"/>
      <c r="F45" s="988" t="n">
        <v>0.067</v>
      </c>
      <c r="G45" s="989" t="n">
        <f aca="false">(C45-D45)*F45</f>
        <v>2.7135</v>
      </c>
      <c r="H45" s="989" t="n">
        <f aca="false">(D45-B45)*F45</f>
        <v>8.0065</v>
      </c>
      <c r="I45" s="949"/>
      <c r="J45" s="990"/>
    </row>
    <row r="46" customFormat="false" ht="11.25" hidden="false" customHeight="false" outlineLevel="0" collapsed="false">
      <c r="A46" s="945" t="s">
        <v>693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694</v>
      </c>
      <c r="B47" s="991" t="n">
        <v>250</v>
      </c>
      <c r="C47" s="985" t="n">
        <v>410</v>
      </c>
      <c r="D47" s="986" t="n">
        <f aca="false">SUM(C2+C15)/2</f>
        <v>367.5</v>
      </c>
      <c r="E47" s="987"/>
      <c r="F47" s="988" t="n">
        <v>0.141</v>
      </c>
      <c r="G47" s="989" t="n">
        <f aca="false">(C47-D47)*F47</f>
        <v>5.9925</v>
      </c>
      <c r="H47" s="989" t="n">
        <f aca="false">(D47-B47)*F47</f>
        <v>16.5675</v>
      </c>
      <c r="I47" s="949"/>
    </row>
    <row r="48" customFormat="false" ht="11.25" hidden="false" customHeight="false" outlineLevel="0" collapsed="false">
      <c r="A48" s="945" t="s">
        <v>695</v>
      </c>
      <c r="B48" s="991" t="n">
        <v>285</v>
      </c>
      <c r="C48" s="985" t="n">
        <v>750</v>
      </c>
      <c r="D48" s="986" t="n">
        <f aca="false">SUM(C18+C38)/2</f>
        <v>403.5</v>
      </c>
      <c r="E48" s="987"/>
      <c r="F48" s="988" t="n">
        <v>0.161</v>
      </c>
      <c r="G48" s="989" t="n">
        <f aca="false">(C48-D48)*F48</f>
        <v>55.7865</v>
      </c>
      <c r="H48" s="989" t="n">
        <f aca="false">(D48-B48)*F48</f>
        <v>19.0785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696</v>
      </c>
      <c r="G49" s="989" t="n">
        <f aca="false">SUM(G45:G48)</f>
        <v>64.4925</v>
      </c>
      <c r="H49" s="989" t="n">
        <f aca="false">SUM(H45:H48)</f>
        <v>43.6525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37024</v>
      </c>
      <c r="B5" s="18" t="n">
        <v>68</v>
      </c>
      <c r="C5" s="19" t="n">
        <v>44</v>
      </c>
      <c r="D5" s="19" t="n">
        <v>5.2</v>
      </c>
      <c r="E5" s="18" t="n">
        <v>56.1</v>
      </c>
      <c r="F5" s="18" t="n">
        <v>65</v>
      </c>
      <c r="G5" s="18" t="n">
        <v>6472</v>
      </c>
      <c r="H5" s="18" t="n">
        <v>12</v>
      </c>
      <c r="I5" s="20" t="s">
        <v>28</v>
      </c>
      <c r="J5" s="20" t="s">
        <v>29</v>
      </c>
      <c r="K5" s="18" t="n">
        <v>1</v>
      </c>
      <c r="L5" s="18" t="n">
        <v>1</v>
      </c>
      <c r="N5" s="13" t="str">
        <f aca="false">I5&amp;" "&amp;I5</f>
        <v>MOSTLY SUNNY. LIGHT WINDS BECOMING S.E. 5 TO 10 MPH. OVERNIGHT…PARTLY  MOSTLY SUNNY. LIGHT WINDS BECOMING S.E. 5 TO 10 MPH. OVERNIGHT…PARTLY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37025</v>
      </c>
      <c r="B6" s="18" t="n">
        <v>73</v>
      </c>
      <c r="C6" s="19" t="n">
        <v>58</v>
      </c>
      <c r="D6" s="19" t="n">
        <v>12</v>
      </c>
      <c r="E6" s="18" t="s">
        <v>1</v>
      </c>
      <c r="F6" s="18" t="s">
        <v>1</v>
      </c>
      <c r="G6" s="18"/>
      <c r="H6" s="18" t="s">
        <v>1</v>
      </c>
      <c r="I6" s="20" t="s">
        <v>31</v>
      </c>
      <c r="J6" s="20" t="s">
        <v>32</v>
      </c>
      <c r="K6" s="18" t="n">
        <v>6</v>
      </c>
      <c r="L6" s="18" t="s">
        <v>33</v>
      </c>
      <c r="N6" s="13" t="str">
        <f aca="false">I6&amp;" "&amp;J6</f>
        <v>INCREASING CLOUDS, WITH A CHANCE OF SHOWERS AND T-STORMS THIS AFTER- NOON. CHANCE OF RAIN 60%.CLOUDY  WITH SHOWERS AT NIGHT.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37026</v>
      </c>
      <c r="B7" s="18" t="n">
        <v>77</v>
      </c>
      <c r="C7" s="19" t="n">
        <v>55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36</v>
      </c>
      <c r="K7" s="18" t="n">
        <v>6</v>
      </c>
      <c r="L7" s="18" t="s">
        <v>16</v>
      </c>
      <c r="N7" s="13" t="str">
        <f aca="false">I7&amp;" "&amp;J7</f>
        <v>CLOUDY… A 50% CHANCE OF T-STORMS. HIGH IN THE UPPER 70S. CLOUDY AT  NIGHT WITH A 50% CHANCE OF SHOWERS AND T-STORMS. LOW IN THE 50S.</v>
      </c>
    </row>
    <row r="8" customFormat="false" ht="16.5" hidden="false" customHeight="true" outlineLevel="0" collapsed="false">
      <c r="A8" s="17" t="n">
        <f aca="false">A7+1</f>
        <v>37027</v>
      </c>
      <c r="B8" s="18" t="n">
        <v>72</v>
      </c>
      <c r="C8" s="19" t="n">
        <v>55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1</v>
      </c>
      <c r="K8" s="18" t="n">
        <v>3</v>
      </c>
      <c r="L8" s="18"/>
      <c r="N8" s="13" t="str">
        <f aca="false">I8&amp;" "&amp;J8</f>
        <v>PARTLY CLOUDY. HIGH AROUND 70.  </v>
      </c>
    </row>
    <row r="9" customFormat="false" ht="16.5" hidden="false" customHeight="true" outlineLevel="0" collapsed="false">
      <c r="A9" s="17" t="n">
        <f aca="false">A8+1</f>
        <v>37028</v>
      </c>
      <c r="B9" s="18" t="n">
        <v>78</v>
      </c>
      <c r="C9" s="19" t="n">
        <v>58</v>
      </c>
      <c r="D9" s="19" t="n">
        <v>10</v>
      </c>
      <c r="E9" s="18" t="s">
        <v>1</v>
      </c>
      <c r="F9" s="18" t="s">
        <v>1</v>
      </c>
      <c r="G9" s="18"/>
      <c r="H9" s="18" t="s">
        <v>1</v>
      </c>
      <c r="I9" s="20" t="s">
        <v>38</v>
      </c>
      <c r="J9" s="20" t="s">
        <v>1</v>
      </c>
      <c r="K9" s="18" t="n">
        <v>1</v>
      </c>
      <c r="L9" s="18" t="n">
        <v>0</v>
      </c>
      <c r="M9" s="21"/>
      <c r="N9" s="13" t="str">
        <f aca="false">I10&amp;" "&amp;J9</f>
        <v>CLOUDY… HIGH IN THE MIDDLE 70S. LOWS IN THE MIDDLE 50S.  </v>
      </c>
    </row>
    <row r="10" customFormat="false" ht="16.5" hidden="false" customHeight="true" outlineLevel="0" collapsed="false">
      <c r="A10" s="17" t="n">
        <f aca="false">A9+1</f>
        <v>37029</v>
      </c>
      <c r="B10" s="18" t="n">
        <v>74</v>
      </c>
      <c r="C10" s="19" t="n">
        <v>53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39</v>
      </c>
      <c r="J10" s="20" t="s">
        <v>1</v>
      </c>
      <c r="K10" s="18" t="n">
        <v>2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667</v>
      </c>
      <c r="B2" s="995" t="n">
        <f aca="false">PGL_Deliveries!U5/1000</f>
        <v>268.07</v>
      </c>
      <c r="C2" s="74"/>
      <c r="D2" s="996" t="s">
        <v>652</v>
      </c>
      <c r="E2" s="997" t="n">
        <f aca="false">Weather_Input!A5</f>
        <v>37024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697</v>
      </c>
      <c r="B3" s="998" t="n">
        <f aca="false">PGL_Supplies!J7/1000</f>
        <v>0</v>
      </c>
      <c r="C3" s="999"/>
      <c r="D3" s="1000" t="s">
        <v>280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698</v>
      </c>
      <c r="B5" s="904" t="n">
        <f aca="false">PGL_Deliveries!D5/1000</f>
        <v>0</v>
      </c>
      <c r="C5" s="73"/>
      <c r="D5" s="76" t="s">
        <v>699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496</v>
      </c>
      <c r="B6" s="904" t="n">
        <f aca="false">PGL_Deliveries!I5/1000</f>
        <v>194.932</v>
      </c>
      <c r="C6" s="1010"/>
      <c r="D6" s="76" t="s">
        <v>700</v>
      </c>
      <c r="E6" s="904" t="n">
        <f aca="false">PGL_Deliveries!P5/1000</f>
        <v>0.827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701</v>
      </c>
      <c r="B7" s="1012" t="n">
        <f aca="false">SUM(B5:B6)</f>
        <v>194.932</v>
      </c>
      <c r="C7" s="1010"/>
      <c r="D7" s="76" t="s">
        <v>444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661</v>
      </c>
      <c r="B8" s="904" t="n">
        <f aca="false">PGL_Deliveries!V5/1000</f>
        <v>159.314</v>
      </c>
      <c r="C8" s="1014"/>
      <c r="D8" s="76" t="s">
        <v>702</v>
      </c>
      <c r="E8" s="904" t="n">
        <f aca="false">PGL_Deliveries!N5/1000</f>
        <v>0.728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87</v>
      </c>
      <c r="B9" s="904" t="n">
        <f aca="false">PGL_Deliveries!W5/1000</f>
        <v>7.104</v>
      </c>
      <c r="C9" s="73"/>
      <c r="D9" s="76" t="s">
        <v>447</v>
      </c>
      <c r="E9" s="904" t="n">
        <f aca="false">PGL_Deliveries!Q5/1000</f>
        <v>0.203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416</v>
      </c>
      <c r="B10" s="904" t="n">
        <f aca="false">PGL_Deliveries!X5/1000</f>
        <v>0</v>
      </c>
      <c r="C10" s="73"/>
      <c r="D10" s="76" t="s">
        <v>448</v>
      </c>
      <c r="E10" s="904" t="n">
        <f aca="false">PGL_Deliveries!S5/1000</f>
        <v>4.657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96</v>
      </c>
      <c r="B11" s="904" t="n">
        <f aca="false">(PGL_Deliveries!AJ5+PGL_Deliveries!AK5)/1000</f>
        <v>18.854</v>
      </c>
      <c r="C11" s="73"/>
      <c r="D11" s="76" t="s">
        <v>703</v>
      </c>
      <c r="E11" s="904" t="n">
        <f aca="false">PGL_Deliveries!R5/1000</f>
        <v>1.621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704</v>
      </c>
      <c r="B12" s="904" t="n">
        <f aca="false">PGL_Supplies!K7/1000</f>
        <v>0</v>
      </c>
      <c r="C12" s="73"/>
      <c r="D12" s="76" t="s">
        <v>451</v>
      </c>
      <c r="E12" s="904" t="n">
        <f aca="false">PGL_Deliveries!G5/1000</f>
        <v>0.108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705</v>
      </c>
      <c r="B13" s="904" t="n">
        <f aca="false">PGL_Deliveries!Y5/1000+PGL_Deliveries!Z5/1000+PGL_Deliveries!AA5/1000-PGL_Deliveries!BE5/1000</f>
        <v>181.702</v>
      </c>
      <c r="C13" s="73"/>
      <c r="D13" s="76" t="s">
        <v>453</v>
      </c>
      <c r="E13" s="904" t="n">
        <f aca="false">PGL_Deliveries!F5/1000</f>
        <v>59.46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418</v>
      </c>
      <c r="B14" s="904" t="n">
        <f aca="false">PGL_Deliveries!AD5/1000</f>
        <v>0</v>
      </c>
      <c r="C14" s="73"/>
      <c r="D14" s="76" t="s">
        <v>455</v>
      </c>
      <c r="E14" s="904" t="n">
        <f aca="false">PGL_Deliveries!H5/1000</f>
        <v>2.727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69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-160.763</v>
      </c>
      <c r="C15" s="73"/>
      <c r="D15" s="76" t="s">
        <v>457</v>
      </c>
      <c r="E15" s="904" t="n">
        <f aca="false">PGL_Deliveries!K5/1000</f>
        <v>0.006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706</v>
      </c>
      <c r="B16" s="74"/>
      <c r="C16" s="1015" t="n">
        <f aca="false">PGL_Deliveries!AO5/1000</f>
        <v>11.279</v>
      </c>
      <c r="D16" s="76" t="s">
        <v>461</v>
      </c>
      <c r="E16" s="904" t="n">
        <f aca="false">PGL_Deliveries!L5/1000</f>
        <v>0.731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420</v>
      </c>
      <c r="B17" s="904" t="n">
        <f aca="false">PGL_Deliveries!AP5/1000</f>
        <v>0</v>
      </c>
      <c r="C17" s="1010" t="s">
        <v>1</v>
      </c>
      <c r="D17" s="1016" t="s">
        <v>459</v>
      </c>
      <c r="E17" s="911" t="n">
        <f aca="false">PGL_Deliveries!M5/1000</f>
        <v>2.07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707</v>
      </c>
      <c r="B18" s="935" t="n">
        <f aca="false">SUM(B8:B17)-C16</f>
        <v>194.932</v>
      </c>
      <c r="C18" s="1010"/>
      <c r="D18" s="1018" t="s">
        <v>708</v>
      </c>
      <c r="E18" s="1019" t="n">
        <f aca="false">SUM(E5:E17)</f>
        <v>73.138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622</v>
      </c>
      <c r="B19" s="904" t="n">
        <f aca="false">PGL_Supplies!Y7/1000</f>
        <v>157.294</v>
      </c>
      <c r="C19" s="1014"/>
      <c r="D19" s="76" t="s">
        <v>599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709</v>
      </c>
      <c r="B20" s="904" t="n">
        <f aca="false">PGL_Supplies!X7/1000</f>
        <v>0</v>
      </c>
      <c r="C20" s="73"/>
      <c r="D20" s="76" t="s">
        <v>424</v>
      </c>
      <c r="E20" s="904" t="n">
        <f aca="false">PGL_Deliveries!AW5/1000+B41</f>
        <v>2.41245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626</v>
      </c>
      <c r="C21" s="905" t="n">
        <f aca="false">PGL_Requirements!J7/1000</f>
        <v>0</v>
      </c>
      <c r="D21" s="1020" t="s">
        <v>710</v>
      </c>
      <c r="E21" s="1021" t="n">
        <f aca="false">SUM(E18:E20)</f>
        <v>75.55045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696</v>
      </c>
      <c r="B22" s="1024" t="n">
        <f aca="false">+B19+B20-C21</f>
        <v>157.294</v>
      </c>
      <c r="C22" s="1025"/>
      <c r="D22" s="1026" t="s">
        <v>711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465</v>
      </c>
      <c r="B23" s="904" t="n">
        <f aca="false">PGL_Supplies!Z7/1000</f>
        <v>40.2</v>
      </c>
      <c r="C23" s="73"/>
      <c r="D23" s="1026" t="s">
        <v>712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713</v>
      </c>
      <c r="B24" s="1027"/>
      <c r="C24" s="1015" t="n">
        <f aca="false">PGL_Requirements!U7/1000</f>
        <v>33.2</v>
      </c>
      <c r="D24" s="74" t="s">
        <v>714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715</v>
      </c>
      <c r="B25" s="904" t="n">
        <f aca="false">PGL_Supplies!R7/1000</f>
        <v>0</v>
      </c>
      <c r="C25" s="73"/>
      <c r="D25" s="1026" t="s">
        <v>716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462</v>
      </c>
      <c r="B26" s="82" t="s">
        <v>1</v>
      </c>
      <c r="C26" s="1028" t="s">
        <v>1</v>
      </c>
      <c r="D26" s="74" t="s">
        <v>717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718</v>
      </c>
      <c r="B27" s="904" t="n">
        <f aca="false">PGL_Supplies!AA7/1000</f>
        <v>0</v>
      </c>
      <c r="C27" s="73"/>
      <c r="D27" s="74" t="s">
        <v>427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719</v>
      </c>
      <c r="B28" s="904" t="n">
        <v>0</v>
      </c>
      <c r="C28" s="73"/>
      <c r="D28" s="1026" t="s">
        <v>720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721</v>
      </c>
      <c r="B29" s="82"/>
      <c r="C29" s="1028" t="n">
        <f aca="false">PGL_Requirements!J12/1000</f>
        <v>0</v>
      </c>
      <c r="D29" s="1026" t="s">
        <v>432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722</v>
      </c>
      <c r="B30" s="1030" t="n">
        <f aca="false">PGL_Supplies!AD7/1000</f>
        <v>0</v>
      </c>
      <c r="C30" s="73"/>
      <c r="D30" s="1026" t="s">
        <v>723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724</v>
      </c>
      <c r="B31" s="904" t="n">
        <f aca="false">PGL_Supplies!AE7/1000</f>
        <v>0</v>
      </c>
      <c r="C31" s="73"/>
      <c r="D31" s="1026" t="s">
        <v>725</v>
      </c>
      <c r="E31" s="74" t="s">
        <v>1</v>
      </c>
      <c r="F31" s="90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726</v>
      </c>
      <c r="B32" s="74"/>
      <c r="C32" s="1015" t="n">
        <v>0</v>
      </c>
      <c r="D32" s="1031" t="s">
        <v>727</v>
      </c>
      <c r="E32" s="904" t="n">
        <f aca="false">PGL_Deliveries!AR5/1000</f>
        <v>20.98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728</v>
      </c>
      <c r="B33" s="904" t="n">
        <f aca="false">PGL_Supplies!Q7/1000</f>
        <v>0</v>
      </c>
      <c r="C33" s="73"/>
      <c r="D33" s="1026" t="s">
        <v>729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730</v>
      </c>
      <c r="B34" s="1032" t="n">
        <f aca="false">(PGL_Deliveries!AB5+PGL_Deliveries!AC5+PGL_Deliveries!AD5)/1000</f>
        <v>0</v>
      </c>
      <c r="C34" s="73"/>
      <c r="D34" s="74" t="s">
        <v>300</v>
      </c>
      <c r="E34" s="904" t="n">
        <f aca="false">PGL_Supplies!AC7/1000</f>
        <v>54.57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731</v>
      </c>
      <c r="B35" s="74"/>
      <c r="C35" s="73" t="n">
        <f aca="false">PGL_Deliveries!AC5/1000</f>
        <v>0</v>
      </c>
      <c r="D35" s="74" t="s">
        <v>732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733</v>
      </c>
      <c r="B36" s="82"/>
      <c r="C36" s="1028" t="n">
        <f aca="false">PGL_Deliveries!AB5/1000</f>
        <v>0</v>
      </c>
      <c r="D36" s="1031" t="s">
        <v>734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735</v>
      </c>
      <c r="B37" s="904" t="s">
        <v>1</v>
      </c>
      <c r="C37" s="1015" t="n">
        <f aca="false">PGL_Requirements!P7/1000</f>
        <v>160.83</v>
      </c>
      <c r="D37" s="1026" t="s">
        <v>736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737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738</v>
      </c>
      <c r="B39" s="74"/>
      <c r="C39" s="1015" t="n">
        <f aca="false">PGL_Deliveries!AS5/1000</f>
        <v>0</v>
      </c>
      <c r="D39" s="1033" t="s">
        <v>330</v>
      </c>
      <c r="E39" s="1021" t="n">
        <f aca="false">SUM(E22:E37)-SUM(F23:F38)-E33</f>
        <v>75.55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445</v>
      </c>
      <c r="B40" s="904" t="n">
        <f aca="false">PGL_Deliveries!AT5/1000</f>
        <v>0.627</v>
      </c>
      <c r="C40" s="73"/>
      <c r="D40" s="1034" t="s">
        <v>739</v>
      </c>
      <c r="E40" s="1001"/>
      <c r="F40" s="90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346</v>
      </c>
      <c r="B41" s="904" t="n">
        <f aca="false">PGL_Deliveries!AG5/1000</f>
        <v>0</v>
      </c>
      <c r="C41" s="73"/>
      <c r="D41" s="1026" t="s">
        <v>266</v>
      </c>
      <c r="E41" s="1035" t="n">
        <f aca="false">PGL_Supplies!AB7/1000</f>
        <v>169.63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740</v>
      </c>
      <c r="B42" s="904" t="n">
        <f aca="false">PGL_Deliveries!AF5/1000</f>
        <v>0</v>
      </c>
      <c r="C42" s="73"/>
      <c r="D42" s="74" t="s">
        <v>433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741</v>
      </c>
      <c r="B43" s="904" t="n">
        <f aca="false">PGL_Deliveries!AW5/1000</f>
        <v>2.41245</v>
      </c>
      <c r="C43" s="73"/>
      <c r="D43" s="74" t="s">
        <v>617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742</v>
      </c>
      <c r="B44" s="911" t="s">
        <v>1</v>
      </c>
      <c r="C44" s="1015" t="n">
        <f aca="false">PGL_Requirements!R7/1000</f>
        <v>0.56</v>
      </c>
      <c r="D44" s="74" t="s">
        <v>743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744</v>
      </c>
      <c r="B45" s="74" t="n">
        <f aca="false">Weather_Input!B5</f>
        <v>68</v>
      </c>
      <c r="C45" s="999"/>
      <c r="D45" s="74" t="s">
        <v>348</v>
      </c>
      <c r="E45" s="1035" t="n">
        <f aca="false">PGL_Supplies!T7/1000</f>
        <v>20</v>
      </c>
      <c r="F45" s="1008"/>
    </row>
    <row r="46" customFormat="false" ht="15" hidden="false" customHeight="false" outlineLevel="0" collapsed="false">
      <c r="A46" s="896" t="s">
        <v>745</v>
      </c>
      <c r="B46" s="1036" t="n">
        <f aca="false">Weather_Input!C5</f>
        <v>44</v>
      </c>
      <c r="C46" s="41"/>
      <c r="D46" s="30" t="s">
        <v>349</v>
      </c>
      <c r="E46" s="74"/>
      <c r="F46" s="905" t="n">
        <f aca="false">PGL_Deliveries!BE5/1000</f>
        <v>0.161</v>
      </c>
    </row>
    <row r="47" customFormat="false" ht="15" hidden="false" customHeight="false" outlineLevel="0" collapsed="false">
      <c r="A47" s="924" t="s">
        <v>746</v>
      </c>
      <c r="B47" s="74" t="n">
        <f aca="false">Weather_Input!E5</f>
        <v>56.1</v>
      </c>
      <c r="C47" s="41"/>
      <c r="D47" s="1037" t="s">
        <v>747</v>
      </c>
      <c r="E47" s="82"/>
      <c r="F47" s="905" t="n">
        <f aca="false">PGL_Deliveries!BF5/1000</f>
        <v>0.036</v>
      </c>
    </row>
    <row r="48" customFormat="false" ht="15" hidden="false" customHeight="false" outlineLevel="0" collapsed="false">
      <c r="A48" s="896" t="s">
        <v>748</v>
      </c>
      <c r="B48" s="1038" t="n">
        <f aca="false">Weather_Input!D5</f>
        <v>5.2</v>
      </c>
      <c r="C48" s="41"/>
      <c r="D48" s="1026" t="s">
        <v>486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749</v>
      </c>
      <c r="B49" s="904" t="n">
        <f aca="false">PGL_Deliveries!AM5/1000</f>
        <v>1.016</v>
      </c>
      <c r="C49" s="41"/>
      <c r="D49" s="74" t="s">
        <v>750</v>
      </c>
      <c r="E49" s="904" t="n">
        <f aca="false">PGL_Deliveries!AJ5/1000</f>
        <v>16.301</v>
      </c>
      <c r="F49" s="895"/>
    </row>
    <row r="50" customFormat="false" ht="15.75" hidden="false" customHeight="false" outlineLevel="2" collapsed="false">
      <c r="A50" s="877" t="s">
        <v>751</v>
      </c>
      <c r="B50" s="1003"/>
      <c r="C50" s="1004"/>
      <c r="D50" s="912" t="s">
        <v>752</v>
      </c>
      <c r="E50" s="911" t="n">
        <f aca="false">PGL_Deliveries!AK5/1000</f>
        <v>2.553</v>
      </c>
      <c r="F50" s="932"/>
    </row>
    <row r="51" customFormat="false" ht="15" hidden="false" customHeight="false" outlineLevel="2" collapsed="false">
      <c r="A51" s="1039" t="s">
        <v>753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754</v>
      </c>
      <c r="B3" s="1041" t="n">
        <f aca="false">NSG_Deliveries!H5/1000</f>
        <v>52.251</v>
      </c>
      <c r="C3" s="465"/>
      <c r="D3" s="1042" t="s">
        <v>652</v>
      </c>
      <c r="E3" s="1043" t="n">
        <f aca="false">Weather_Input!A5</f>
        <v>37024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413</v>
      </c>
      <c r="B5" s="1048" t="n">
        <f aca="false">NSG_Deliveries!E5/1000</f>
        <v>44.287</v>
      </c>
      <c r="C5" s="1049"/>
      <c r="D5" s="1050" t="s">
        <v>662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755</v>
      </c>
      <c r="B7" s="1051" t="n">
        <f aca="false">NSG_Deliveries!G5/1000</f>
        <v>0</v>
      </c>
      <c r="C7" s="1054"/>
      <c r="D7" s="1050" t="s">
        <v>756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330</v>
      </c>
      <c r="B8" s="1051" t="n">
        <f aca="false">B5+B7</f>
        <v>44.287</v>
      </c>
      <c r="C8" s="895"/>
      <c r="D8" s="1057" t="s">
        <v>757</v>
      </c>
      <c r="E8" s="1058" t="n">
        <f aca="false">NSG_Deliveries!F5/1000</f>
        <v>7.964</v>
      </c>
      <c r="F8" s="346"/>
      <c r="G8" s="0"/>
    </row>
    <row r="9" customFormat="false" ht="15" hidden="false" customHeight="true" outlineLevel="0" collapsed="false">
      <c r="A9" s="1059" t="s">
        <v>604</v>
      </c>
      <c r="B9" s="1060" t="s">
        <v>1</v>
      </c>
      <c r="C9" s="1061" t="n">
        <f aca="false">NSG_Requirements!L7/1000</f>
        <v>0</v>
      </c>
      <c r="D9" s="29" t="s">
        <v>312</v>
      </c>
      <c r="E9" s="1062" t="s">
        <v>1</v>
      </c>
      <c r="F9" s="1063" t="n">
        <f aca="false">NSG_Deliveries!M5/1000</f>
        <v>12.036</v>
      </c>
      <c r="G9" s="40"/>
    </row>
    <row r="10" customFormat="false" ht="15" hidden="false" customHeight="true" outlineLevel="0" collapsed="false">
      <c r="A10" s="1064" t="s">
        <v>758</v>
      </c>
      <c r="B10" s="1065" t="n">
        <f aca="false">NSG_Supplies!H7/1000</f>
        <v>0</v>
      </c>
      <c r="C10" s="1066"/>
      <c r="D10" s="1067" t="s">
        <v>759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760</v>
      </c>
      <c r="B11" s="1071" t="s">
        <v>1</v>
      </c>
      <c r="C11" s="1072"/>
      <c r="D11" s="910" t="s">
        <v>761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762</v>
      </c>
      <c r="B12" s="1065" t="n">
        <v>0</v>
      </c>
      <c r="C12" s="1045"/>
      <c r="D12" s="0" t="s">
        <v>763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764</v>
      </c>
      <c r="B13" s="1065" t="n">
        <f aca="false">NSG_Supplies!R7/1000</f>
        <v>31.776</v>
      </c>
      <c r="C13" s="1045"/>
      <c r="D13" s="1076" t="s">
        <v>765</v>
      </c>
      <c r="E13" s="440"/>
      <c r="F13" s="1077"/>
      <c r="G13" s="0"/>
    </row>
    <row r="14" customFormat="false" ht="15" hidden="false" customHeight="true" outlineLevel="0" collapsed="false">
      <c r="A14" s="1064" t="s">
        <v>429</v>
      </c>
      <c r="B14" s="1065" t="n">
        <f aca="false">NSG_Supplies!C7/1000</f>
        <v>0</v>
      </c>
      <c r="C14" s="1045"/>
      <c r="D14" s="1078" t="s">
        <v>766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767</v>
      </c>
      <c r="B15" s="1078"/>
      <c r="C15" s="1061" t="n">
        <f aca="false">NSG_Deliveries!K5/1000</f>
        <v>0</v>
      </c>
      <c r="D15" s="1082" t="s">
        <v>768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769</v>
      </c>
      <c r="B16" s="1068" t="n">
        <f aca="false">NSG_Deliveries!L5/1000</f>
        <v>12.511</v>
      </c>
      <c r="C16" s="1085"/>
      <c r="D16" s="1086" t="s">
        <v>484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770</v>
      </c>
      <c r="B17" s="1078"/>
      <c r="C17" s="1061" t="n">
        <f aca="false">NSG_Requirements!P7/1000</f>
        <v>0</v>
      </c>
      <c r="D17" s="1088" t="s">
        <v>771</v>
      </c>
      <c r="E17" s="413"/>
      <c r="F17" s="1089"/>
    </row>
    <row r="18" customFormat="false" ht="15" hidden="false" customHeight="true" outlineLevel="0" collapsed="false">
      <c r="A18" s="1064" t="s">
        <v>772</v>
      </c>
      <c r="B18" s="1065" t="n">
        <f aca="false">NSG_Supplies!I7/1000</f>
        <v>0</v>
      </c>
      <c r="C18" s="1045"/>
      <c r="D18" s="73" t="s">
        <v>773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774</v>
      </c>
      <c r="B19" s="1068" t="n">
        <f aca="false">PGL_Requirements!Y7/1000+PGL_Requirements!AB7/1000</f>
        <v>0</v>
      </c>
      <c r="C19" s="1090"/>
      <c r="D19" s="1091" t="s">
        <v>775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776</v>
      </c>
      <c r="B20" s="1068" t="n">
        <f aca="false">PGL_Requirements!Z7/1000</f>
        <v>0</v>
      </c>
      <c r="C20" s="1090" t="s">
        <v>1</v>
      </c>
      <c r="D20" s="1078" t="s">
        <v>777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778</v>
      </c>
      <c r="B21" s="1068" t="n">
        <f aca="false">PGL_Requirements!AA7/1000</f>
        <v>0</v>
      </c>
      <c r="C21" s="1090"/>
      <c r="D21" s="1092" t="s">
        <v>779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780</v>
      </c>
      <c r="B22" s="1078"/>
      <c r="C22" s="1061" t="n">
        <f aca="false">NSG_Requirements!C7/1000</f>
        <v>0</v>
      </c>
      <c r="D22" s="1092" t="s">
        <v>781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782</v>
      </c>
      <c r="B23" s="1078"/>
      <c r="C23" s="1061" t="n">
        <f aca="false">NSG_Requirements!R7/1000</f>
        <v>0</v>
      </c>
      <c r="D23" s="1092" t="s">
        <v>783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784</v>
      </c>
      <c r="B24" s="1065" t="n">
        <f aca="false">NSG_Supplies!K7/1000</f>
        <v>0</v>
      </c>
      <c r="C24" s="1045"/>
      <c r="D24" s="1092" t="s">
        <v>785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786</v>
      </c>
      <c r="B25" s="1078"/>
      <c r="C25" s="1061" t="n">
        <f aca="false">NSG_Requirements!Q7/1000</f>
        <v>0</v>
      </c>
      <c r="D25" s="1092" t="s">
        <v>787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788</v>
      </c>
      <c r="B26" s="1095" t="n">
        <f aca="false">NSG_Supplies!J7/1000</f>
        <v>0</v>
      </c>
      <c r="C26" s="1049"/>
      <c r="D26" s="1096" t="s">
        <v>789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330</v>
      </c>
      <c r="B27" s="1099" t="n">
        <f aca="false">SUM(B9:B26)-SUM(C9:C26)</f>
        <v>44.287</v>
      </c>
      <c r="C27" s="1100"/>
      <c r="D27" s="1101" t="s">
        <v>790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J1" colorId="64" zoomScale="75" zoomScaleNormal="75" zoomScalePageLayoutView="100" workbookViewId="0">
      <selection pane="topLeft" activeCell="V6" activeCellId="0" sqref="V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1</v>
      </c>
      <c r="AD2" s="33" t="s">
        <v>1</v>
      </c>
      <c r="AE2" s="33" t="s">
        <v>45</v>
      </c>
      <c r="AF2" s="33"/>
      <c r="AG2" s="33" t="s">
        <v>45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1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9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37024</v>
      </c>
      <c r="B5" s="29" t="n">
        <f aca="false">(Weather_Input!B5+Weather_Input!C5)/2</f>
        <v>56</v>
      </c>
      <c r="C5" s="46" t="n">
        <v>265000</v>
      </c>
      <c r="D5" s="47" t="n">
        <v>0</v>
      </c>
      <c r="E5" s="47" t="n">
        <v>0</v>
      </c>
      <c r="F5" s="47" t="n">
        <v>59460</v>
      </c>
      <c r="G5" s="47" t="n">
        <v>108</v>
      </c>
      <c r="H5" s="47" t="n">
        <v>2727</v>
      </c>
      <c r="I5" s="47" t="n">
        <v>194932</v>
      </c>
      <c r="J5" s="47" t="n">
        <v>0</v>
      </c>
      <c r="K5" s="47" t="n">
        <v>6</v>
      </c>
      <c r="L5" s="47" t="n">
        <v>731</v>
      </c>
      <c r="M5" s="47" t="n">
        <v>2070</v>
      </c>
      <c r="N5" s="47" t="n">
        <v>728</v>
      </c>
      <c r="O5" s="47" t="n">
        <v>0</v>
      </c>
      <c r="P5" s="47" t="n">
        <v>827</v>
      </c>
      <c r="Q5" s="47" t="n">
        <v>203</v>
      </c>
      <c r="R5" s="47" t="n">
        <v>1621</v>
      </c>
      <c r="S5" s="48" t="n">
        <v>4657</v>
      </c>
      <c r="T5" s="49" t="n">
        <v>0</v>
      </c>
      <c r="U5" s="46" t="n">
        <f aca="false">SUM(D5:S5)-T5</f>
        <v>268070</v>
      </c>
      <c r="V5" s="46" t="n">
        <v>159314</v>
      </c>
      <c r="W5" s="18" t="n">
        <v>7104</v>
      </c>
      <c r="X5" s="18" t="n">
        <v>0</v>
      </c>
      <c r="Y5" s="18" t="n">
        <v>0</v>
      </c>
      <c r="Z5" s="18" t="n">
        <v>181702</v>
      </c>
      <c r="AA5" s="18" t="n">
        <v>161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16301</v>
      </c>
      <c r="AK5" s="18" t="n">
        <v>2553</v>
      </c>
      <c r="AL5" s="18" t="n">
        <v>0</v>
      </c>
      <c r="AM5" s="29" t="n">
        <v>1016</v>
      </c>
      <c r="AN5" s="29"/>
      <c r="AO5" s="29" t="n">
        <v>11279</v>
      </c>
      <c r="AP5" s="29" t="n">
        <v>0</v>
      </c>
      <c r="AQ5" s="29" t="n">
        <v>0</v>
      </c>
      <c r="AR5" s="29" t="n">
        <v>20980</v>
      </c>
      <c r="AS5" s="29" t="n">
        <v>0</v>
      </c>
      <c r="AT5" s="29" t="n">
        <v>627</v>
      </c>
      <c r="AU5" s="29" t="n">
        <v>160830</v>
      </c>
      <c r="AV5" s="29" t="n">
        <v>560</v>
      </c>
      <c r="AW5" s="50" t="n">
        <f aca="false">AU5*0.015</f>
        <v>2412.45</v>
      </c>
      <c r="AX5" s="29" t="n">
        <v>0</v>
      </c>
      <c r="AY5" s="29"/>
      <c r="AZ5" s="29" t="n">
        <v>108</v>
      </c>
      <c r="BA5" s="29" t="n">
        <v>13</v>
      </c>
      <c r="BB5" s="29" t="n">
        <v>4</v>
      </c>
      <c r="BC5" s="29" t="n">
        <v>0</v>
      </c>
      <c r="BD5" s="29"/>
      <c r="BE5" s="29" t="n">
        <v>161</v>
      </c>
      <c r="BF5" s="29" t="n">
        <v>36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37025</v>
      </c>
      <c r="B6" s="51" t="n">
        <f aca="false">(Weather_Input!B6+Weather_Input!C6)/2</f>
        <v>65.5</v>
      </c>
      <c r="C6" s="46" t="n">
        <v>240000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37026</v>
      </c>
      <c r="B7" s="51" t="n">
        <f aca="false">(Weather_Input!B7+Weather_Input!C7)/2</f>
        <v>66</v>
      </c>
      <c r="C7" s="46" t="n">
        <v>240000</v>
      </c>
      <c r="D7" s="52" t="s">
        <v>1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37027</v>
      </c>
      <c r="B8" s="51" t="n">
        <f aca="false">(Weather_Input!B8+Weather_Input!C8)/2</f>
        <v>63.5</v>
      </c>
      <c r="C8" s="46" t="n">
        <v>240000</v>
      </c>
      <c r="D8" s="52" t="s">
        <v>1</v>
      </c>
      <c r="E8" s="53" t="s">
        <v>1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37028</v>
      </c>
      <c r="B9" s="51" t="n">
        <f aca="false">(Weather_Input!B9+Weather_Input!C9)/2</f>
        <v>68</v>
      </c>
      <c r="C9" s="46" t="n">
        <v>240000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37029</v>
      </c>
      <c r="B10" s="51" t="n">
        <f aca="false">(Weather_Input!B10+Weather_Input!C10)/2</f>
        <v>63.5</v>
      </c>
      <c r="C10" s="46" t="n">
        <v>230000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793</v>
      </c>
      <c r="B1" s="106" t="n">
        <f aca="false">Weather_Input!A5</f>
        <v>37024</v>
      </c>
      <c r="C1" s="1115"/>
    </row>
    <row r="2" customFormat="false" ht="15" hidden="false" customHeight="false" outlineLevel="0" collapsed="false">
      <c r="A2" s="28" t="s">
        <v>794</v>
      </c>
      <c r="B2" s="1115"/>
      <c r="C2" s="1115"/>
    </row>
    <row r="3" customFormat="false" ht="15.75" hidden="false" customHeight="false" outlineLevel="0" collapsed="false">
      <c r="B3" s="1116" t="s">
        <v>87</v>
      </c>
      <c r="C3" s="1116"/>
      <c r="D3" s="1116"/>
      <c r="E3" s="1116"/>
      <c r="F3" s="1116"/>
      <c r="G3" s="1116"/>
      <c r="H3" s="1117" t="s">
        <v>88</v>
      </c>
      <c r="I3" s="1117"/>
      <c r="J3" s="1117"/>
      <c r="K3" s="1117"/>
      <c r="L3" s="1117"/>
      <c r="M3" s="1117"/>
      <c r="N3" s="856" t="s">
        <v>44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795</v>
      </c>
      <c r="C4" s="1118"/>
      <c r="D4" s="11" t="s">
        <v>696</v>
      </c>
      <c r="E4" s="11" t="s">
        <v>696</v>
      </c>
      <c r="F4" s="1119" t="s">
        <v>796</v>
      </c>
      <c r="G4" s="1119"/>
      <c r="H4" s="4" t="s">
        <v>795</v>
      </c>
      <c r="I4" s="4"/>
      <c r="J4" s="11" t="s">
        <v>696</v>
      </c>
      <c r="K4" s="11" t="s">
        <v>696</v>
      </c>
      <c r="L4" s="1119" t="s">
        <v>796</v>
      </c>
      <c r="M4" s="1119"/>
      <c r="N4" s="4" t="s">
        <v>795</v>
      </c>
      <c r="O4" s="4"/>
      <c r="P4" s="11" t="s">
        <v>696</v>
      </c>
      <c r="Q4" s="11" t="s">
        <v>696</v>
      </c>
      <c r="R4" s="4" t="s">
        <v>796</v>
      </c>
      <c r="S4" s="4"/>
    </row>
    <row r="5" customFormat="false" ht="15" hidden="false" customHeight="false" outlineLevel="0" collapsed="false">
      <c r="A5" s="807"/>
      <c r="B5" s="1120" t="s">
        <v>797</v>
      </c>
      <c r="C5" s="1121" t="s">
        <v>798</v>
      </c>
      <c r="D5" s="1122" t="s">
        <v>799</v>
      </c>
      <c r="E5" s="1122" t="s">
        <v>800</v>
      </c>
      <c r="F5" s="1122" t="s">
        <v>797</v>
      </c>
      <c r="G5" s="1123" t="s">
        <v>798</v>
      </c>
      <c r="H5" s="1122" t="s">
        <v>797</v>
      </c>
      <c r="I5" s="1122" t="s">
        <v>798</v>
      </c>
      <c r="J5" s="1122" t="s">
        <v>799</v>
      </c>
      <c r="K5" s="1122" t="s">
        <v>800</v>
      </c>
      <c r="L5" s="1122" t="s">
        <v>797</v>
      </c>
      <c r="M5" s="1123" t="s">
        <v>798</v>
      </c>
      <c r="N5" s="1122" t="s">
        <v>797</v>
      </c>
      <c r="O5" s="1122" t="s">
        <v>798</v>
      </c>
      <c r="P5" s="1122" t="s">
        <v>799</v>
      </c>
      <c r="Q5" s="1122" t="s">
        <v>800</v>
      </c>
      <c r="R5" s="1122" t="s">
        <v>797</v>
      </c>
      <c r="S5" s="1122" t="s">
        <v>798</v>
      </c>
    </row>
    <row r="6" customFormat="false" ht="15" hidden="false" customHeight="false" outlineLevel="0" collapsed="false">
      <c r="A6" s="1115" t="n">
        <f aca="false">B1-1</f>
        <v>37023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157294</v>
      </c>
      <c r="O6" s="1124" t="n">
        <v>0</v>
      </c>
      <c r="P6" s="1124" t="n">
        <v>47113434</v>
      </c>
      <c r="Q6" s="1124" t="n">
        <v>15045098</v>
      </c>
      <c r="R6" s="1124" t="n">
        <v>32068336</v>
      </c>
      <c r="S6" s="1124" t="n">
        <v>0</v>
      </c>
    </row>
    <row r="7" customFormat="false" ht="15" hidden="false" customHeight="false" outlineLevel="0" collapsed="false">
      <c r="A7" s="1115" t="n">
        <f aca="false">B1</f>
        <v>37024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157294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47270728</v>
      </c>
      <c r="Q7" s="0" t="n">
        <f aca="false">IF(O7&gt;0,Q6+O7,Q6)</f>
        <v>15045098</v>
      </c>
      <c r="R7" s="0" t="n">
        <f aca="false">IF(P7&gt;Q7,P7-Q7,0)</f>
        <v>32225630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801</v>
      </c>
      <c r="C1" s="36" t="s">
        <v>802</v>
      </c>
      <c r="D1" s="1126" t="s">
        <v>803</v>
      </c>
    </row>
    <row r="2" customFormat="false" ht="15" hidden="false" customHeight="false" outlineLevel="0" collapsed="false">
      <c r="B2" s="36" t="s">
        <v>804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9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37024</v>
      </c>
      <c r="B5" s="29" t="n">
        <f aca="false">(Weather_Input!B5+Weather_Input!C5)/2</f>
        <v>56</v>
      </c>
      <c r="C5" s="46" t="n">
        <v>52000</v>
      </c>
      <c r="D5" s="46" t="n">
        <v>0</v>
      </c>
      <c r="E5" s="46" t="n">
        <v>44287</v>
      </c>
      <c r="F5" s="46" t="n">
        <v>7964</v>
      </c>
      <c r="G5" s="46" t="n">
        <v>0</v>
      </c>
      <c r="H5" s="63" t="n">
        <f aca="false">SUM(D5:G5)</f>
        <v>52251</v>
      </c>
      <c r="I5" s="29" t="n">
        <v>1008</v>
      </c>
      <c r="J5" s="29" t="s">
        <v>1</v>
      </c>
      <c r="K5" s="29" t="n">
        <v>0</v>
      </c>
      <c r="L5" s="29" t="n">
        <v>12511</v>
      </c>
      <c r="M5" s="29" t="n">
        <v>12036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37025</v>
      </c>
      <c r="B6" s="51" t="n">
        <f aca="false">(Weather_Input!B6+Weather_Input!C6)/2</f>
        <v>65.5</v>
      </c>
      <c r="C6" s="46" t="n">
        <v>44000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37026</v>
      </c>
      <c r="B7" s="51" t="n">
        <f aca="false">(Weather_Input!B7+Weather_Input!C7)/2</f>
        <v>66</v>
      </c>
      <c r="C7" s="46" t="n">
        <v>39000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37027</v>
      </c>
      <c r="B8" s="51" t="n">
        <f aca="false">(Weather_Input!B8+Weather_Input!C8)/2</f>
        <v>63.5</v>
      </c>
      <c r="C8" s="46" t="n">
        <v>39000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37028</v>
      </c>
      <c r="B9" s="51" t="n">
        <f aca="false">(Weather_Input!B9+Weather_Input!C9)/2</f>
        <v>68</v>
      </c>
      <c r="C9" s="46" t="n">
        <v>38000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37029</v>
      </c>
      <c r="B10" s="51" t="n">
        <f aca="false">(Weather_Input!B10+Weather_Input!C10)/2</f>
        <v>63.5</v>
      </c>
      <c r="C10" s="46" t="n">
        <v>37000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R7" activeCellId="0" sqref="R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135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87</v>
      </c>
      <c r="W4" s="75"/>
      <c r="X4" s="75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141</v>
      </c>
      <c r="C5" s="76"/>
      <c r="D5" s="29"/>
      <c r="E5" s="29"/>
      <c r="F5" s="79"/>
      <c r="G5" s="78" t="s">
        <v>1</v>
      </c>
      <c r="H5" s="75" t="s">
        <v>85</v>
      </c>
      <c r="I5" s="33" t="s">
        <v>142</v>
      </c>
      <c r="J5" s="80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1" t="s">
        <v>144</v>
      </c>
      <c r="V5" s="37" t="s">
        <v>145</v>
      </c>
      <c r="W5" s="36" t="s">
        <v>145</v>
      </c>
      <c r="X5" s="36" t="s">
        <v>145</v>
      </c>
      <c r="Y5" s="36" t="s">
        <v>145</v>
      </c>
      <c r="Z5" s="36" t="s">
        <v>145</v>
      </c>
      <c r="AA5" s="36" t="s">
        <v>145</v>
      </c>
      <c r="AB5" s="36" t="s">
        <v>145</v>
      </c>
      <c r="AC5" s="37" t="s">
        <v>145</v>
      </c>
      <c r="AD5" s="36" t="s">
        <v>145</v>
      </c>
      <c r="AE5" s="36" t="s">
        <v>145</v>
      </c>
      <c r="AF5" s="37" t="s">
        <v>145</v>
      </c>
      <c r="AG5" s="36" t="s">
        <v>145</v>
      </c>
      <c r="AH5" s="36" t="s">
        <v>145</v>
      </c>
      <c r="AI5" s="36" t="s">
        <v>145</v>
      </c>
      <c r="AJ5" s="29"/>
    </row>
    <row r="6" customFormat="false" ht="12.75" hidden="false" customHeight="false" outlineLevel="0" collapsed="false">
      <c r="A6" s="82"/>
      <c r="B6" s="83" t="s">
        <v>146</v>
      </c>
      <c r="C6" s="80" t="s">
        <v>87</v>
      </c>
      <c r="D6" s="80" t="s">
        <v>139</v>
      </c>
      <c r="E6" s="80" t="s">
        <v>140</v>
      </c>
      <c r="F6" s="84" t="s">
        <v>147</v>
      </c>
      <c r="G6" s="80" t="s">
        <v>148</v>
      </c>
      <c r="H6" s="85" t="s">
        <v>140</v>
      </c>
      <c r="I6" s="86" t="s">
        <v>149</v>
      </c>
      <c r="J6" s="80" t="s">
        <v>150</v>
      </c>
      <c r="K6" s="80" t="s">
        <v>151</v>
      </c>
      <c r="L6" s="80" t="s">
        <v>45</v>
      </c>
      <c r="M6" s="80" t="s">
        <v>85</v>
      </c>
      <c r="N6" s="80" t="s">
        <v>147</v>
      </c>
      <c r="O6" s="80" t="s">
        <v>152</v>
      </c>
      <c r="P6" s="80" t="s">
        <v>76</v>
      </c>
      <c r="Q6" s="80" t="s">
        <v>153</v>
      </c>
      <c r="R6" s="80" t="s">
        <v>154</v>
      </c>
      <c r="S6" s="80" t="s">
        <v>155</v>
      </c>
      <c r="T6" s="87" t="s">
        <v>156</v>
      </c>
      <c r="U6" s="86" t="s">
        <v>152</v>
      </c>
      <c r="V6" s="80" t="s">
        <v>87</v>
      </c>
      <c r="W6" s="80" t="s">
        <v>45</v>
      </c>
      <c r="X6" s="80" t="s">
        <v>139</v>
      </c>
      <c r="Y6" s="80" t="s">
        <v>45</v>
      </c>
      <c r="Z6" s="80" t="s">
        <v>87</v>
      </c>
      <c r="AA6" s="80" t="s">
        <v>139</v>
      </c>
      <c r="AB6" s="80" t="s">
        <v>140</v>
      </c>
      <c r="AC6" s="80" t="s">
        <v>87</v>
      </c>
      <c r="AD6" s="80" t="s">
        <v>45</v>
      </c>
      <c r="AE6" s="80" t="s">
        <v>139</v>
      </c>
      <c r="AF6" s="80" t="s">
        <v>87</v>
      </c>
      <c r="AG6" s="80" t="s">
        <v>45</v>
      </c>
      <c r="AH6" s="80" t="s">
        <v>139</v>
      </c>
      <c r="AI6" s="80" t="s">
        <v>140</v>
      </c>
      <c r="AJ6" s="29"/>
    </row>
    <row r="7" customFormat="false" ht="12.75" hidden="false" customHeight="false" outlineLevel="0" collapsed="false">
      <c r="A7" s="88" t="n">
        <f aca="false">Weather_Input!A5</f>
        <v>37024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11279</v>
      </c>
      <c r="H7" s="92" t="n">
        <v>161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0</v>
      </c>
      <c r="P7" s="91" t="n">
        <v>160830</v>
      </c>
      <c r="Q7" s="50" t="n">
        <f aca="false">P7*0.015</f>
        <v>2412.45</v>
      </c>
      <c r="R7" s="91" t="n">
        <v>560</v>
      </c>
      <c r="S7" s="91" t="n">
        <v>0</v>
      </c>
      <c r="T7" s="91" t="n">
        <v>0</v>
      </c>
      <c r="U7" s="93" t="n">
        <v>33200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37024</v>
      </c>
    </row>
    <row r="8" customFormat="false" ht="12.75" hidden="false" customHeight="false" outlineLevel="0" collapsed="false">
      <c r="A8" s="88" t="n">
        <f aca="false">A7+1</f>
        <v>37025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28690</v>
      </c>
      <c r="I8" s="93" t="n">
        <v>0</v>
      </c>
      <c r="J8" s="93" t="n">
        <v>0</v>
      </c>
      <c r="K8" s="91" t="n">
        <v>8000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132000</v>
      </c>
      <c r="Q8" s="50" t="n">
        <f aca="false">P8*0.015</f>
        <v>1980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37025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37026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19000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37026</v>
      </c>
      <c r="AN9" s="93"/>
    </row>
    <row r="10" customFormat="false" ht="12.75" hidden="false" customHeight="false" outlineLevel="0" collapsed="false">
      <c r="A10" s="88" t="n">
        <f aca="false">A9+1</f>
        <v>37027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37027</v>
      </c>
    </row>
    <row r="11" customFormat="false" ht="12.75" hidden="false" customHeight="false" outlineLevel="0" collapsed="false">
      <c r="A11" s="88" t="n">
        <f aca="false">A10+1</f>
        <v>37028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37028</v>
      </c>
    </row>
    <row r="12" customFormat="false" ht="12.75" hidden="false" customHeight="false" outlineLevel="0" collapsed="false">
      <c r="A12" s="88" t="n">
        <f aca="false">A11+1</f>
        <v>37029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37029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157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T1" colorId="64" zoomScale="75" zoomScaleNormal="75" zoomScalePageLayoutView="100" workbookViewId="0">
      <selection pane="topLeft" activeCell="AE7" activeCellId="0" sqref="AE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158</v>
      </c>
      <c r="D3" s="97"/>
      <c r="E3" s="97"/>
      <c r="F3" s="97"/>
      <c r="G3" s="97"/>
      <c r="H3" s="71" t="s">
        <v>159</v>
      </c>
      <c r="I3" s="71"/>
      <c r="J3" s="71"/>
      <c r="K3" s="71"/>
      <c r="L3" s="71"/>
      <c r="M3" s="71" t="s">
        <v>160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161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162</v>
      </c>
      <c r="V4" s="36" t="s">
        <v>163</v>
      </c>
      <c r="Y4" s="73"/>
      <c r="Z4" s="74"/>
      <c r="AE4" s="73"/>
    </row>
    <row r="5" customFormat="false" ht="12.75" hidden="false" customHeight="false" outlineLevel="0" collapsed="false">
      <c r="B5" s="36" t="s">
        <v>164</v>
      </c>
      <c r="C5" s="37"/>
      <c r="D5" s="36"/>
      <c r="E5" s="36"/>
      <c r="F5" s="36"/>
      <c r="G5" s="78"/>
      <c r="H5" s="36"/>
      <c r="I5" s="36"/>
      <c r="J5" s="36"/>
      <c r="K5" s="78" t="s">
        <v>64</v>
      </c>
      <c r="L5" s="76" t="s">
        <v>45</v>
      </c>
      <c r="M5" s="37" t="s">
        <v>65</v>
      </c>
      <c r="N5" s="37" t="s">
        <v>1</v>
      </c>
      <c r="O5" s="36" t="s">
        <v>1</v>
      </c>
      <c r="P5" s="36" t="s">
        <v>1</v>
      </c>
      <c r="Q5" s="36" t="s">
        <v>165</v>
      </c>
      <c r="R5" s="33" t="s">
        <v>87</v>
      </c>
      <c r="S5" s="78" t="s">
        <v>1</v>
      </c>
      <c r="T5" s="75" t="s">
        <v>85</v>
      </c>
      <c r="U5" s="33" t="s">
        <v>142</v>
      </c>
      <c r="V5" s="36" t="s">
        <v>166</v>
      </c>
      <c r="W5" s="36"/>
      <c r="X5" s="76" t="s">
        <v>86</v>
      </c>
      <c r="Y5" s="73"/>
      <c r="Z5" s="36"/>
      <c r="AA5" s="36"/>
      <c r="AB5" s="36"/>
      <c r="AE5" s="78" t="s">
        <v>167</v>
      </c>
    </row>
    <row r="6" customFormat="false" ht="12.75" hidden="false" customHeight="false" outlineLevel="0" collapsed="false">
      <c r="B6" s="80" t="s">
        <v>168</v>
      </c>
      <c r="C6" s="99" t="s">
        <v>87</v>
      </c>
      <c r="D6" s="80" t="s">
        <v>139</v>
      </c>
      <c r="E6" s="80" t="s">
        <v>140</v>
      </c>
      <c r="F6" s="80" t="s">
        <v>85</v>
      </c>
      <c r="G6" s="83" t="s">
        <v>147</v>
      </c>
      <c r="H6" s="80" t="s">
        <v>141</v>
      </c>
      <c r="I6" s="80" t="s">
        <v>96</v>
      </c>
      <c r="J6" s="80" t="s">
        <v>77</v>
      </c>
      <c r="K6" s="83" t="s">
        <v>97</v>
      </c>
      <c r="L6" s="80" t="s">
        <v>169</v>
      </c>
      <c r="M6" s="99" t="s">
        <v>76</v>
      </c>
      <c r="N6" s="80" t="s">
        <v>1</v>
      </c>
      <c r="O6" s="80" t="s">
        <v>1</v>
      </c>
      <c r="P6" s="80" t="s">
        <v>1</v>
      </c>
      <c r="Q6" s="100" t="s">
        <v>170</v>
      </c>
      <c r="R6" s="87" t="s">
        <v>152</v>
      </c>
      <c r="S6" s="83" t="s">
        <v>1</v>
      </c>
      <c r="T6" s="85" t="s">
        <v>171</v>
      </c>
      <c r="U6" s="87" t="s">
        <v>149</v>
      </c>
      <c r="V6" s="80" t="s">
        <v>172</v>
      </c>
      <c r="W6" s="80" t="s">
        <v>1</v>
      </c>
      <c r="X6" s="101" t="s">
        <v>173</v>
      </c>
      <c r="Y6" s="83" t="s">
        <v>86</v>
      </c>
      <c r="Z6" s="80" t="s">
        <v>87</v>
      </c>
      <c r="AA6" s="80" t="s">
        <v>139</v>
      </c>
      <c r="AB6" s="80" t="s">
        <v>140</v>
      </c>
      <c r="AC6" s="80" t="s">
        <v>45</v>
      </c>
      <c r="AD6" s="80" t="s">
        <v>147</v>
      </c>
      <c r="AE6" s="83" t="s">
        <v>174</v>
      </c>
    </row>
    <row r="7" customFormat="false" ht="12.75" hidden="false" customHeight="false" outlineLevel="0" collapsed="false">
      <c r="A7" s="88" t="n">
        <f aca="false">Weather_Input!A5</f>
        <v>37024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627</v>
      </c>
      <c r="I7" s="91" t="n">
        <v>18854</v>
      </c>
      <c r="J7" s="91" t="n">
        <v>0</v>
      </c>
      <c r="K7" s="103" t="n">
        <v>0</v>
      </c>
      <c r="L7" s="94" t="n">
        <v>20980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20000</v>
      </c>
      <c r="U7" s="91" t="n">
        <v>0</v>
      </c>
      <c r="V7" s="94" t="n">
        <v>176704</v>
      </c>
      <c r="W7" s="94" t="n">
        <v>0</v>
      </c>
      <c r="X7" s="93" t="n">
        <v>0</v>
      </c>
      <c r="Y7" s="103" t="n">
        <v>157294</v>
      </c>
      <c r="Z7" s="94" t="n">
        <v>40200</v>
      </c>
      <c r="AA7" s="29" t="n">
        <v>0</v>
      </c>
      <c r="AB7" s="93" t="n">
        <v>169630</v>
      </c>
      <c r="AC7" s="93" t="n">
        <v>54570</v>
      </c>
      <c r="AD7" s="93" t="n">
        <v>0</v>
      </c>
      <c r="AE7" s="103" t="n">
        <v>0</v>
      </c>
      <c r="AF7" s="106" t="n">
        <f aca="false">Weather_Input!A5</f>
        <v>37024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37025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13810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176704</v>
      </c>
      <c r="W8" s="94" t="n">
        <v>0</v>
      </c>
      <c r="X8" s="93" t="n">
        <v>0</v>
      </c>
      <c r="Y8" s="103" t="n">
        <v>157294</v>
      </c>
      <c r="Z8" s="94" t="n">
        <v>40200</v>
      </c>
      <c r="AA8" s="29" t="n">
        <v>0</v>
      </c>
      <c r="AB8" s="93" t="n">
        <v>169630</v>
      </c>
      <c r="AC8" s="93" t="n">
        <v>54570</v>
      </c>
      <c r="AD8" s="93" t="n">
        <v>0</v>
      </c>
      <c r="AE8" s="103" t="n">
        <v>0</v>
      </c>
      <c r="AF8" s="88" t="n">
        <f aca="false">AF7+1</f>
        <v>37025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37026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176704</v>
      </c>
      <c r="W9" s="94" t="n">
        <v>0</v>
      </c>
      <c r="X9" s="93" t="n">
        <v>0</v>
      </c>
      <c r="Y9" s="103" t="n">
        <v>157294</v>
      </c>
      <c r="Z9" s="94" t="n">
        <v>40200</v>
      </c>
      <c r="AA9" s="29" t="n">
        <v>0</v>
      </c>
      <c r="AB9" s="93" t="n">
        <v>169630</v>
      </c>
      <c r="AC9" s="93" t="n">
        <v>54570</v>
      </c>
      <c r="AD9" s="93" t="n">
        <v>0</v>
      </c>
      <c r="AE9" s="103" t="n">
        <v>0</v>
      </c>
      <c r="AF9" s="88" t="n">
        <f aca="false">AF8+1</f>
        <v>37026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37027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176704</v>
      </c>
      <c r="W10" s="94" t="n">
        <v>0</v>
      </c>
      <c r="X10" s="93" t="n">
        <v>0</v>
      </c>
      <c r="Y10" s="103" t="n">
        <v>157294</v>
      </c>
      <c r="Z10" s="94" t="n">
        <v>40200</v>
      </c>
      <c r="AA10" s="29" t="n">
        <v>0</v>
      </c>
      <c r="AB10" s="93" t="n">
        <v>169630</v>
      </c>
      <c r="AC10" s="93" t="n">
        <v>54570</v>
      </c>
      <c r="AD10" s="93" t="n">
        <v>0</v>
      </c>
      <c r="AE10" s="103" t="n">
        <v>0</v>
      </c>
      <c r="AF10" s="88" t="n">
        <f aca="false">AF9+1</f>
        <v>37027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37028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176704</v>
      </c>
      <c r="W11" s="94" t="n">
        <v>0</v>
      </c>
      <c r="X11" s="93" t="n">
        <v>0</v>
      </c>
      <c r="Y11" s="103" t="n">
        <v>157294</v>
      </c>
      <c r="Z11" s="94" t="n">
        <v>40200</v>
      </c>
      <c r="AA11" s="29" t="n">
        <v>0</v>
      </c>
      <c r="AB11" s="93" t="n">
        <v>169630</v>
      </c>
      <c r="AC11" s="93" t="n">
        <v>54570</v>
      </c>
      <c r="AD11" s="93" t="n">
        <v>0</v>
      </c>
      <c r="AE11" s="103" t="n">
        <v>0</v>
      </c>
      <c r="AF11" s="88" t="n">
        <f aca="false">AF10+1</f>
        <v>37028</v>
      </c>
    </row>
    <row r="12" customFormat="false" ht="12.75" hidden="false" customHeight="false" outlineLevel="0" collapsed="false">
      <c r="A12" s="88" t="n">
        <f aca="false">A11+1</f>
        <v>37029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176704</v>
      </c>
      <c r="W12" s="94" t="n">
        <v>0</v>
      </c>
      <c r="X12" s="93" t="n">
        <v>0</v>
      </c>
      <c r="Y12" s="103" t="n">
        <v>157294</v>
      </c>
      <c r="Z12" s="94" t="n">
        <v>40200</v>
      </c>
      <c r="AA12" s="29" t="n">
        <v>0</v>
      </c>
      <c r="AB12" s="93" t="n">
        <v>169630</v>
      </c>
      <c r="AC12" s="93" t="n">
        <v>54570</v>
      </c>
      <c r="AD12" s="93" t="n">
        <v>0</v>
      </c>
      <c r="AE12" s="103" t="n">
        <v>0</v>
      </c>
      <c r="AF12" s="88" t="n">
        <f aca="false">AF11+1</f>
        <v>37029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175</v>
      </c>
      <c r="C3" s="71" t="s">
        <v>176</v>
      </c>
      <c r="D3" s="71"/>
      <c r="E3" s="71"/>
      <c r="F3" s="71"/>
      <c r="G3" s="72" t="s">
        <v>177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178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179</v>
      </c>
      <c r="C4" s="29"/>
      <c r="D4" s="29"/>
      <c r="E4" s="29"/>
      <c r="F4" s="29"/>
      <c r="G4" s="37" t="s">
        <v>180</v>
      </c>
      <c r="H4" s="37"/>
      <c r="I4" s="36" t="s">
        <v>181</v>
      </c>
      <c r="J4" s="36"/>
      <c r="K4" s="76" t="s">
        <v>182</v>
      </c>
      <c r="L4" s="76" t="s">
        <v>182</v>
      </c>
      <c r="M4" s="37" t="s">
        <v>182</v>
      </c>
      <c r="N4" s="76" t="s">
        <v>126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183</v>
      </c>
      <c r="H5" s="36" t="s">
        <v>45</v>
      </c>
      <c r="I5" s="109" t="n">
        <v>0.05</v>
      </c>
      <c r="J5" s="109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09" t="s">
        <v>45</v>
      </c>
      <c r="S5" s="37" t="s">
        <v>87</v>
      </c>
      <c r="T5" s="37"/>
      <c r="U5" s="37"/>
      <c r="V5" s="36" t="s">
        <v>1</v>
      </c>
      <c r="W5" s="36" t="s">
        <v>139</v>
      </c>
      <c r="X5" s="36" t="s">
        <v>1</v>
      </c>
      <c r="Y5" s="29"/>
      <c r="Z5" s="36" t="s">
        <v>45</v>
      </c>
      <c r="AA5" s="36"/>
      <c r="AB5" s="36" t="s">
        <v>1</v>
      </c>
      <c r="AC5" s="28" t="s">
        <v>184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0" t="s">
        <v>45</v>
      </c>
      <c r="D6" s="80" t="s">
        <v>87</v>
      </c>
      <c r="E6" s="80" t="s">
        <v>139</v>
      </c>
      <c r="F6" s="80" t="s">
        <v>140</v>
      </c>
      <c r="G6" s="99" t="s">
        <v>185</v>
      </c>
      <c r="H6" s="80" t="s">
        <v>169</v>
      </c>
      <c r="I6" s="80" t="s">
        <v>186</v>
      </c>
      <c r="J6" s="80" t="s">
        <v>152</v>
      </c>
      <c r="K6" s="80" t="s">
        <v>187</v>
      </c>
      <c r="L6" s="80" t="s">
        <v>188</v>
      </c>
      <c r="M6" s="80" t="s">
        <v>189</v>
      </c>
      <c r="N6" s="80" t="s">
        <v>190</v>
      </c>
      <c r="O6" s="80" t="n">
        <v>50</v>
      </c>
      <c r="P6" s="80" t="s">
        <v>191</v>
      </c>
      <c r="Q6" s="80" t="s">
        <v>155</v>
      </c>
      <c r="R6" s="80" t="s">
        <v>192</v>
      </c>
      <c r="S6" s="99" t="s">
        <v>193</v>
      </c>
      <c r="T6" s="80" t="s">
        <v>194</v>
      </c>
      <c r="U6" s="80" t="s">
        <v>195</v>
      </c>
      <c r="V6" s="99" t="s">
        <v>193</v>
      </c>
      <c r="W6" s="80" t="s">
        <v>194</v>
      </c>
      <c r="X6" s="80" t="s">
        <v>195</v>
      </c>
      <c r="Y6" s="99" t="s">
        <v>193</v>
      </c>
      <c r="Z6" s="80" t="s">
        <v>194</v>
      </c>
      <c r="AA6" s="80" t="s">
        <v>195</v>
      </c>
      <c r="AB6" s="99" t="s">
        <v>193</v>
      </c>
      <c r="AC6" s="80" t="s">
        <v>194</v>
      </c>
      <c r="AD6" s="80" t="s">
        <v>195</v>
      </c>
      <c r="AE6" s="80" t="s">
        <v>196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37024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12036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37024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37025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16780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37025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37026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37026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37027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37027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37028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37028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37029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37029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175</v>
      </c>
      <c r="C3" s="115" t="s">
        <v>197</v>
      </c>
      <c r="D3" s="115"/>
      <c r="E3" s="115"/>
      <c r="F3" s="115"/>
      <c r="G3" s="115"/>
      <c r="H3" s="71" t="s">
        <v>160</v>
      </c>
      <c r="I3" s="71"/>
      <c r="J3" s="71"/>
      <c r="K3" s="71"/>
      <c r="L3" s="71"/>
      <c r="M3" s="71"/>
      <c r="N3" s="71"/>
      <c r="O3" s="69" t="s">
        <v>198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199</v>
      </c>
      <c r="C4" s="37"/>
      <c r="D4" s="36"/>
      <c r="E4" s="36"/>
      <c r="F4" s="76"/>
      <c r="G4" s="76" t="s">
        <v>181</v>
      </c>
      <c r="H4" s="37"/>
      <c r="M4" s="73"/>
      <c r="N4" s="74"/>
      <c r="P4" s="36" t="s">
        <v>200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201</v>
      </c>
      <c r="E5" s="36" t="s">
        <v>87</v>
      </c>
      <c r="F5" s="76" t="s">
        <v>45</v>
      </c>
      <c r="G5" s="116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8" t="s">
        <v>87</v>
      </c>
      <c r="N5" s="36" t="s">
        <v>140</v>
      </c>
      <c r="O5" s="36"/>
      <c r="P5" s="36" t="s">
        <v>202</v>
      </c>
      <c r="Q5" s="36" t="s">
        <v>202</v>
      </c>
      <c r="R5" s="36" t="s">
        <v>45</v>
      </c>
      <c r="S5" s="29" t="s">
        <v>203</v>
      </c>
      <c r="U5" s="78"/>
    </row>
    <row r="6" customFormat="false" ht="12.75" hidden="false" customHeight="false" outlineLevel="0" collapsed="false">
      <c r="B6" s="80" t="s">
        <v>85</v>
      </c>
      <c r="C6" s="99" t="s">
        <v>183</v>
      </c>
      <c r="D6" s="80" t="s">
        <v>204</v>
      </c>
      <c r="E6" s="80" t="s">
        <v>152</v>
      </c>
      <c r="F6" s="80" t="s">
        <v>169</v>
      </c>
      <c r="G6" s="80" t="s">
        <v>186</v>
      </c>
      <c r="H6" s="99" t="s">
        <v>76</v>
      </c>
      <c r="I6" s="80" t="s">
        <v>191</v>
      </c>
      <c r="J6" s="80" t="s">
        <v>155</v>
      </c>
      <c r="K6" s="80" t="s">
        <v>192</v>
      </c>
      <c r="L6" s="80" t="s">
        <v>205</v>
      </c>
      <c r="M6" s="83" t="s">
        <v>206</v>
      </c>
      <c r="N6" s="80" t="s">
        <v>207</v>
      </c>
      <c r="O6" s="80" t="s">
        <v>139</v>
      </c>
      <c r="P6" s="80" t="s">
        <v>208</v>
      </c>
      <c r="Q6" s="80" t="s">
        <v>209</v>
      </c>
      <c r="R6" s="80" t="s">
        <v>202</v>
      </c>
      <c r="S6" s="87" t="s">
        <v>45</v>
      </c>
      <c r="T6" s="80" t="s">
        <v>140</v>
      </c>
      <c r="U6" s="83" t="s">
        <v>77</v>
      </c>
    </row>
    <row r="7" customFormat="false" ht="12.75" hidden="false" customHeight="false" outlineLevel="0" collapsed="false">
      <c r="A7" s="88" t="n">
        <f aca="false">Weather_Input!A5</f>
        <v>37024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12511</v>
      </c>
      <c r="G7" s="50" t="n">
        <f aca="false">(R7+S7+C7+PGL_Requirements!Y7+PGL_Requirements!Z7-NSG_Requirements!C7)*0.05</f>
        <v>2630.35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31776</v>
      </c>
      <c r="S7" s="50" t="n">
        <v>20831</v>
      </c>
      <c r="T7" s="50" t="n">
        <v>0</v>
      </c>
      <c r="U7" s="50" t="n">
        <v>0</v>
      </c>
      <c r="V7" s="88" t="n">
        <f aca="false">Weather_Input!A5</f>
        <v>37024</v>
      </c>
      <c r="W7" s="93"/>
      <c r="X7" s="93"/>
    </row>
    <row r="8" customFormat="false" ht="12.75" hidden="false" customHeight="false" outlineLevel="0" collapsed="false">
      <c r="A8" s="88" t="n">
        <f aca="false">A7+1</f>
        <v>37025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9000</v>
      </c>
      <c r="G8" s="50" t="n">
        <f aca="false">(R8+S8+C8+PGL_Requirements!Y8+PGL_Requirements!Z8-NSG_Requirements!C8)*0.05</f>
        <v>2630.35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31776</v>
      </c>
      <c r="S8" s="50" t="n">
        <v>20831</v>
      </c>
      <c r="T8" s="50" t="n">
        <v>0</v>
      </c>
      <c r="U8" s="50" t="n">
        <v>0</v>
      </c>
      <c r="V8" s="88" t="n">
        <f aca="false">V7+1</f>
        <v>37025</v>
      </c>
      <c r="W8" s="93"/>
      <c r="X8" s="93"/>
    </row>
    <row r="9" customFormat="false" ht="12.75" hidden="false" customHeight="false" outlineLevel="0" collapsed="false">
      <c r="A9" s="88" t="n">
        <f aca="false">A8+1</f>
        <v>37026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9000</v>
      </c>
      <c r="G9" s="50" t="n">
        <f aca="false">(R9+S9+C9+PGL_Requirements!Y9+PGL_Requirements!Z9-NSG_Requirements!C9)*0.05</f>
        <v>2630.35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31776</v>
      </c>
      <c r="S9" s="50" t="n">
        <v>20831</v>
      </c>
      <c r="T9" s="50" t="n">
        <v>0</v>
      </c>
      <c r="U9" s="50" t="n">
        <v>0</v>
      </c>
      <c r="V9" s="88" t="n">
        <f aca="false">V8+1</f>
        <v>37026</v>
      </c>
      <c r="W9" s="93"/>
      <c r="X9" s="93"/>
    </row>
    <row r="10" customFormat="false" ht="12.75" hidden="false" customHeight="false" outlineLevel="0" collapsed="false">
      <c r="A10" s="88" t="n">
        <f aca="false">A9+1</f>
        <v>37027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9000</v>
      </c>
      <c r="G10" s="50" t="n">
        <f aca="false">(R10+S10+C10+PGL_Requirements!Y10+PGL_Requirements!Z10-NSG_Requirements!C10)*0.05</f>
        <v>2630.35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31776</v>
      </c>
      <c r="S10" s="50" t="n">
        <v>20831</v>
      </c>
      <c r="T10" s="50" t="n">
        <v>0</v>
      </c>
      <c r="U10" s="50" t="n">
        <v>0</v>
      </c>
      <c r="V10" s="88" t="n">
        <f aca="false">V9+1</f>
        <v>37027</v>
      </c>
      <c r="W10" s="93"/>
      <c r="X10" s="93"/>
    </row>
    <row r="11" customFormat="false" ht="12.75" hidden="false" customHeight="false" outlineLevel="0" collapsed="false">
      <c r="A11" s="88" t="n">
        <f aca="false">A10+1</f>
        <v>37028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9000</v>
      </c>
      <c r="G11" s="50" t="n">
        <f aca="false">(R11+S11+C11+PGL_Requirements!Y11+PGL_Requirements!Z11-NSG_Requirements!C11)*0.05</f>
        <v>2630.35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31776</v>
      </c>
      <c r="S11" s="50" t="n">
        <v>20831</v>
      </c>
      <c r="T11" s="50" t="n">
        <v>0</v>
      </c>
      <c r="U11" s="50" t="n">
        <v>0</v>
      </c>
      <c r="V11" s="88" t="n">
        <f aca="false">V10+1</f>
        <v>37028</v>
      </c>
      <c r="W11" s="93"/>
      <c r="X11" s="93"/>
    </row>
    <row r="12" customFormat="false" ht="12.75" hidden="false" customHeight="false" outlineLevel="0" collapsed="false">
      <c r="A12" s="88" t="n">
        <f aca="false">A11+1</f>
        <v>37029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9000</v>
      </c>
      <c r="G12" s="50" t="n">
        <f aca="false">(R12+S12+C12+PGL_Requirements!Y12+PGL_Requirements!Z12-NSG_Requirements!C12)*0.05</f>
        <v>2630.35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31776</v>
      </c>
      <c r="S12" s="50" t="n">
        <v>20831</v>
      </c>
      <c r="T12" s="50" t="n">
        <v>0</v>
      </c>
      <c r="U12" s="50" t="n">
        <v>0</v>
      </c>
      <c r="V12" s="88" t="n">
        <f aca="false">V11+1</f>
        <v>37029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210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211</v>
      </c>
      <c r="B1" s="119"/>
      <c r="C1" s="120"/>
      <c r="D1" s="119"/>
      <c r="E1" s="119"/>
      <c r="F1" s="119" t="s">
        <v>1</v>
      </c>
      <c r="G1" s="119" t="s">
        <v>212</v>
      </c>
      <c r="H1" s="121" t="str">
        <f aca="false">D3</f>
        <v>SUN</v>
      </c>
      <c r="I1" s="122" t="n">
        <f aca="false">D4</f>
        <v>37024</v>
      </c>
    </row>
    <row r="2" customFormat="false" ht="15.75" hidden="false" customHeight="false" outlineLevel="0" collapsed="false">
      <c r="A2" s="123" t="s">
        <v>213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37024</v>
      </c>
      <c r="E4" s="131" t="n">
        <f aca="false">Weather_Input!A6</f>
        <v>37025</v>
      </c>
      <c r="F4" s="131" t="n">
        <f aca="false">Weather_Input!A7</f>
        <v>37026</v>
      </c>
      <c r="G4" s="131" t="n">
        <f aca="false">Weather_Input!A8</f>
        <v>37027</v>
      </c>
      <c r="H4" s="131" t="n">
        <f aca="false">Weather_Input!A9</f>
        <v>37028</v>
      </c>
      <c r="I4" s="132" t="n">
        <f aca="false">Weather_Input!A10</f>
        <v>37029</v>
      </c>
    </row>
    <row r="5" customFormat="false" ht="16.5" hidden="false" customHeight="true" outlineLevel="0" collapsed="false">
      <c r="A5" s="133" t="s">
        <v>214</v>
      </c>
      <c r="B5" s="124"/>
      <c r="C5" s="124" t="s">
        <v>215</v>
      </c>
      <c r="D5" s="134" t="str">
        <f aca="false">TEXT(Weather_Input!B5,"0")&amp;"/"&amp;TEXT(Weather_Input!C5,"0")&amp;"/"&amp;TEXT((Weather_Input!B5+Weather_Input!C5)/2,"0")</f>
        <v>68/44/56</v>
      </c>
      <c r="E5" s="134" t="str">
        <f aca="false">TEXT(Weather_Input!B6,"0")&amp;"/"&amp;TEXT(Weather_Input!C6,"0")&amp;"/"&amp;TEXT((Weather_Input!B6+Weather_Input!C6)/2,"0")</f>
        <v>73/58/66</v>
      </c>
      <c r="F5" s="134" t="str">
        <f aca="false">TEXT(Weather_Input!B7,"0")&amp;"/"&amp;TEXT(Weather_Input!C7,"0")&amp;"/"&amp;TEXT((Weather_Input!B7+Weather_Input!C7)/2,"0")</f>
        <v>77/55/66</v>
      </c>
      <c r="G5" s="134" t="str">
        <f aca="false">TEXT(Weather_Input!B8,"0")&amp;"/"&amp;TEXT(Weather_Input!C8,"0")&amp;"/"&amp;TEXT((Weather_Input!B8+Weather_Input!C8)/2,"0")</f>
        <v>72/55/64</v>
      </c>
      <c r="H5" s="134" t="str">
        <f aca="false">TEXT(Weather_Input!B9,"0")&amp;"/"&amp;TEXT(Weather_Input!C9,"0")&amp;"/"&amp;TEXT((Weather_Input!B9+Weather_Input!C9)/2,"0")</f>
        <v>78/58/68</v>
      </c>
      <c r="I5" s="135" t="str">
        <f aca="false">TEXT(Weather_Input!B10,"0")&amp;"/"&amp;TEXT(Weather_Input!C10,"0")&amp;"/"&amp;TEXT((Weather_Input!B10+Weather_Input!C10)/2,"0")</f>
        <v>74/53/64</v>
      </c>
    </row>
    <row r="6" customFormat="false" ht="15.75" hidden="false" customHeight="false" outlineLevel="0" collapsed="false">
      <c r="A6" s="136" t="s">
        <v>216</v>
      </c>
      <c r="B6" s="124"/>
      <c r="C6" s="124"/>
      <c r="D6" s="134" t="n">
        <f aca="false">PGL_Deliveries!C5/1000</f>
        <v>265</v>
      </c>
      <c r="E6" s="134" t="n">
        <f aca="false">PGL_Deliveries!C6/1000</f>
        <v>240</v>
      </c>
      <c r="F6" s="134" t="n">
        <f aca="false">PGL_Deliveries!C7/1000</f>
        <v>240</v>
      </c>
      <c r="G6" s="134" t="n">
        <f aca="false">PGL_Deliveries!C8/1000</f>
        <v>240</v>
      </c>
      <c r="H6" s="134" t="n">
        <f aca="false">PGL_Deliveries!C9/1000</f>
        <v>240</v>
      </c>
      <c r="I6" s="135" t="n">
        <f aca="false">PGL_Deliveries!C10/1000</f>
        <v>230</v>
      </c>
    </row>
    <row r="7" customFormat="false" ht="15.75" hidden="false" customHeight="false" outlineLevel="0" collapsed="false">
      <c r="A7" s="136" t="s">
        <v>217</v>
      </c>
      <c r="B7" s="124" t="s">
        <v>140</v>
      </c>
      <c r="C7" s="124"/>
      <c r="D7" s="134" t="n">
        <f aca="false">PGL_Requirements!H7/1000</f>
        <v>0.161</v>
      </c>
      <c r="E7" s="134" t="n">
        <f aca="false">PGL_Requirements!H8/1000</f>
        <v>28.69</v>
      </c>
      <c r="F7" s="134" t="n">
        <f aca="false">PGL_Requirements!H9/1000</f>
        <v>0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218</v>
      </c>
      <c r="B8" s="124"/>
      <c r="C8" s="124"/>
      <c r="D8" s="134" t="n">
        <f aca="false">PGL_Requirements!I7/1000+PGL_Requirements!K7/1000</f>
        <v>0</v>
      </c>
      <c r="E8" s="134" t="n">
        <f aca="false">PGL_Requirements!I8/1000+PGL_Requirements!K8/1000</f>
        <v>8</v>
      </c>
      <c r="F8" s="134" t="n">
        <f aca="false">PGL_Requirements!I9/1000+PGL_Requirements!K9/1000</f>
        <v>19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219</v>
      </c>
      <c r="B9" s="124" t="s">
        <v>220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221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140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222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223</v>
      </c>
      <c r="B13" s="124" t="s">
        <v>224</v>
      </c>
      <c r="C13" s="124" t="s">
        <v>76</v>
      </c>
      <c r="D13" s="134" t="n">
        <f aca="false">PGL_Requirements!P7/1000</f>
        <v>160.83</v>
      </c>
      <c r="E13" s="134" t="n">
        <f aca="false">PGL_Requirements!P8/1000</f>
        <v>132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153</v>
      </c>
      <c r="D14" s="134" t="n">
        <f aca="false">PGL_Requirements!Q7/1000</f>
        <v>2.41245</v>
      </c>
      <c r="E14" s="134" t="n">
        <f aca="false">PGL_Requirements!Q8/1000</f>
        <v>1.98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154</v>
      </c>
      <c r="D15" s="134" t="n">
        <f aca="false">PGL_Requirements!R7/1000</f>
        <v>0.56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225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69</v>
      </c>
      <c r="C17" s="124" t="s">
        <v>156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220</v>
      </c>
      <c r="C18" s="124" t="s">
        <v>152</v>
      </c>
      <c r="D18" s="134" t="n">
        <f aca="false">PGL_Requirements!U7/1000</f>
        <v>33.2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222</v>
      </c>
      <c r="C19" s="124" t="s">
        <v>152</v>
      </c>
      <c r="D19" s="134" t="n">
        <f aca="false">PGL_Requirements!O7/1000</f>
        <v>0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226</v>
      </c>
      <c r="B20" s="138" t="s">
        <v>220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222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140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227</v>
      </c>
      <c r="C23" s="138" t="s">
        <v>194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228</v>
      </c>
      <c r="B24" s="124"/>
      <c r="C24" s="124"/>
      <c r="D24" s="134" t="n">
        <f aca="false">PGL_Requirements!G7/1000</f>
        <v>11.279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229</v>
      </c>
      <c r="B25" s="124" t="s">
        <v>230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87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139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140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147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231</v>
      </c>
      <c r="B30" s="143"/>
      <c r="C30" s="143"/>
      <c r="D30" s="144" t="n">
        <f aca="false">SUM(D6:D29)</f>
        <v>473.44245</v>
      </c>
      <c r="E30" s="144" t="n">
        <f aca="false">SUM(E6:E29)</f>
        <v>451.5</v>
      </c>
      <c r="F30" s="144" t="n">
        <f aca="false">SUM(F6:F29)</f>
        <v>452.08</v>
      </c>
      <c r="G30" s="144" t="n">
        <f aca="false">SUM(G6:G29)</f>
        <v>433.08</v>
      </c>
      <c r="H30" s="144" t="n">
        <f aca="false">SUM(H6:H29)</f>
        <v>433.08</v>
      </c>
      <c r="I30" s="145" t="n">
        <f aca="false">SUM(I6:I29)</f>
        <v>423.08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232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233</v>
      </c>
      <c r="B33" s="124" t="s">
        <v>224</v>
      </c>
      <c r="C33" s="124" t="s">
        <v>76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141</v>
      </c>
      <c r="D34" s="134" t="n">
        <f aca="false">PGL_Supplies!H7/1000</f>
        <v>0.627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77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220</v>
      </c>
      <c r="C36" s="124" t="s">
        <v>152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222</v>
      </c>
      <c r="C37" s="124" t="s">
        <v>152</v>
      </c>
      <c r="D37" s="134" t="n">
        <f aca="false">PGL_Supplies!L7/1000</f>
        <v>20.98</v>
      </c>
      <c r="E37" s="134" t="n">
        <f aca="false">PGL_Supplies!L8/1000</f>
        <v>13.81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234</v>
      </c>
      <c r="B38" s="124" t="s">
        <v>220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140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222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235</v>
      </c>
      <c r="C41" s="124" t="s">
        <v>236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237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238</v>
      </c>
      <c r="B43" s="124" t="s">
        <v>140</v>
      </c>
      <c r="C43" s="124"/>
      <c r="D43" s="134" t="n">
        <f aca="false">PGL_Supplies!T7/1000</f>
        <v>20</v>
      </c>
      <c r="E43" s="134" t="n">
        <f aca="false">PGL_Supplies!T8/1000</f>
        <v>0</v>
      </c>
      <c r="F43" s="134" t="n">
        <f aca="false">PGL_Supplies!T9/1000</f>
        <v>0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221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140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222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239</v>
      </c>
      <c r="B47" s="124" t="s">
        <v>240</v>
      </c>
      <c r="C47" s="124"/>
      <c r="D47" s="134" t="n">
        <f aca="false">PGL_Supplies!Y7/1000</f>
        <v>157.294</v>
      </c>
      <c r="E47" s="134" t="n">
        <f aca="false">PGL_Supplies!Y8/1000</f>
        <v>157.294</v>
      </c>
      <c r="F47" s="134" t="n">
        <f aca="false">PGL_Supplies!Y9/1000</f>
        <v>157.294</v>
      </c>
      <c r="G47" s="134" t="n">
        <f aca="false">PGL_Supplies!Y10/1000</f>
        <v>157.294</v>
      </c>
      <c r="H47" s="134" t="n">
        <f aca="false">PGL_Supplies!Y11/1000</f>
        <v>157.294</v>
      </c>
      <c r="I47" s="135" t="n">
        <f aca="false">PGL_Supplies!Y12/1000</f>
        <v>157.294</v>
      </c>
    </row>
    <row r="48" customFormat="false" ht="15.75" hidden="false" customHeight="false" outlineLevel="0" collapsed="false">
      <c r="A48" s="136"/>
      <c r="B48" s="124" t="s">
        <v>220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221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140</v>
      </c>
      <c r="C50" s="137"/>
      <c r="D50" s="134" t="n">
        <f aca="false">PGL_Supplies!AB7/1000</f>
        <v>169.63</v>
      </c>
      <c r="E50" s="134" t="n">
        <f aca="false">PGL_Supplies!AB8/1000</f>
        <v>169.63</v>
      </c>
      <c r="F50" s="134" t="n">
        <f aca="false">PGL_Supplies!AB9/1000</f>
        <v>169.63</v>
      </c>
      <c r="G50" s="134" t="n">
        <f aca="false">PGL_Supplies!AB10/1000</f>
        <v>169.63</v>
      </c>
      <c r="H50" s="134" t="n">
        <f aca="false">PGL_Supplies!AB11/1000</f>
        <v>169.63</v>
      </c>
      <c r="I50" s="135" t="n">
        <f aca="false">PGL_Supplies!AB12/1000</f>
        <v>169.63</v>
      </c>
    </row>
    <row r="51" customFormat="false" ht="15.75" hidden="false" customHeight="false" outlineLevel="0" collapsed="false">
      <c r="A51" s="136"/>
      <c r="B51" s="124" t="s">
        <v>222</v>
      </c>
      <c r="C51" s="124"/>
      <c r="D51" s="134" t="n">
        <f aca="false">PGL_Supplies!AC7/1000</f>
        <v>54.57</v>
      </c>
      <c r="E51" s="134" t="n">
        <f aca="false">PGL_Supplies!AC8/1000</f>
        <v>54.57</v>
      </c>
      <c r="F51" s="134" t="n">
        <f aca="false">PGL_Supplies!AC9/1000</f>
        <v>54.57</v>
      </c>
      <c r="G51" s="134" t="n">
        <f aca="false">PGL_Supplies!AC10/1000</f>
        <v>54.57</v>
      </c>
      <c r="H51" s="134" t="n">
        <f aca="false">PGL_Supplies!AC11/1000</f>
        <v>54.57</v>
      </c>
      <c r="I51" s="135" t="n">
        <f aca="false">PGL_Supplies!AC12/1000</f>
        <v>54.57</v>
      </c>
    </row>
    <row r="52" customFormat="false" ht="15.75" hidden="false" customHeight="false" outlineLevel="0" collapsed="false">
      <c r="A52" s="136"/>
      <c r="B52" s="124" t="s">
        <v>241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242</v>
      </c>
      <c r="C53" s="124"/>
      <c r="D53" s="134" t="n">
        <f aca="false">PGL_Supplies!I7/1000</f>
        <v>18.854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243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244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245</v>
      </c>
      <c r="B56" s="124" t="s">
        <v>240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220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221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140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241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246</v>
      </c>
      <c r="B61" s="158"/>
      <c r="C61" s="158"/>
      <c r="D61" s="159" t="n">
        <f aca="false">SUM(D33:D60)</f>
        <v>482.155</v>
      </c>
      <c r="E61" s="159" t="n">
        <f aca="false">SUM(E33:E60)</f>
        <v>451.504</v>
      </c>
      <c r="F61" s="159" t="n">
        <f aca="false">SUM(F33:F60)</f>
        <v>437.694</v>
      </c>
      <c r="G61" s="159" t="n">
        <f aca="false">SUM(G33:G60)</f>
        <v>437.694</v>
      </c>
      <c r="H61" s="159" t="n">
        <f aca="false">SUM(H33:H60)</f>
        <v>437.694</v>
      </c>
      <c r="I61" s="160" t="n">
        <f aca="false">SUM(I33:I60)</f>
        <v>437.694</v>
      </c>
    </row>
    <row r="62" customFormat="false" ht="15" hidden="false" customHeight="false" outlineLevel="0" collapsed="false">
      <c r="A62" s="161" t="s">
        <v>247</v>
      </c>
      <c r="B62" s="156"/>
      <c r="C62" s="156"/>
      <c r="D62" s="162" t="n">
        <f aca="false">IF(D61-D30&lt;0,0,D61-D30)</f>
        <v>8.71254999999997</v>
      </c>
      <c r="E62" s="162" t="n">
        <f aca="false">IF(E61-E30&lt;0,0,E61-E30)</f>
        <v>0.0040000000000191</v>
      </c>
      <c r="F62" s="162" t="n">
        <f aca="false">IF(F61-F30&lt;0,0,F61-F30)</f>
        <v>0</v>
      </c>
      <c r="G62" s="162" t="n">
        <f aca="false">IF(G61-G30&lt;0,0,G61-G30)</f>
        <v>4.61400000000003</v>
      </c>
      <c r="H62" s="162" t="n">
        <f aca="false">IF(H61-H30&lt;0,0,H61-H30)</f>
        <v>4.61400000000003</v>
      </c>
      <c r="I62" s="163" t="n">
        <f aca="false">IF(I61-I30&lt;0,0,I61-I30)</f>
        <v>14.614</v>
      </c>
    </row>
    <row r="63" customFormat="false" ht="15.75" hidden="false" customHeight="false" outlineLevel="0" collapsed="false">
      <c r="A63" s="164" t="s">
        <v>248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14.386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249</v>
      </c>
      <c r="B64" s="169"/>
      <c r="C64" s="169"/>
      <c r="D64" s="170" t="n">
        <f aca="false">PGL_Supplies!V7/1000</f>
        <v>176.704</v>
      </c>
      <c r="E64" s="170" t="n">
        <f aca="false">PGL_Supplies!V8/1000</f>
        <v>176.704</v>
      </c>
      <c r="F64" s="170" t="n">
        <f aca="false">PGL_Supplies!V9/1000</f>
        <v>176.704</v>
      </c>
      <c r="G64" s="170" t="n">
        <f aca="false">PGL_Supplies!V10/1000</f>
        <v>176.704</v>
      </c>
      <c r="H64" s="170" t="n">
        <f aca="false">PGL_Supplies!V11/1000</f>
        <v>176.704</v>
      </c>
      <c r="I64" s="171" t="n">
        <f aca="false">PGL_Supplies!V12/1000</f>
        <v>176.704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2001-05-14T13:32:54Z</cp:lastPrinted>
  <cp:revision>0</cp:revision>
  <dc:subject/>
  <dc:title/>
</cp:coreProperties>
</file>