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<sst xmlns="http://schemas.openxmlformats.org/spreadsheetml/2006/main" count="2144" uniqueCount="798">
  <si>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</si>
  <si>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</si>
  <si>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</si>
  <si>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</si>
  <si>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</si>
  <si>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</si>
  <si>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</si>
  <si>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</si>
  <si>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</si>
  <si>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</si>
  <si>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</si>
  <si>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</si>
  <si>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</si>
  <si>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</si>
  <si>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</si>
  <si>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</si>
  <si>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</si>
  <si>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</si>
  <si>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</si>
  <si>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</si>
  <si>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</si>
  <si>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</si>
  <si>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</si>
  <si>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</si>
  <si>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</si>
  <si>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</si>
  <si>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</si>
  <si>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</si>
  <si>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</si>
  <si>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TODAY - MOSTLY SUNNY WITH A WARM BREEZE.</t>
  </si>
  <si>
    <t xml:space="preserve">  TONIGHT - MAINLY CLEAR AND COOL.</t>
  </si>
  <si>
    <t xml:space="preserve">RAIN</t>
  </si>
  <si>
    <t xml:space="preserve">  INTERVALS OF CLOUDS AND SUN.</t>
  </si>
  <si>
    <t xml:space="preserve">S</t>
  </si>
  <si>
    <t xml:space="preserve">TSTORM</t>
  </si>
  <si>
    <t xml:space="preserve">  SEVERAL HOURS OF SUNSHINE.</t>
  </si>
  <si>
    <t xml:space="preserve">  SOME SUNSHINE WITH A CHANCE OF A THUNDERSTORM IN THE AFTERNOON.</t>
  </si>
  <si>
    <t xml:space="preserve">  PARTLY 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</si>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</sst>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245</v>
      </c>
      <c r="B1" s="119"/>
      <c r="C1" s="119"/>
      <c r="D1" s="119"/>
      <c r="E1" s="119"/>
      <c r="F1" s="119"/>
      <c r="G1" s="119" t="s">
        <v>208</v>
      </c>
      <c r="H1" s="173" t="str">
        <f aca="false">D3</f>
        <v>FRI</v>
      </c>
      <c r="I1" s="174" t="n">
        <f aca="false">D4</f>
        <v>37008</v>
      </c>
      <c r="J1" s="175"/>
    </row>
    <row r="2" customFormat="false" ht="20.1" hidden="false" customHeight="true" outlineLevel="0" collapsed="false">
      <c r="A2" s="123" t="s">
        <v>246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FRI</v>
      </c>
      <c r="E3" s="127" t="str">
        <f aca="false">CHOOSE(WEEKDAY(E4),"SUN","MON","TUE","WED","THU","FRI","SAT")</f>
        <v>SAT</v>
      </c>
      <c r="F3" s="127" t="str">
        <f aca="false">CHOOSE(WEEKDAY(F4),"SUN","MON","TUE","WED","THU","FRI","SAT")</f>
        <v>SUN</v>
      </c>
      <c r="G3" s="127" t="str">
        <f aca="false">CHOOSE(WEEKDAY(G4),"SUN","MON","TUE","WED","THU","FRI","SAT")</f>
        <v>MON</v>
      </c>
      <c r="H3" s="127" t="str">
        <f aca="false">CHOOSE(WEEKDAY(H4),"SUN","MON","TUE","WED","THU","FRI","SAT")</f>
        <v>TUE</v>
      </c>
      <c r="I3" s="128" t="str">
        <f aca="false">CHOOSE(WEEKDAY(I4),"SUN","MON","TUE","WED","THU","FRI","SAT")</f>
        <v>WED</v>
      </c>
      <c r="J3" s="175"/>
    </row>
    <row r="4" customFormat="false" ht="20.1" hidden="false" customHeight="true" outlineLevel="0" collapsed="false">
      <c r="A4" s="129" t="s">
        <v>247</v>
      </c>
      <c r="B4" s="130"/>
      <c r="C4" s="130"/>
      <c r="D4" s="176" t="n">
        <f aca="false">Weather_Input!A5</f>
        <v>37008</v>
      </c>
      <c r="E4" s="176" t="n">
        <f aca="false">Weather_Input!A6</f>
        <v>37009</v>
      </c>
      <c r="F4" s="176" t="n">
        <f aca="false">Weather_Input!A7</f>
        <v>37010</v>
      </c>
      <c r="G4" s="176" t="n">
        <f aca="false">Weather_Input!A8</f>
        <v>37011</v>
      </c>
      <c r="H4" s="176" t="n">
        <f aca="false">Weather_Input!A9</f>
        <v>37012</v>
      </c>
      <c r="I4" s="177" t="n">
        <f aca="false">Weather_Input!A10</f>
        <v>37013</v>
      </c>
      <c r="J4" s="175"/>
    </row>
    <row r="5" customFormat="false" ht="20.1" hidden="false" customHeight="true" outlineLevel="0" collapsed="false">
      <c r="A5" s="133" t="s">
        <v>210</v>
      </c>
      <c r="B5" s="124"/>
      <c r="C5" s="124" t="s">
        <v>211</v>
      </c>
      <c r="D5" s="178" t="str">
        <f aca="false">TEXT(Weather_Input!B5,"0")&amp;"/"&amp;TEXT(Weather_Input!C5,"0")&amp;"/"&amp;TEXT((Weather_Input!B5+Weather_Input!C5)/2,"0")</f>
        <v>62/42/52</v>
      </c>
      <c r="E5" s="178" t="str">
        <f aca="false">TEXT(Weather_Input!B6,"0")&amp;"/"&amp;TEXT(Weather_Input!C6,"0")&amp;"/"&amp;TEXT((Weather_Input!B6+Weather_Input!C6)/2,"0")</f>
        <v>67/48/58</v>
      </c>
      <c r="F5" s="178" t="str">
        <f aca="false">TEXT(Weather_Input!B7,"0")&amp;"/"&amp;TEXT(Weather_Input!C7,"0")&amp;"/"&amp;TEXT((Weather_Input!B7+Weather_Input!C7)/2,"0")</f>
        <v>78/56/67</v>
      </c>
      <c r="G5" s="178" t="str">
        <f aca="false">TEXT(Weather_Input!B8,"0")&amp;"/"&amp;TEXT(Weather_Input!C8,"0")&amp;"/"&amp;TEXT((Weather_Input!B8+Weather_Input!C8)/2,"0")</f>
        <v>82/58/70</v>
      </c>
      <c r="H5" s="178" t="str">
        <f aca="false">TEXT(Weather_Input!B9,"0")&amp;"/"&amp;TEXT(Weather_Input!C9,"0")&amp;"/"&amp;TEXT((Weather_Input!B9+Weather_Input!C9)/2,"0")</f>
        <v>84/64/74</v>
      </c>
      <c r="I5" s="179" t="str">
        <f aca="false">TEXT(Weather_Input!B10,"0")&amp;"/"&amp;TEXT(Weather_Input!C10,"0")&amp;"/"&amp;TEXT((Weather_Input!B10+Weather_Input!C10)/2,"0")</f>
        <v>84/64/74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212</v>
      </c>
      <c r="B6" s="124"/>
      <c r="C6" s="124"/>
      <c r="D6" s="180" t="n">
        <f aca="true">VLOOKUP(D4,NSG_Sendouts,CELL("Col",NSG_Deliveries!C5),FALSE())/1000</f>
        <v>62</v>
      </c>
      <c r="E6" s="180" t="n">
        <f aca="true">VLOOKUP(E4,NSG_Sendouts,CELL("Col",NSG_Deliveries!C6),FALSE())/1000</f>
        <v>53</v>
      </c>
      <c r="F6" s="180" t="n">
        <f aca="true">VLOOKUP(F4,NSG_Sendouts,CELL("Col",NSG_Deliveries!C7),FALSE())/1000</f>
        <v>44</v>
      </c>
      <c r="G6" s="180" t="n">
        <f aca="true">VLOOKUP(G4,NSG_Sendouts,CELL("Col",NSG_Deliveries!C8),FALSE())/1000</f>
        <v>46</v>
      </c>
      <c r="H6" s="180" t="n">
        <f aca="true">VLOOKUP(H4,NSG_Sendouts,CELL("Col",NSG_Deliveries!C9),FALSE())/1000</f>
        <v>42</v>
      </c>
      <c r="I6" s="181" t="n">
        <f aca="true">VLOOKUP(I4,NSG_Sendouts,CELL("Col",NSG_Deliveries!C10),FALSE())/1000</f>
        <v>42</v>
      </c>
      <c r="J6" s="117"/>
    </row>
    <row r="7" customFormat="false" ht="20.1" hidden="false" customHeight="true" outlineLevel="0" collapsed="false">
      <c r="A7" s="133" t="s">
        <v>215</v>
      </c>
      <c r="B7" s="124" t="s">
        <v>218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216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217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139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219</v>
      </c>
      <c r="B11" s="124" t="s">
        <v>220</v>
      </c>
      <c r="C11" s="124" t="s">
        <v>74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216</v>
      </c>
      <c r="C12" s="138" t="s">
        <v>149</v>
      </c>
      <c r="D12" s="180" t="n">
        <f aca="false">NSG_Requirements!J7/1000</f>
        <v>20</v>
      </c>
      <c r="E12" s="180" t="n">
        <f aca="false">NSG_Requirements!J8/1000</f>
        <v>20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218</v>
      </c>
      <c r="C13" s="138" t="s">
        <v>149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216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218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217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139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248</v>
      </c>
      <c r="B18" s="156" t="s">
        <v>249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227</v>
      </c>
      <c r="B19" s="165"/>
      <c r="C19" s="165"/>
      <c r="D19" s="185" t="n">
        <f aca="false">SUM(D6:D18)</f>
        <v>82</v>
      </c>
      <c r="E19" s="185" t="n">
        <f aca="false">SUM(E6:E18)</f>
        <v>73</v>
      </c>
      <c r="F19" s="185" t="n">
        <f aca="false">SUM(F6:F18)</f>
        <v>64</v>
      </c>
      <c r="G19" s="185" t="n">
        <f aca="false">SUM(G6:G18)</f>
        <v>66</v>
      </c>
      <c r="H19" s="185" t="n">
        <f aca="false">SUM(H6:H18)</f>
        <v>62</v>
      </c>
      <c r="I19" s="186" t="n">
        <f aca="false">SUM(I6:I18)</f>
        <v>62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228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250</v>
      </c>
      <c r="B22" s="124" t="s">
        <v>220</v>
      </c>
      <c r="C22" s="124" t="s">
        <v>251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216</v>
      </c>
      <c r="C23" s="124" t="s">
        <v>252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253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218</v>
      </c>
      <c r="C25" s="138" t="s">
        <v>149</v>
      </c>
      <c r="D25" s="180" t="n">
        <f aca="false">NSG_Supplies!F7/1000</f>
        <v>6.044</v>
      </c>
      <c r="E25" s="180" t="n">
        <f aca="false">NSG_Supplies!F8/1000</f>
        <v>3.25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124</v>
      </c>
      <c r="C26" s="124" t="s">
        <v>254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255</v>
      </c>
      <c r="B27" s="138" t="s">
        <v>216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218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217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139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256</v>
      </c>
      <c r="B31" s="124" t="s">
        <v>216</v>
      </c>
      <c r="C31" s="124" t="s">
        <v>257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218</v>
      </c>
      <c r="C32" s="193" t="s">
        <v>258</v>
      </c>
      <c r="D32" s="180" t="n">
        <f aca="false">NSG_Supplies!R7/1000</f>
        <v>52.905</v>
      </c>
      <c r="E32" s="180" t="n">
        <f aca="false">NSG_Supplies!R8/1000</f>
        <v>49.755</v>
      </c>
      <c r="F32" s="180" t="n">
        <f aca="false">NSG_Supplies!R9/1000</f>
        <v>49.755</v>
      </c>
      <c r="G32" s="180" t="n">
        <f aca="false">NSG_Supplies!R10/1000</f>
        <v>49.755</v>
      </c>
      <c r="H32" s="180" t="n">
        <f aca="false">NSG_Supplies!R11/1000</f>
        <v>49.755</v>
      </c>
      <c r="I32" s="181" t="n">
        <f aca="false">NSG_Supplies!R12/1000</f>
        <v>49.755</v>
      </c>
      <c r="J32" s="175"/>
    </row>
    <row r="33" customFormat="false" ht="20.1" hidden="false" customHeight="true" outlineLevel="0" collapsed="false">
      <c r="A33" s="133"/>
      <c r="B33" s="124" t="s">
        <v>216</v>
      </c>
      <c r="C33" s="124" t="s">
        <v>259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241</v>
      </c>
      <c r="B34" s="124" t="s">
        <v>217</v>
      </c>
      <c r="C34" s="124" t="s">
        <v>260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139</v>
      </c>
      <c r="C35" s="138" t="s">
        <v>261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249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241</v>
      </c>
      <c r="B37" s="158"/>
      <c r="C37" s="158"/>
      <c r="D37" s="195" t="n">
        <f aca="false">SUM(D22:D36)</f>
        <v>78.949</v>
      </c>
      <c r="E37" s="195" t="n">
        <f aca="false">SUM(E22:E36)</f>
        <v>73.005</v>
      </c>
      <c r="F37" s="195" t="n">
        <f aca="false">SUM(F22:F36)</f>
        <v>69.755</v>
      </c>
      <c r="G37" s="195" t="n">
        <f aca="false">SUM(G22:G36)</f>
        <v>69.755</v>
      </c>
      <c r="H37" s="195" t="n">
        <f aca="false">SUM(H22:H36)</f>
        <v>69.755</v>
      </c>
      <c r="I37" s="196" t="n">
        <f aca="false">SUM(I22:I36)</f>
        <v>69.755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242</v>
      </c>
      <c r="B38" s="198"/>
      <c r="C38" s="198"/>
      <c r="D38" s="199" t="n">
        <f aca="false">IF(D37-D19&lt;0,0,D37-D19)</f>
        <v>0</v>
      </c>
      <c r="E38" s="199" t="n">
        <f aca="false">IF(E37-E19&lt;0,0,E37-E19)</f>
        <v>0.00499999999999545</v>
      </c>
      <c r="F38" s="199" t="n">
        <f aca="false">IF(F37-F19&lt;0,0,F37-F19)</f>
        <v>5.755</v>
      </c>
      <c r="G38" s="199" t="n">
        <f aca="false">IF(G37-G19&lt;0,0,G37-G19)</f>
        <v>3.755</v>
      </c>
      <c r="H38" s="199" t="n">
        <f aca="false">IF(H37-H19&lt;0,0,H37-H19)</f>
        <v>7.755</v>
      </c>
      <c r="I38" s="200" t="n">
        <f aca="false">IF(I37-I19&lt;0,0,I37-I19)</f>
        <v>7.755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243</v>
      </c>
      <c r="B39" s="165"/>
      <c r="C39" s="165"/>
      <c r="D39" s="202" t="n">
        <f aca="false">IF(D19-D37&lt;0,0,D19-D37)</f>
        <v>3.051</v>
      </c>
      <c r="E39" s="202" t="n">
        <f aca="false">IF(E19-E37&lt;0,0,E19-E37)</f>
        <v>0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262</v>
      </c>
      <c r="B40" s="205"/>
      <c r="C40" s="205"/>
      <c r="D40" s="206" t="n">
        <f aca="false">NSG_Supplies!S7/1000</f>
        <v>27.905</v>
      </c>
      <c r="E40" s="206" t="n">
        <f aca="false">NSG_Supplies!S8/1000</f>
        <v>24.755</v>
      </c>
      <c r="F40" s="206" t="n">
        <f aca="false">NSG_Supplies!S9/1000</f>
        <v>24.755</v>
      </c>
      <c r="G40" s="206" t="n">
        <f aca="false">NSG_Supplies!S10/1000</f>
        <v>24.755</v>
      </c>
      <c r="H40" s="206" t="n">
        <f aca="false">NSG_Supplies!S11/1000</f>
        <v>24.755</v>
      </c>
      <c r="I40" s="207" t="n">
        <f aca="false">NSG_Supplies!S12/1000</f>
        <v>24.755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263</v>
      </c>
      <c r="B42" s="210"/>
      <c r="C42" s="210"/>
      <c r="D42" s="211" t="n">
        <f aca="false">Weather_Input!D5</f>
        <v>9.1</v>
      </c>
      <c r="E42" s="211" t="n">
        <f aca="false">Weather_Input!D6</f>
        <v>10</v>
      </c>
      <c r="F42" s="211" t="n">
        <f aca="false">Weather_Input!D7</f>
        <v>15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264</v>
      </c>
      <c r="F1" s="216" t="n">
        <f aca="false">Weather_Input!A5</f>
        <v>37008</v>
      </c>
      <c r="G1" s="217" t="str">
        <f aca="false">CHOOSE(WEEKDAY(F1),"SUN","MON","TUE","WED","THU","FRI","SAT")</f>
        <v>FRI</v>
      </c>
      <c r="H1" s="218" t="s">
        <v>265</v>
      </c>
      <c r="I1" s="219"/>
    </row>
    <row r="2" customFormat="false" ht="15.75" hidden="false" customHeight="false" outlineLevel="0" collapsed="false">
      <c r="A2" s="220" t="s">
        <v>0</v>
      </c>
      <c r="B2" s="221" t="s">
        <v>266</v>
      </c>
      <c r="C2" s="222"/>
      <c r="D2" s="223" t="s">
        <v>267</v>
      </c>
      <c r="E2" s="224"/>
      <c r="F2" s="225" t="s">
        <v>268</v>
      </c>
      <c r="G2" s="224" t="s">
        <v>0</v>
      </c>
      <c r="H2" s="225" t="s">
        <v>269</v>
      </c>
      <c r="I2" s="226"/>
    </row>
    <row r="3" customFormat="false" ht="15" hidden="false" customHeight="false" outlineLevel="0" collapsed="false">
      <c r="A3" s="227" t="s">
        <v>270</v>
      </c>
      <c r="B3" s="223" t="s">
        <v>271</v>
      </c>
      <c r="C3" s="228" t="s">
        <v>0</v>
      </c>
      <c r="D3" s="223" t="s">
        <v>18</v>
      </c>
      <c r="E3" s="228" t="s">
        <v>272</v>
      </c>
      <c r="F3" s="223" t="s">
        <v>18</v>
      </c>
      <c r="G3" s="228" t="s">
        <v>272</v>
      </c>
      <c r="H3" s="223" t="s">
        <v>18</v>
      </c>
      <c r="I3" s="226" t="s">
        <v>272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62</v>
      </c>
      <c r="C4" s="230" t="n">
        <f aca="false">Weather_Input!C5</f>
        <v>42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273</v>
      </c>
      <c r="B5" s="235"/>
      <c r="C5" s="236" t="n">
        <f aca="false">PGL_Requirements!H7/1000</f>
        <v>21.32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274</v>
      </c>
      <c r="B6" s="241" t="s">
        <v>0</v>
      </c>
      <c r="C6" s="242" t="n">
        <f aca="false">PGL_Deliveries!C5/1000</f>
        <v>320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275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276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84</v>
      </c>
      <c r="B10" s="256"/>
      <c r="C10" s="257" t="n">
        <f aca="false">+B34</f>
        <v>152.629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277</v>
      </c>
      <c r="B11" s="261" t="s">
        <v>0</v>
      </c>
      <c r="C11" s="254" t="n">
        <f aca="false">B41</f>
        <v>0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278</v>
      </c>
      <c r="B12" s="261" t="s">
        <v>0</v>
      </c>
      <c r="C12" s="254" t="n">
        <f aca="false">B55</f>
        <v>-156.161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279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280</v>
      </c>
      <c r="B14" s="262" t="s">
        <v>0</v>
      </c>
      <c r="C14" s="254" t="n">
        <f aca="false">I60</f>
        <v>255.321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281</v>
      </c>
      <c r="B15" s="261" t="s">
        <v>0</v>
      </c>
      <c r="C15" s="263" t="n">
        <f aca="false">PGL_Supplies!I7/1000</f>
        <v>13.519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282</v>
      </c>
      <c r="B16" s="261" t="s">
        <v>2</v>
      </c>
      <c r="C16" s="254" t="n">
        <f aca="false">+B63</f>
        <v>0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283</v>
      </c>
      <c r="B17" s="261" t="s">
        <v>2</v>
      </c>
      <c r="C17" s="263" t="n">
        <f aca="false">PGL_Supplies!B7/1000</f>
        <v>10.499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284</v>
      </c>
      <c r="B18" s="264" t="s">
        <v>0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285</v>
      </c>
      <c r="B19" s="266" t="s">
        <v>0</v>
      </c>
      <c r="C19" s="267" t="n">
        <f aca="false">SUM(C9:C17)-C18</f>
        <v>275.807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43</v>
      </c>
      <c r="B20" s="272" t="s">
        <v>0</v>
      </c>
      <c r="C20" s="273"/>
      <c r="D20" s="274"/>
      <c r="E20" s="275"/>
      <c r="F20" s="274"/>
      <c r="G20" s="274" t="s">
        <v>286</v>
      </c>
      <c r="H20" s="274"/>
      <c r="I20" s="251"/>
    </row>
    <row r="21" customFormat="false" ht="15" hidden="false" customHeight="false" outlineLevel="0" collapsed="false">
      <c r="A21" s="252" t="s">
        <v>287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288</v>
      </c>
      <c r="B22" s="261" t="s">
        <v>0</v>
      </c>
      <c r="C22" s="254" t="n">
        <f aca="false">C6+C7-C19</f>
        <v>44.193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289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290</v>
      </c>
      <c r="B24" s="281" t="s">
        <v>0</v>
      </c>
      <c r="C24" s="282" t="n">
        <f aca="false">SUM(B54+B56+B57)</f>
        <v>2.3361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291</v>
      </c>
      <c r="B25" s="288" t="s">
        <v>0</v>
      </c>
      <c r="C25" s="289" t="n">
        <f aca="false">SUM(C22:C24)</f>
        <v>46.5291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292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293</v>
      </c>
      <c r="B27" s="300"/>
      <c r="C27" s="301" t="n">
        <f aca="false">PGL_Requirements!O7/1000</f>
        <v>57.782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294</v>
      </c>
      <c r="B28" s="305"/>
      <c r="C28" s="306" t="n">
        <f aca="false">-PGL_Supplies!L7/1000</f>
        <v>-0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295</v>
      </c>
      <c r="B29" s="310"/>
      <c r="C29" s="306" t="n">
        <f aca="false">-PGL_Supplies!AC7/1000</f>
        <v>-112.578</v>
      </c>
      <c r="D29" s="307" t="s">
        <v>0</v>
      </c>
      <c r="E29" s="306" t="n">
        <f aca="false">-PGL_Supplies!AC7/1000</f>
        <v>-112.578</v>
      </c>
      <c r="F29" s="303"/>
      <c r="G29" s="306" t="n">
        <f aca="false">-PGL_Supplies!AC7/1000</f>
        <v>-112.578</v>
      </c>
      <c r="H29" s="298"/>
      <c r="I29" s="299" t="n">
        <f aca="false">-PGL_Supplies!AC7/1000</f>
        <v>-112.578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84</v>
      </c>
      <c r="D30" s="314"/>
      <c r="E30" s="315"/>
      <c r="F30" s="316" t="s">
        <v>296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297</v>
      </c>
      <c r="B31" s="318" t="n">
        <f aca="false">PGL_Requirements!J7/1000</f>
        <v>0</v>
      </c>
      <c r="C31" s="319"/>
      <c r="D31" s="320"/>
      <c r="E31" s="319"/>
      <c r="F31" s="292" t="s">
        <v>298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299</v>
      </c>
      <c r="B32" s="318" t="n">
        <f aca="false">PGL_Supplies!X7/1000</f>
        <v>0</v>
      </c>
      <c r="C32" s="324" t="s">
        <v>0</v>
      </c>
      <c r="D32" s="325"/>
      <c r="E32" s="326"/>
      <c r="F32" s="292" t="s">
        <v>300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301</v>
      </c>
      <c r="B33" s="318" t="n">
        <f aca="false">PGL_Supplies!Y7/1000</f>
        <v>152.629</v>
      </c>
      <c r="C33" s="329" t="s">
        <v>0</v>
      </c>
      <c r="D33" s="330"/>
      <c r="E33" s="331"/>
      <c r="F33" s="292" t="s">
        <v>302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303</v>
      </c>
      <c r="B34" s="333" t="n">
        <f aca="false">+B33+B32-B31</f>
        <v>152.629</v>
      </c>
      <c r="C34" s="334" t="s">
        <v>0</v>
      </c>
      <c r="D34" s="335"/>
      <c r="E34" s="336"/>
      <c r="F34" s="292" t="s">
        <v>304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85</v>
      </c>
      <c r="D35" s="339"/>
      <c r="E35" s="340"/>
      <c r="F35" s="292" t="s">
        <v>305</v>
      </c>
      <c r="G35" s="321"/>
      <c r="H35" s="327"/>
      <c r="I35" s="341" t="s">
        <v>306</v>
      </c>
      <c r="L35" s="309"/>
    </row>
    <row r="36" customFormat="false" ht="15" hidden="false" customHeight="false" outlineLevel="0" collapsed="false">
      <c r="A36" s="292" t="s">
        <v>307</v>
      </c>
      <c r="B36" s="318" t="n">
        <f aca="false">PGL_Requirements!U7/1000</f>
        <v>40</v>
      </c>
      <c r="C36" s="317"/>
      <c r="D36" s="325"/>
      <c r="E36" s="326"/>
      <c r="F36" s="342" t="s">
        <v>308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309</v>
      </c>
      <c r="B37" s="318" t="n">
        <f aca="false">PGL_Supplies!R7/1000</f>
        <v>0</v>
      </c>
      <c r="C37" s="325"/>
      <c r="D37" s="325"/>
      <c r="E37" s="326"/>
      <c r="F37" s="292" t="s">
        <v>310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311</v>
      </c>
      <c r="B38" s="318" t="n">
        <f aca="false">PGL_Requirements!C7/1000</f>
        <v>1.16</v>
      </c>
      <c r="C38" s="256"/>
      <c r="D38" s="344"/>
      <c r="E38" s="345"/>
      <c r="F38" s="292" t="s">
        <v>312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313</v>
      </c>
      <c r="B39" s="318" t="n">
        <f aca="false">PGL_Supplies!C7/1000</f>
        <v>0</v>
      </c>
      <c r="C39" s="256"/>
      <c r="D39" s="344"/>
      <c r="E39" s="346"/>
      <c r="F39" s="347" t="s">
        <v>314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315</v>
      </c>
      <c r="B40" s="318" t="n">
        <f aca="false">PGL_Supplies!Z7/1000</f>
        <v>41.16</v>
      </c>
      <c r="C40" s="40"/>
      <c r="D40" s="350"/>
      <c r="E40" s="40"/>
      <c r="F40" s="351" t="s">
        <v>316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303</v>
      </c>
      <c r="B41" s="353" t="n">
        <f aca="false">B40+B37-B36-B38+B39</f>
        <v>0</v>
      </c>
      <c r="C41" s="335"/>
      <c r="D41" s="335"/>
      <c r="E41" s="336"/>
      <c r="F41" s="292" t="s">
        <v>317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86</v>
      </c>
      <c r="D42" s="357"/>
      <c r="E42" s="358" t="s">
        <v>0</v>
      </c>
      <c r="F42" s="292" t="s">
        <v>318</v>
      </c>
      <c r="G42" s="321"/>
      <c r="H42" s="327"/>
      <c r="I42" s="323"/>
    </row>
    <row r="43" customFormat="false" ht="15" hidden="false" customHeight="false" outlineLevel="0" collapsed="false">
      <c r="A43" s="292" t="s">
        <v>319</v>
      </c>
      <c r="B43" s="318" t="n">
        <f aca="false">NSG_Supplies!O7/1000+PGL_Supplies!AA7/1000</f>
        <v>0</v>
      </c>
      <c r="C43" s="354"/>
      <c r="D43" s="325"/>
      <c r="E43" s="359"/>
      <c r="F43" s="292" t="s">
        <v>50</v>
      </c>
      <c r="G43" s="321"/>
      <c r="H43" s="354"/>
      <c r="I43" s="323"/>
    </row>
    <row r="44" customFormat="false" ht="15" hidden="false" customHeight="false" outlineLevel="0" collapsed="false">
      <c r="A44" s="360" t="s">
        <v>320</v>
      </c>
      <c r="B44" s="318" t="n">
        <v>0</v>
      </c>
      <c r="C44" s="317"/>
      <c r="D44" s="325"/>
      <c r="E44" s="359"/>
      <c r="F44" s="342" t="s">
        <v>321</v>
      </c>
      <c r="G44" s="361"/>
      <c r="H44" s="362"/>
      <c r="I44" s="323"/>
    </row>
    <row r="45" customFormat="false" ht="15.75" hidden="false" customHeight="false" outlineLevel="0" collapsed="false">
      <c r="A45" s="292" t="s">
        <v>322</v>
      </c>
      <c r="B45" s="363" t="n">
        <f aca="false">PGL_Requirements!D7/1000</f>
        <v>0</v>
      </c>
      <c r="C45" s="354"/>
      <c r="D45" s="325"/>
      <c r="E45" s="359"/>
      <c r="F45" s="342" t="s">
        <v>323</v>
      </c>
      <c r="G45" s="361"/>
      <c r="H45" s="364"/>
      <c r="I45" s="323"/>
    </row>
    <row r="46" customFormat="false" ht="16.5" hidden="false" customHeight="false" outlineLevel="0" collapsed="false">
      <c r="A46" s="292" t="s">
        <v>324</v>
      </c>
      <c r="B46" s="318" t="n">
        <f aca="false">PGL_Supplies!D7/1000</f>
        <v>0</v>
      </c>
      <c r="C46" s="354"/>
      <c r="D46" s="325"/>
      <c r="E46" s="359"/>
      <c r="F46" s="365" t="s">
        <v>325</v>
      </c>
      <c r="G46" s="366"/>
      <c r="H46" s="367"/>
      <c r="I46" s="323"/>
    </row>
    <row r="47" customFormat="false" ht="16.5" hidden="false" customHeight="false" outlineLevel="0" collapsed="false">
      <c r="A47" s="332" t="s">
        <v>303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326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74</v>
      </c>
      <c r="D48" s="357"/>
      <c r="E48" s="357"/>
      <c r="F48" s="374" t="s">
        <v>289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92</v>
      </c>
      <c r="B49" s="318" t="n">
        <f aca="false">PGL_Requirements!P7/1000</f>
        <v>155.74</v>
      </c>
      <c r="C49" s="325"/>
      <c r="D49" s="325"/>
      <c r="E49" s="325"/>
      <c r="F49" s="378" t="s">
        <v>327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328</v>
      </c>
      <c r="B50" s="318" t="n">
        <f aca="false">PGL_Supplies!M7/1000</f>
        <v>0</v>
      </c>
      <c r="C50" s="325"/>
      <c r="D50" s="325"/>
      <c r="E50" s="325"/>
      <c r="F50" s="380" t="s">
        <v>329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330</v>
      </c>
      <c r="B51" s="318" t="n">
        <f aca="false">SUM(PGL_Requirements!B7/1000)</f>
        <v>0</v>
      </c>
      <c r="C51" s="325"/>
      <c r="D51" s="325"/>
      <c r="E51" s="325"/>
      <c r="F51" s="384" t="s">
        <v>331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332</v>
      </c>
      <c r="B52" s="318" t="n">
        <f aca="false">PGL_Supplies!H7/1000</f>
        <v>0.209</v>
      </c>
      <c r="C52" s="325"/>
      <c r="D52" s="325"/>
      <c r="E52" s="325"/>
      <c r="F52" s="386" t="s">
        <v>333</v>
      </c>
      <c r="G52" s="386"/>
      <c r="H52" s="386"/>
      <c r="I52" s="386"/>
    </row>
    <row r="53" customFormat="false" ht="15" hidden="false" customHeight="false" outlineLevel="0" collapsed="false">
      <c r="A53" s="342" t="s">
        <v>334</v>
      </c>
      <c r="B53" s="318" t="n">
        <f aca="false">PGL_Requirements!R7/1000</f>
        <v>0.63</v>
      </c>
      <c r="C53" s="325"/>
      <c r="D53" s="325"/>
      <c r="E53" s="325"/>
      <c r="F53" s="387" t="s">
        <v>335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336</v>
      </c>
      <c r="B54" s="318" t="n">
        <f aca="false">PGL_Requirements!Q7/1000</f>
        <v>2.3361</v>
      </c>
      <c r="C54" s="330"/>
      <c r="D54" s="330"/>
      <c r="E54" s="330"/>
      <c r="F54" s="386" t="s">
        <v>337</v>
      </c>
      <c r="G54" s="386"/>
      <c r="H54" s="386"/>
      <c r="I54" s="386"/>
    </row>
    <row r="55" customFormat="false" ht="16.5" hidden="false" customHeight="false" outlineLevel="0" collapsed="false">
      <c r="A55" s="332" t="s">
        <v>331</v>
      </c>
      <c r="B55" s="391" t="n">
        <f aca="false">-B49+B50+B52+B56+B57-B53-B51</f>
        <v>-156.161</v>
      </c>
      <c r="C55" s="392"/>
      <c r="D55" s="392"/>
      <c r="E55" s="336"/>
      <c r="F55" s="351" t="s">
        <v>338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339</v>
      </c>
      <c r="B56" s="318" t="n">
        <v>0</v>
      </c>
      <c r="C56" s="322"/>
      <c r="D56" s="322"/>
      <c r="E56" s="396"/>
      <c r="F56" s="342" t="s">
        <v>340</v>
      </c>
      <c r="G56" s="321"/>
      <c r="H56" s="397" t="n">
        <f aca="false">PGL_Supplies!E7/1000</f>
        <v>4</v>
      </c>
      <c r="I56" s="398" t="s">
        <v>0</v>
      </c>
    </row>
    <row r="57" customFormat="false" ht="15.75" hidden="false" customHeight="false" outlineLevel="0" collapsed="false">
      <c r="A57" s="292" t="s">
        <v>341</v>
      </c>
      <c r="B57" s="399" t="n">
        <v>0</v>
      </c>
      <c r="C57" s="400"/>
      <c r="D57" s="400"/>
      <c r="E57" s="401"/>
      <c r="F57" s="292" t="s">
        <v>158</v>
      </c>
      <c r="G57" s="402"/>
      <c r="H57" s="397" t="n">
        <f aca="false">PGL_Supplies!AB7/1000+NSG_Supplies!N7/1000</f>
        <v>261.981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42</v>
      </c>
      <c r="D58" s="405"/>
      <c r="E58" s="406"/>
      <c r="F58" s="40" t="s">
        <v>342</v>
      </c>
      <c r="G58" s="40"/>
      <c r="H58" s="397" t="n">
        <f aca="false">PGL_Supplies!T7/1000</f>
        <v>0</v>
      </c>
      <c r="I58" s="345"/>
    </row>
    <row r="59" customFormat="false" ht="15.75" hidden="false" customHeight="false" outlineLevel="0" collapsed="false">
      <c r="A59" s="292" t="s">
        <v>343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344</v>
      </c>
      <c r="G59" s="40"/>
      <c r="H59" s="409"/>
      <c r="I59" s="410" t="n">
        <f aca="false">PGL_Requirements!H7/1000*0.5</f>
        <v>10.66</v>
      </c>
    </row>
    <row r="60" customFormat="false" ht="16.5" hidden="false" customHeight="false" outlineLevel="0" collapsed="false">
      <c r="A60" s="292" t="s">
        <v>345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346</v>
      </c>
      <c r="G60" s="411"/>
      <c r="H60" s="411"/>
      <c r="I60" s="412" t="n">
        <f aca="false">SUM(H55:H59)-SUM(I55:I59)</f>
        <v>255.321</v>
      </c>
    </row>
    <row r="61" customFormat="false" ht="15" hidden="false" customHeight="false" outlineLevel="0" collapsed="false">
      <c r="A61" s="292" t="s">
        <v>347</v>
      </c>
      <c r="B61" s="318" t="n">
        <f aca="false">PGL_Supplies!G7/1000</f>
        <v>0</v>
      </c>
      <c r="C61" s="318"/>
      <c r="D61" s="325"/>
      <c r="E61" s="327"/>
      <c r="F61" s="413" t="s">
        <v>348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158</v>
      </c>
      <c r="B62" s="417" t="n">
        <f aca="false">PGL_Supplies!AD7/1000</f>
        <v>0</v>
      </c>
      <c r="C62" s="418"/>
      <c r="D62" s="330"/>
      <c r="E62" s="419"/>
      <c r="F62" s="420" t="s">
        <v>349</v>
      </c>
      <c r="G62" s="317"/>
      <c r="H62" s="421" t="s">
        <v>0</v>
      </c>
      <c r="I62" s="422" t="n">
        <f aca="false">H57-I59-I61</f>
        <v>251.321</v>
      </c>
    </row>
    <row r="63" customFormat="false" ht="16.5" hidden="false" customHeight="false" outlineLevel="0" collapsed="false">
      <c r="A63" s="423" t="s">
        <v>350</v>
      </c>
      <c r="B63" s="424" t="n">
        <f aca="false">+B62+B61-B60+B59</f>
        <v>0</v>
      </c>
      <c r="C63" s="368" t="s">
        <v>0</v>
      </c>
      <c r="D63" s="335"/>
      <c r="E63" s="336"/>
      <c r="F63" s="425" t="s">
        <v>351</v>
      </c>
      <c r="G63" s="426"/>
      <c r="H63" s="256"/>
      <c r="I63" s="427" t="n">
        <f aca="false">I59</f>
        <v>10.66</v>
      </c>
    </row>
    <row r="64" customFormat="false" ht="15.75" hidden="false" customHeight="false" outlineLevel="0" collapsed="false">
      <c r="A64" s="387" t="s">
        <v>352</v>
      </c>
      <c r="B64" s="428"/>
      <c r="C64" s="429" t="s">
        <v>0</v>
      </c>
      <c r="D64" s="429" t="s">
        <v>0</v>
      </c>
      <c r="E64" s="430" t="s">
        <v>0</v>
      </c>
      <c r="F64" s="431" t="s">
        <v>353</v>
      </c>
      <c r="G64" s="258"/>
      <c r="H64" s="344"/>
      <c r="I64" s="427" t="n">
        <f aca="false">PGL_Requirements!H7/1000</f>
        <v>21.32</v>
      </c>
    </row>
    <row r="65" customFormat="false" ht="15.75" hidden="false" customHeight="false" outlineLevel="0" collapsed="false">
      <c r="A65" s="342" t="s">
        <v>354</v>
      </c>
      <c r="B65" s="432"/>
      <c r="C65" s="433" t="s">
        <v>0</v>
      </c>
      <c r="D65" s="433" t="s">
        <v>0</v>
      </c>
      <c r="E65" s="434" t="s">
        <v>0</v>
      </c>
      <c r="F65" s="435" t="s">
        <v>355</v>
      </c>
      <c r="H65" s="436"/>
      <c r="I65" s="437" t="n">
        <f aca="false">I62+I63</f>
        <v>261.981</v>
      </c>
    </row>
    <row r="66" customFormat="false" ht="16.5" hidden="false" customHeight="false" outlineLevel="0" collapsed="false">
      <c r="A66" s="438" t="s">
        <v>356</v>
      </c>
      <c r="B66" s="439"/>
      <c r="C66" s="440" t="s">
        <v>0</v>
      </c>
      <c r="D66" s="440" t="s">
        <v>0</v>
      </c>
      <c r="E66" s="441" t="s">
        <v>0</v>
      </c>
      <c r="F66" s="386" t="s">
        <v>357</v>
      </c>
      <c r="G66" s="386"/>
      <c r="H66" s="386"/>
      <c r="I66" s="386"/>
    </row>
    <row r="67" customFormat="false" ht="16.5" hidden="false" customHeight="false" outlineLevel="0" collapsed="false">
      <c r="A67" s="442" t="s">
        <v>358</v>
      </c>
      <c r="B67" s="443" t="s">
        <v>0</v>
      </c>
      <c r="C67" s="444" t="s">
        <v>0</v>
      </c>
      <c r="D67" s="444" t="s">
        <v>0</v>
      </c>
      <c r="E67" s="445" t="s">
        <v>0</v>
      </c>
      <c r="F67" s="446" t="s">
        <v>359</v>
      </c>
      <c r="G67" s="375" t="s">
        <v>0</v>
      </c>
      <c r="H67" s="447" t="s">
        <v>0</v>
      </c>
      <c r="I67" s="448" t="s">
        <v>0</v>
      </c>
    </row>
    <row r="68" customFormat="false" ht="16.5" hidden="false" customHeight="false" outlineLevel="0" collapsed="false">
      <c r="A68" s="449" t="s">
        <v>360</v>
      </c>
      <c r="B68" s="450"/>
      <c r="C68" s="40"/>
      <c r="D68" s="450"/>
      <c r="E68" s="40"/>
      <c r="F68" s="378" t="s">
        <v>361</v>
      </c>
      <c r="G68" s="325"/>
      <c r="H68" s="394"/>
      <c r="I68" s="451"/>
    </row>
    <row r="69" customFormat="false" ht="16.5" hidden="false" customHeight="false" outlineLevel="0" collapsed="false">
      <c r="A69" s="332" t="s">
        <v>362</v>
      </c>
      <c r="B69" s="452" t="s">
        <v>0</v>
      </c>
      <c r="C69" s="453" t="s">
        <v>0</v>
      </c>
      <c r="D69" s="453" t="s">
        <v>0</v>
      </c>
      <c r="E69" s="453" t="s">
        <v>0</v>
      </c>
      <c r="F69" s="292"/>
      <c r="G69" s="352"/>
      <c r="H69" s="317"/>
      <c r="I69" s="454"/>
    </row>
    <row r="70" customFormat="false" ht="16.5" hidden="false" customHeight="false" outlineLevel="0" collapsed="false">
      <c r="A70" s="455" t="s">
        <v>363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364</v>
      </c>
      <c r="G70" s="460"/>
      <c r="H70" s="461" t="s">
        <v>365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264</v>
      </c>
      <c r="F1" s="217" t="str">
        <f aca="false">CHOOSE(WEEKDAY(G1),"SUN","MON","TUE","WED","THU","FRI","SAT")</f>
        <v>FRI</v>
      </c>
      <c r="G1" s="466" t="n">
        <f aca="false">Weather_Input!A5</f>
        <v>37008</v>
      </c>
      <c r="H1" s="215" t="s">
        <v>265</v>
      </c>
      <c r="I1" s="219"/>
    </row>
    <row r="2" customFormat="false" ht="20.25" hidden="false" customHeight="false" outlineLevel="0" collapsed="false">
      <c r="A2" s="467" t="s">
        <v>0</v>
      </c>
      <c r="B2" s="468" t="s">
        <v>366</v>
      </c>
      <c r="C2" s="469"/>
      <c r="D2" s="38" t="s">
        <v>267</v>
      </c>
      <c r="E2" s="470"/>
      <c r="F2" s="38" t="s">
        <v>268</v>
      </c>
      <c r="G2" s="470"/>
      <c r="H2" s="471" t="s">
        <v>367</v>
      </c>
      <c r="I2" s="472"/>
    </row>
    <row r="3" customFormat="false" ht="20.25" hidden="false" customHeight="false" outlineLevel="0" collapsed="false">
      <c r="A3" s="473" t="s">
        <v>368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62</v>
      </c>
      <c r="C4" s="480" t="n">
        <f aca="false">Weather_Input!C5</f>
        <v>42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212</v>
      </c>
      <c r="B5" s="486"/>
      <c r="C5" s="487" t="n">
        <f aca="false">NSG_Deliveries!C5/1000</f>
        <v>62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128</v>
      </c>
      <c r="B7" s="486"/>
      <c r="C7" s="496" t="n">
        <f aca="false">C5-C9-C11-C12</f>
        <v>62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369</v>
      </c>
      <c r="B9" s="500"/>
      <c r="C9" s="501" t="n">
        <f aca="false">B46</f>
        <v>0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370</v>
      </c>
      <c r="B11" s="510"/>
      <c r="C11" s="511" t="n">
        <f aca="false">B38</f>
        <v>0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371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146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165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372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373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374</v>
      </c>
      <c r="B18" s="491"/>
      <c r="C18" s="492" t="s">
        <v>0</v>
      </c>
      <c r="D18" s="493"/>
      <c r="E18" s="492"/>
      <c r="F18" s="493"/>
      <c r="G18" s="274" t="s">
        <v>286</v>
      </c>
      <c r="H18" s="491"/>
      <c r="I18" s="538"/>
    </row>
    <row r="19" customFormat="false" ht="24" hidden="false" customHeight="false" outlineLevel="0" collapsed="false">
      <c r="A19" s="539" t="s">
        <v>291</v>
      </c>
      <c r="B19" s="540"/>
      <c r="C19" s="541" t="n">
        <f aca="false">C7+C12</f>
        <v>62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375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376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377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378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293</v>
      </c>
      <c r="B24" s="554"/>
      <c r="C24" s="547" t="n">
        <f aca="false">NSG_Requirements!H7/1000</f>
        <v>0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294</v>
      </c>
      <c r="B25" s="551"/>
      <c r="C25" s="547" t="n">
        <f aca="false">-NSG_Supplies!F7/1000</f>
        <v>-6.044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295</v>
      </c>
      <c r="B26" s="554"/>
      <c r="C26" s="547" t="n">
        <f aca="false">-NSG_Supplies!R7/1000</f>
        <v>-52.905</v>
      </c>
      <c r="D26" s="555"/>
      <c r="E26" s="547" t="n">
        <f aca="false">-NSG_Supplies!R7/1000</f>
        <v>-52.905</v>
      </c>
      <c r="F26" s="555"/>
      <c r="G26" s="547" t="n">
        <f aca="false">-NSG_Supplies!R7/1000</f>
        <v>-52.905</v>
      </c>
      <c r="H26" s="554"/>
      <c r="I26" s="556" t="n">
        <f aca="false">-NSG_Supplies!R7/1000</f>
        <v>-52.905</v>
      </c>
    </row>
    <row r="27" customFormat="false" ht="20.25" hidden="false" customHeight="false" outlineLevel="0" collapsed="false">
      <c r="A27" s="545" t="s">
        <v>379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380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370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381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382</v>
      </c>
      <c r="G30" s="575"/>
      <c r="H30" s="575"/>
      <c r="I30" s="576"/>
    </row>
    <row r="31" customFormat="false" ht="20.25" hidden="false" customHeight="false" outlineLevel="0" collapsed="false">
      <c r="A31" s="577" t="s">
        <v>383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384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385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133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386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387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158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388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389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390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391</v>
      </c>
      <c r="B41" s="594" t="n">
        <f aca="false">NSG_Requirements!J7/1000</f>
        <v>20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392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393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394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395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388</v>
      </c>
      <c r="B46" s="598" t="n">
        <f aca="false">B45+B42-B41</f>
        <v>0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86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396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397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133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158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398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399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400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264</v>
      </c>
      <c r="F1" s="624" t="n">
        <f aca="false">Weather_Input!A5</f>
        <v>37008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401</v>
      </c>
      <c r="C3" s="628" t="n">
        <v>44</v>
      </c>
      <c r="D3" s="228"/>
      <c r="E3" s="228"/>
      <c r="F3" s="628" t="s">
        <v>402</v>
      </c>
      <c r="G3" s="628"/>
      <c r="H3" s="228" t="s">
        <v>269</v>
      </c>
      <c r="I3" s="226"/>
    </row>
    <row r="4" customFormat="false" ht="17.1" hidden="false" customHeight="true" outlineLevel="0" collapsed="false">
      <c r="A4" s="240" t="s">
        <v>403</v>
      </c>
      <c r="B4" s="240" t="s">
        <v>403</v>
      </c>
      <c r="C4" s="277" t="s">
        <v>272</v>
      </c>
      <c r="D4" s="277" t="s">
        <v>18</v>
      </c>
      <c r="E4" s="277" t="s">
        <v>272</v>
      </c>
      <c r="F4" s="277" t="s">
        <v>18</v>
      </c>
      <c r="G4" s="277" t="s">
        <v>272</v>
      </c>
      <c r="H4" s="277" t="s">
        <v>18</v>
      </c>
      <c r="I4" s="234" t="s">
        <v>272</v>
      </c>
    </row>
    <row r="5" customFormat="false" ht="17.1" hidden="false" customHeight="true" outlineLevel="0" collapsed="false">
      <c r="A5" s="240" t="s">
        <v>404</v>
      </c>
      <c r="B5" s="277" t="n">
        <f aca="false">Weather_Input!B5</f>
        <v>62</v>
      </c>
      <c r="C5" s="277" t="n">
        <f aca="false">Weather_Input!C5</f>
        <v>42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405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406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407</v>
      </c>
      <c r="B8" s="631" t="n">
        <f aca="false">PGL_Deliveries!C5/1000</f>
        <v>320</v>
      </c>
      <c r="C8" s="632" t="n">
        <f aca="false">NSG_Deliveries!C5/1000</f>
        <v>62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63</v>
      </c>
      <c r="C9" s="636" t="s">
        <v>124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85</v>
      </c>
      <c r="B10" s="261" t="n">
        <f aca="false">B62</f>
        <v>0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408</v>
      </c>
      <c r="B11" s="261" t="n">
        <f aca="false">+B54</f>
        <v>225.76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409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94</v>
      </c>
      <c r="B13" s="261" t="n">
        <f aca="false">PGL_Supplies!I7/1000</f>
        <v>13.519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410</v>
      </c>
      <c r="B14" s="262" t="n">
        <f aca="false">+B72</f>
        <v>-3.11100000000002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67</v>
      </c>
      <c r="B15" s="261" t="n">
        <f aca="false">+B46</f>
        <v>0.209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411</v>
      </c>
      <c r="B16" s="261" t="n">
        <f aca="false">PGL_Requirements!G7/1000</f>
        <v>0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412</v>
      </c>
      <c r="B17" s="261" t="n">
        <f aca="false">PGL_Supplies!B7/1000</f>
        <v>10.499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413</v>
      </c>
      <c r="B18" s="645" t="n">
        <f aca="false">-B10-B11-B12-B13-B14-B15+B16-B17</f>
        <v>-246.876</v>
      </c>
      <c r="C18" s="646" t="n">
        <f aca="false">-I63</f>
        <v>-0</v>
      </c>
      <c r="D18" s="647" t="s">
        <v>0</v>
      </c>
      <c r="E18" s="646" t="n">
        <f aca="false">-I63</f>
        <v>-0</v>
      </c>
      <c r="F18" s="647" t="s">
        <v>0</v>
      </c>
      <c r="G18" s="646" t="n">
        <f aca="false">-I63</f>
        <v>-0</v>
      </c>
      <c r="H18" s="647" t="s">
        <v>0</v>
      </c>
      <c r="I18" s="648"/>
    </row>
    <row r="19" customFormat="false" ht="17.1" hidden="false" customHeight="true" outlineLevel="0" collapsed="false">
      <c r="A19" s="252" t="s">
        <v>75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414</v>
      </c>
      <c r="B20" s="261" t="n">
        <f aca="false">B8+B18+B19</f>
        <v>73.124</v>
      </c>
      <c r="C20" s="650" t="n">
        <f aca="false">C8+C18+C19</f>
        <v>62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415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416</v>
      </c>
      <c r="B22" s="261" t="n">
        <f aca="false">+B44</f>
        <v>2.3361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417</v>
      </c>
      <c r="B23" s="653" t="n">
        <f aca="false">B20+B21+B22</f>
        <v>75.4601</v>
      </c>
      <c r="C23" s="654" t="n">
        <f aca="false">C20</f>
        <v>62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418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419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420</v>
      </c>
      <c r="B27" s="661" t="n">
        <f aca="false">PGL_Requirements!R7/1000</f>
        <v>0.63</v>
      </c>
      <c r="C27" s="661" t="n">
        <f aca="false">NSG_Requirements!P7/1000</f>
        <v>0</v>
      </c>
      <c r="D27" s="661" t="n">
        <f aca="false">PGL_Requirements!R7/1000</f>
        <v>0.63</v>
      </c>
      <c r="E27" s="661" t="n">
        <f aca="false">NSG_Requirements!P7/1000</f>
        <v>0</v>
      </c>
      <c r="F27" s="661" t="n">
        <f aca="false">PGL_Requirements!R7/1000</f>
        <v>0.63</v>
      </c>
      <c r="G27" s="661" t="n">
        <f aca="false">NSG_Requirements!P7/1000</f>
        <v>0</v>
      </c>
      <c r="H27" s="662" t="n">
        <f aca="false">+B27</f>
        <v>0.63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421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422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423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424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295</v>
      </c>
      <c r="B32" s="324" t="n">
        <f aca="false">-PGL_Supplies!AC7/1000</f>
        <v>-112.578</v>
      </c>
      <c r="C32" s="324" t="n">
        <f aca="false">-NSG_Supplies!R7/1000</f>
        <v>-52.905</v>
      </c>
      <c r="D32" s="324" t="n">
        <f aca="false">B32</f>
        <v>-112.578</v>
      </c>
      <c r="E32" s="324" t="n">
        <f aca="false">C32</f>
        <v>-52.905</v>
      </c>
      <c r="F32" s="324" t="n">
        <f aca="false">B32</f>
        <v>-112.578</v>
      </c>
      <c r="G32" s="324" t="n">
        <f aca="false">C32</f>
        <v>-52.905</v>
      </c>
      <c r="H32" s="665" t="n">
        <f aca="false">B32</f>
        <v>-112.578</v>
      </c>
      <c r="I32" s="666" t="n">
        <f aca="false">C32</f>
        <v>-52.905</v>
      </c>
    </row>
    <row r="33" customFormat="false" ht="17.1" hidden="false" customHeight="true" outlineLevel="0" collapsed="false">
      <c r="A33" s="664" t="s">
        <v>425</v>
      </c>
      <c r="B33" s="324" t="n">
        <f aca="false">-PGL_Supplies!X7/1000</f>
        <v>-0</v>
      </c>
      <c r="C33" s="324" t="n">
        <f aca="false">-NSG_Supplies!S7/1000</f>
        <v>-27.905</v>
      </c>
      <c r="D33" s="324" t="n">
        <f aca="false">B33</f>
        <v>-0</v>
      </c>
      <c r="E33" s="324" t="n">
        <f aca="false">C33</f>
        <v>-27.905</v>
      </c>
      <c r="F33" s="324" t="n">
        <f aca="false">B33</f>
        <v>-0</v>
      </c>
      <c r="G33" s="324" t="n">
        <f aca="false">C33</f>
        <v>-27.905</v>
      </c>
      <c r="H33" s="665" t="n">
        <f aca="false">B33</f>
        <v>-0</v>
      </c>
      <c r="I33" s="666" t="n">
        <f aca="false">C33</f>
        <v>-27.905</v>
      </c>
    </row>
    <row r="34" customFormat="false" ht="17.1" hidden="false" customHeight="true" outlineLevel="0" collapsed="false">
      <c r="A34" s="660" t="s">
        <v>426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427</v>
      </c>
      <c r="B35" s="661" t="n">
        <f aca="false">PGL_Requirements!O7/1000</f>
        <v>57.782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428</v>
      </c>
      <c r="B36" s="324" t="n">
        <f aca="false">-PGL_Supplies!L7/1000</f>
        <v>-0</v>
      </c>
      <c r="C36" s="324" t="n">
        <f aca="false">-NSG_Supplies!F7/1000</f>
        <v>-6.044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429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430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431</v>
      </c>
      <c r="C39" s="674"/>
      <c r="D39" s="314"/>
      <c r="E39" s="315"/>
      <c r="F39" s="316" t="s">
        <v>296</v>
      </c>
      <c r="G39" s="316"/>
      <c r="H39" s="316"/>
      <c r="I39" s="316"/>
    </row>
    <row r="40" customFormat="false" ht="17.1" hidden="false" customHeight="true" outlineLevel="0" collapsed="false">
      <c r="A40" s="292" t="s">
        <v>99</v>
      </c>
      <c r="B40" s="324" t="n">
        <f aca="false">PGL_Requirements!P7/1000</f>
        <v>155.74</v>
      </c>
      <c r="C40" s="324" t="s">
        <v>0</v>
      </c>
      <c r="D40" s="675"/>
      <c r="E40" s="326"/>
      <c r="F40" s="676" t="s">
        <v>432</v>
      </c>
      <c r="G40" s="325"/>
      <c r="H40" s="677"/>
      <c r="I40" s="323"/>
    </row>
    <row r="41" customFormat="false" ht="17.1" hidden="false" customHeight="true" outlineLevel="0" collapsed="false">
      <c r="A41" s="292" t="s">
        <v>433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434</v>
      </c>
      <c r="G41" s="325"/>
      <c r="H41" s="327"/>
      <c r="I41" s="323"/>
    </row>
    <row r="42" customFormat="false" ht="17.1" hidden="false" customHeight="true" outlineLevel="0" collapsed="false">
      <c r="A42" s="292" t="s">
        <v>435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436</v>
      </c>
      <c r="G42" s="325"/>
      <c r="H42" s="327"/>
      <c r="I42" s="323"/>
    </row>
    <row r="43" customFormat="false" ht="17.1" hidden="false" customHeight="true" outlineLevel="0" collapsed="false">
      <c r="A43" s="292" t="s">
        <v>437</v>
      </c>
      <c r="B43" s="324" t="n">
        <f aca="false">PGL_Supplies!H7/1000</f>
        <v>0.209</v>
      </c>
      <c r="C43" s="325"/>
      <c r="D43" s="325"/>
      <c r="E43" s="326"/>
      <c r="F43" s="678" t="s">
        <v>438</v>
      </c>
      <c r="G43" s="325"/>
      <c r="H43" s="327"/>
      <c r="I43" s="323"/>
    </row>
    <row r="44" customFormat="false" ht="17.1" hidden="false" customHeight="true" outlineLevel="0" collapsed="false">
      <c r="A44" s="292" t="s">
        <v>416</v>
      </c>
      <c r="B44" s="679" t="n">
        <f aca="false">+B48+B47+B45</f>
        <v>2.3361</v>
      </c>
      <c r="C44" s="680"/>
      <c r="D44" s="325"/>
      <c r="E44" s="326"/>
      <c r="F44" s="678" t="s">
        <v>439</v>
      </c>
      <c r="G44" s="325"/>
      <c r="H44" s="327"/>
      <c r="I44" s="323"/>
    </row>
    <row r="45" customFormat="false" ht="17.1" hidden="false" customHeight="true" outlineLevel="0" collapsed="false">
      <c r="A45" s="292" t="s">
        <v>101</v>
      </c>
      <c r="B45" s="324" t="n">
        <f aca="false">PGL_Requirements!Q7/1000</f>
        <v>2.3361</v>
      </c>
      <c r="C45" s="325"/>
      <c r="D45" s="325"/>
      <c r="E45" s="326"/>
      <c r="F45" s="681" t="s">
        <v>440</v>
      </c>
      <c r="G45" s="325"/>
      <c r="H45" s="327"/>
      <c r="I45" s="323"/>
    </row>
    <row r="46" customFormat="false" ht="17.1" hidden="false" customHeight="true" outlineLevel="0" collapsed="false">
      <c r="A46" s="664" t="s">
        <v>441</v>
      </c>
      <c r="B46" s="324" t="n">
        <f aca="false">+B47+B43+B41</f>
        <v>0.209</v>
      </c>
      <c r="C46" s="325"/>
      <c r="D46" s="325"/>
      <c r="E46" s="326"/>
      <c r="F46" s="678" t="s">
        <v>442</v>
      </c>
      <c r="G46" s="325"/>
      <c r="H46" s="327"/>
      <c r="I46" s="323"/>
    </row>
    <row r="47" customFormat="false" ht="17.1" hidden="false" customHeight="true" outlineLevel="0" collapsed="false">
      <c r="A47" s="292" t="s">
        <v>341</v>
      </c>
      <c r="B47" s="682" t="n">
        <v>0</v>
      </c>
      <c r="C47" s="325"/>
      <c r="D47" s="325"/>
      <c r="E47" s="326"/>
      <c r="F47" s="678" t="s">
        <v>443</v>
      </c>
      <c r="G47" s="325"/>
      <c r="H47" s="327"/>
      <c r="I47" s="323"/>
    </row>
    <row r="48" customFormat="false" ht="17.1" hidden="false" customHeight="true" outlineLevel="0" collapsed="false">
      <c r="A48" s="292" t="s">
        <v>339</v>
      </c>
      <c r="B48" s="683" t="n">
        <v>0</v>
      </c>
      <c r="C48" s="684"/>
      <c r="D48" s="684"/>
      <c r="E48" s="685"/>
      <c r="F48" s="678" t="s">
        <v>444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445</v>
      </c>
      <c r="C49" s="687"/>
      <c r="D49" s="687"/>
      <c r="E49" s="688" t="s">
        <v>0</v>
      </c>
      <c r="F49" s="689" t="s">
        <v>446</v>
      </c>
      <c r="G49" s="330"/>
      <c r="H49" s="352"/>
      <c r="I49" s="323"/>
    </row>
    <row r="50" customFormat="false" ht="17.1" hidden="false" customHeight="true" outlineLevel="0" collapsed="false">
      <c r="A50" s="292" t="s">
        <v>447</v>
      </c>
      <c r="B50" s="318" t="n">
        <f aca="false">PGL_Supplies!V7/1000+PGL_Supplies!D7/1000</f>
        <v>225.76</v>
      </c>
      <c r="C50" s="325"/>
      <c r="D50" s="325"/>
      <c r="E50" s="325"/>
      <c r="F50" s="664" t="s">
        <v>448</v>
      </c>
      <c r="G50" s="359"/>
      <c r="H50" s="354"/>
      <c r="I50" s="323"/>
    </row>
    <row r="51" customFormat="false" ht="17.1" hidden="false" customHeight="true" outlineLevel="0" collapsed="false">
      <c r="A51" s="292" t="s">
        <v>449</v>
      </c>
      <c r="B51" s="318" t="n">
        <f aca="false">PGL_Supplies!AA7/1000</f>
        <v>0</v>
      </c>
      <c r="C51" s="680"/>
      <c r="D51" s="325"/>
      <c r="E51" s="325"/>
      <c r="F51" s="690" t="s">
        <v>450</v>
      </c>
      <c r="G51" s="359"/>
      <c r="H51" s="327"/>
      <c r="I51" s="323"/>
    </row>
    <row r="52" customFormat="false" ht="17.1" hidden="false" customHeight="true" outlineLevel="0" collapsed="false">
      <c r="A52" s="292" t="s">
        <v>451</v>
      </c>
      <c r="B52" s="318" t="n">
        <f aca="false">NSG_Supplies!O7/1000+PGL_Supplies!Q7/1000</f>
        <v>0</v>
      </c>
      <c r="C52" s="325"/>
      <c r="D52" s="325"/>
      <c r="E52" s="325"/>
      <c r="F52" s="691" t="s">
        <v>452</v>
      </c>
      <c r="G52" s="381"/>
      <c r="H52" s="692"/>
      <c r="I52" s="323"/>
    </row>
    <row r="53" customFormat="false" ht="17.1" hidden="false" customHeight="true" outlineLevel="0" collapsed="false">
      <c r="A53" s="342" t="s">
        <v>453</v>
      </c>
      <c r="B53" s="318" t="n">
        <f aca="false">PGL_Requirements!J7/1000+NSG_Requirements!E7/1000</f>
        <v>0</v>
      </c>
      <c r="C53" s="325"/>
      <c r="D53" s="325"/>
      <c r="E53" s="325"/>
      <c r="F53" s="689" t="s">
        <v>325</v>
      </c>
      <c r="G53" s="693"/>
      <c r="H53" s="680"/>
      <c r="I53" s="323"/>
    </row>
    <row r="54" customFormat="false" ht="17.1" hidden="false" customHeight="true" outlineLevel="0" collapsed="false">
      <c r="A54" s="664" t="s">
        <v>454</v>
      </c>
      <c r="B54" s="694" t="n">
        <f aca="false">SUM(B50+B51+B52-B53)</f>
        <v>225.76</v>
      </c>
      <c r="C54" s="318"/>
      <c r="D54" s="325"/>
      <c r="E54" s="325"/>
      <c r="F54" s="386" t="s">
        <v>455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85</v>
      </c>
      <c r="C55" s="313"/>
      <c r="D55" s="313"/>
      <c r="E55" s="313"/>
      <c r="F55" s="378" t="s">
        <v>456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425</v>
      </c>
      <c r="B56" s="318" t="n">
        <f aca="false">PGL_Supplies!U7/1000</f>
        <v>0</v>
      </c>
      <c r="C56" s="325"/>
      <c r="D56" s="325"/>
      <c r="E56" s="325"/>
      <c r="F56" s="378" t="s">
        <v>457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458</v>
      </c>
      <c r="B57" s="318" t="n">
        <f aca="false">PGL_Supplies!Z7/1000+PGL_Supplies!C7/1000-PGL_Requirements!C7/1000</f>
        <v>40</v>
      </c>
      <c r="C57" s="325"/>
      <c r="D57" s="325"/>
      <c r="E57" s="325"/>
      <c r="F57" s="378" t="s">
        <v>459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460</v>
      </c>
      <c r="B58" s="318" t="n">
        <f aca="false">PGL_Requirements!U7/1000</f>
        <v>40</v>
      </c>
      <c r="C58" s="325"/>
      <c r="D58" s="325"/>
      <c r="E58" s="325"/>
      <c r="F58" s="378" t="s">
        <v>461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462</v>
      </c>
      <c r="B59" s="318" t="n">
        <f aca="false">PGL_Supplies!R7/1000</f>
        <v>0</v>
      </c>
      <c r="C59" s="325"/>
      <c r="D59" s="325"/>
      <c r="E59" s="325"/>
      <c r="F59" s="699" t="s">
        <v>453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453</v>
      </c>
      <c r="B60" s="318" t="n">
        <f aca="false">PGL_Requirements!I7/1000</f>
        <v>0</v>
      </c>
      <c r="C60" s="325"/>
      <c r="D60" s="325"/>
      <c r="E60" s="325"/>
      <c r="F60" s="702" t="s">
        <v>463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464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465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454</v>
      </c>
      <c r="B62" s="694" t="n">
        <f aca="false">B56+B57-B58+B59-B60+B61</f>
        <v>0</v>
      </c>
      <c r="C62" s="400"/>
      <c r="D62" s="400"/>
      <c r="E62" s="400"/>
      <c r="F62" s="707" t="s">
        <v>466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467</v>
      </c>
      <c r="D63" s="687"/>
      <c r="E63" s="709" t="s">
        <v>0</v>
      </c>
      <c r="F63" s="689" t="s">
        <v>468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425</v>
      </c>
      <c r="B64" s="318" t="n">
        <f aca="false">PGL_Supplies!Y7/1000</f>
        <v>152.629</v>
      </c>
      <c r="C64" s="325"/>
      <c r="D64" s="325"/>
      <c r="E64" s="710"/>
      <c r="F64" s="386" t="s">
        <v>469</v>
      </c>
      <c r="G64" s="386"/>
      <c r="H64" s="386"/>
      <c r="I64" s="386"/>
    </row>
    <row r="65" customFormat="false" ht="17.1" hidden="false" customHeight="true" outlineLevel="0" collapsed="false">
      <c r="A65" s="292" t="s">
        <v>470</v>
      </c>
      <c r="B65" s="318" t="n">
        <f aca="false">PGL_Supplies!AD7/1000+PGL_Supplies!G7/1000-PGL_Requirements!F7/1000</f>
        <v>0</v>
      </c>
      <c r="C65" s="407" t="s">
        <v>0</v>
      </c>
      <c r="D65" s="325"/>
      <c r="E65" s="408"/>
      <c r="F65" s="711" t="s">
        <v>471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472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473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474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475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476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453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477</v>
      </c>
      <c r="G69" s="713" t="s">
        <v>0</v>
      </c>
      <c r="H69" s="675" t="s">
        <v>478</v>
      </c>
      <c r="I69" s="408"/>
    </row>
    <row r="70" customFormat="false" ht="17.1" hidden="false" customHeight="true" outlineLevel="0" collapsed="false">
      <c r="A70" s="292" t="s">
        <v>479</v>
      </c>
      <c r="B70" s="379" t="n">
        <f aca="false">PGL_Requirements!P7/1000</f>
        <v>155.74</v>
      </c>
      <c r="C70" s="716" t="s">
        <v>0</v>
      </c>
      <c r="D70" s="325"/>
      <c r="E70" s="408"/>
      <c r="F70" s="722" t="s">
        <v>480</v>
      </c>
      <c r="G70" s="713" t="s">
        <v>0</v>
      </c>
      <c r="H70" s="723" t="s">
        <v>481</v>
      </c>
      <c r="I70" s="724"/>
    </row>
    <row r="71" customFormat="false" ht="17.1" hidden="false" customHeight="true" outlineLevel="0" collapsed="false">
      <c r="A71" s="292" t="s">
        <v>482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483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454</v>
      </c>
      <c r="B72" s="727" t="n">
        <f aca="false">+B65+B64+B66+B68-B67-B69-B70</f>
        <v>-3.11100000000002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484</v>
      </c>
      <c r="B73" s="386"/>
      <c r="C73" s="386"/>
      <c r="D73" s="680"/>
      <c r="E73" s="680"/>
      <c r="F73" s="733" t="s">
        <v>485</v>
      </c>
      <c r="G73" s="734" t="str">
        <f aca="false">CHOOSE(WEEKDAY(H73),"SUN","MON","TUE","WED","THU","FRI","SAT")</f>
        <v>FRI</v>
      </c>
      <c r="H73" s="735" t="n">
        <f aca="false">Weather_Input!A5</f>
        <v>37008</v>
      </c>
      <c r="I73" s="383"/>
    </row>
    <row r="74" customFormat="false" ht="17.1" hidden="false" customHeight="true" outlineLevel="0" collapsed="false">
      <c r="A74" s="711" t="s">
        <v>486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487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488</v>
      </c>
      <c r="B76" s="684"/>
      <c r="C76" s="685"/>
      <c r="D76" s="739" t="s">
        <v>489</v>
      </c>
      <c r="E76" s="740"/>
      <c r="F76" s="741" t="s">
        <v>490</v>
      </c>
      <c r="G76" s="742"/>
      <c r="H76" s="743" t="s">
        <v>265</v>
      </c>
      <c r="I76" s="744" t="s">
        <v>265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491</v>
      </c>
      <c r="B90" s="214"/>
      <c r="C90" s="214"/>
      <c r="D90" s="214"/>
      <c r="E90" s="215" t="s">
        <v>264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492</v>
      </c>
      <c r="C91" s="233" t="s">
        <v>0</v>
      </c>
      <c r="D91" s="223" t="s">
        <v>493</v>
      </c>
      <c r="E91" s="224"/>
      <c r="F91" s="225" t="s">
        <v>494</v>
      </c>
      <c r="G91" s="224"/>
      <c r="H91" s="225" t="s">
        <v>269</v>
      </c>
      <c r="I91" s="226"/>
    </row>
    <row r="92" customFormat="false" ht="15" hidden="false" customHeight="false" outlineLevel="0" collapsed="false">
      <c r="A92" s="252" t="s">
        <v>495</v>
      </c>
      <c r="B92" s="223" t="s">
        <v>271</v>
      </c>
      <c r="C92" s="228" t="s">
        <v>272</v>
      </c>
      <c r="D92" s="223" t="s">
        <v>18</v>
      </c>
      <c r="E92" s="228" t="s">
        <v>272</v>
      </c>
      <c r="F92" s="223" t="s">
        <v>18</v>
      </c>
      <c r="G92" s="228" t="s">
        <v>272</v>
      </c>
      <c r="H92" s="223" t="s">
        <v>18</v>
      </c>
      <c r="I92" s="226" t="s">
        <v>272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274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409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85</v>
      </c>
      <c r="B97" s="261" t="s">
        <v>0</v>
      </c>
      <c r="C97" s="751" t="n">
        <f aca="false">B133</f>
        <v>57.782</v>
      </c>
      <c r="D97" s="231"/>
      <c r="E97" s="254" t="n">
        <f aca="false">+C97</f>
        <v>57.782</v>
      </c>
      <c r="F97" s="231"/>
      <c r="G97" s="254" t="n">
        <f aca="false">+C97</f>
        <v>57.782</v>
      </c>
      <c r="H97" s="231"/>
      <c r="I97" s="260" t="n">
        <f aca="false">+C97</f>
        <v>57.782</v>
      </c>
    </row>
    <row r="98" customFormat="false" ht="15" hidden="false" customHeight="false" outlineLevel="0" collapsed="false">
      <c r="A98" s="252" t="s">
        <v>74</v>
      </c>
      <c r="B98" s="261" t="s">
        <v>0</v>
      </c>
      <c r="C98" s="751" t="n">
        <f aca="false">B149</f>
        <v>0.209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86</v>
      </c>
      <c r="B99" s="261" t="s">
        <v>0</v>
      </c>
      <c r="C99" s="751" t="n">
        <f aca="false">B141</f>
        <v>225.76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337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281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42</v>
      </c>
      <c r="B102" s="261" t="s">
        <v>2</v>
      </c>
      <c r="C102" s="751" t="n">
        <f aca="false">B162</f>
        <v>152.629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146</v>
      </c>
      <c r="B103" s="261" t="s">
        <v>0</v>
      </c>
      <c r="C103" s="751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165</v>
      </c>
      <c r="B104" s="264" t="s">
        <v>0</v>
      </c>
      <c r="C104" s="751" t="n">
        <f aca="false">PGL_Supplies!B7/1000</f>
        <v>10.499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496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43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497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288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289</v>
      </c>
      <c r="B109" s="261" t="n">
        <f aca="false">+B129</f>
        <v>1.16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290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291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498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375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499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500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376</v>
      </c>
      <c r="B116" s="667" t="n">
        <f aca="false">-PGL_Supplies!Z7/1000</f>
        <v>-41.16</v>
      </c>
      <c r="C116" s="667" t="n">
        <f aca="false">-NSG_Supplies!W7/1000</f>
        <v>-0</v>
      </c>
      <c r="D116" s="324" t="n">
        <f aca="false">-PGL_Supplies!Z7/1000</f>
        <v>-41.16</v>
      </c>
      <c r="E116" s="324" t="n">
        <f aca="false">-NSG_Supplies!W7/1000</f>
        <v>-0</v>
      </c>
      <c r="F116" s="324" t="n">
        <f aca="false">-PGL_Supplies!Z7/1000</f>
        <v>-41.16</v>
      </c>
      <c r="G116" s="324" t="n">
        <f aca="false">-NSG_Supplies!W7/1000</f>
        <v>-0</v>
      </c>
      <c r="H116" s="665" t="n">
        <f aca="false">-PGL_Supplies!Z7/1000</f>
        <v>-41.16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378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293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294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295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379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501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502</v>
      </c>
      <c r="B123" s="324" t="n">
        <f aca="false">-PGL_Supplies!X7/1000</f>
        <v>-0</v>
      </c>
      <c r="C123" s="324" t="n">
        <f aca="false">-NSG_Supplies!S7/1000</f>
        <v>-27.905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85</v>
      </c>
      <c r="D124" s="314"/>
      <c r="E124" s="315"/>
      <c r="F124" s="316" t="s">
        <v>296</v>
      </c>
      <c r="G124" s="316"/>
      <c r="H124" s="316"/>
      <c r="I124" s="316"/>
    </row>
    <row r="125" customFormat="false" ht="15" hidden="false" customHeight="false" outlineLevel="0" collapsed="false">
      <c r="A125" s="292" t="s">
        <v>381</v>
      </c>
      <c r="B125" s="324" t="n">
        <f aca="false">PGL_Requirements!U7/1000</f>
        <v>40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503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298</v>
      </c>
      <c r="G126" s="321"/>
      <c r="H126" s="348"/>
      <c r="I126" s="323"/>
    </row>
    <row r="127" customFormat="false" ht="15" hidden="false" customHeight="false" outlineLevel="0" collapsed="false">
      <c r="A127" s="292" t="s">
        <v>504</v>
      </c>
      <c r="B127" s="324" t="n">
        <f aca="false">PGL_Requirements!O7/1000</f>
        <v>57.782</v>
      </c>
      <c r="C127" s="324" t="s">
        <v>0</v>
      </c>
      <c r="D127" s="325"/>
      <c r="E127" s="326"/>
      <c r="F127" s="292" t="s">
        <v>300</v>
      </c>
      <c r="G127" s="321"/>
      <c r="H127" s="327"/>
      <c r="I127" s="323"/>
    </row>
    <row r="128" customFormat="false" ht="15" hidden="false" customHeight="false" outlineLevel="0" collapsed="false">
      <c r="A128" s="292" t="s">
        <v>375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302</v>
      </c>
      <c r="G128" s="321"/>
      <c r="H128" s="327"/>
      <c r="I128" s="323"/>
    </row>
    <row r="129" customFormat="false" ht="15" hidden="false" customHeight="false" outlineLevel="0" collapsed="false">
      <c r="A129" s="292" t="s">
        <v>311</v>
      </c>
      <c r="B129" s="324" t="n">
        <f aca="false">PGL_Requirements!C7/1000</f>
        <v>1.16</v>
      </c>
      <c r="C129" s="325"/>
      <c r="D129" s="325"/>
      <c r="E129" s="326"/>
      <c r="F129" s="292" t="s">
        <v>304</v>
      </c>
      <c r="G129" s="321"/>
      <c r="H129" s="327"/>
      <c r="I129" s="323"/>
    </row>
    <row r="130" customFormat="false" ht="15" hidden="false" customHeight="false" outlineLevel="0" collapsed="false">
      <c r="A130" s="292" t="s">
        <v>313</v>
      </c>
      <c r="B130" s="324" t="n">
        <f aca="false">PGL_Requirements!AA7/1000</f>
        <v>0</v>
      </c>
      <c r="C130" s="317"/>
      <c r="D130" s="325"/>
      <c r="E130" s="326"/>
      <c r="F130" s="292" t="s">
        <v>305</v>
      </c>
      <c r="G130" s="321"/>
      <c r="H130" s="327"/>
      <c r="I130" s="323"/>
    </row>
    <row r="131" customFormat="false" ht="15" hidden="false" customHeight="false" outlineLevel="0" collapsed="false">
      <c r="A131" s="8" t="s">
        <v>158</v>
      </c>
      <c r="B131" s="318" t="n">
        <f aca="false">PGL_Supplies!Z7/1000</f>
        <v>41.16</v>
      </c>
      <c r="C131" s="325"/>
      <c r="D131" s="325"/>
      <c r="E131" s="326"/>
      <c r="F131" s="342" t="s">
        <v>308</v>
      </c>
      <c r="G131" s="321"/>
      <c r="H131" s="327"/>
      <c r="I131" s="323"/>
    </row>
    <row r="132" customFormat="false" ht="15.75" hidden="false" customHeight="false" outlineLevel="0" collapsed="false">
      <c r="A132" s="292" t="s">
        <v>425</v>
      </c>
      <c r="B132" s="318" t="n">
        <f aca="false">PGL_Supplies!U7/1000</f>
        <v>0</v>
      </c>
      <c r="C132" s="330"/>
      <c r="D132" s="330"/>
      <c r="E132" s="331"/>
      <c r="F132" s="292" t="s">
        <v>310</v>
      </c>
      <c r="G132" s="321"/>
      <c r="H132" s="327"/>
      <c r="I132" s="323"/>
    </row>
    <row r="133" customFormat="false" ht="16.5" hidden="false" customHeight="false" outlineLevel="0" collapsed="false">
      <c r="A133" s="332" t="s">
        <v>303</v>
      </c>
      <c r="B133" s="353" t="n">
        <f aca="false">B126+B127+B130+B131+B132-B125-B128-B129</f>
        <v>57.782</v>
      </c>
      <c r="C133" s="335"/>
      <c r="D133" s="335"/>
      <c r="E133" s="336"/>
      <c r="F133" s="292" t="s">
        <v>312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86</v>
      </c>
      <c r="D134" s="357"/>
      <c r="E134" s="357" t="s">
        <v>0</v>
      </c>
      <c r="F134" s="760" t="s">
        <v>314</v>
      </c>
      <c r="G134" s="393"/>
      <c r="H134" s="327"/>
      <c r="I134" s="323"/>
    </row>
    <row r="135" customFormat="false" ht="15" hidden="false" customHeight="false" outlineLevel="0" collapsed="false">
      <c r="A135" s="292" t="s">
        <v>375</v>
      </c>
      <c r="B135" s="761" t="n">
        <f aca="false">PGL_Requirements!J7</f>
        <v>0</v>
      </c>
      <c r="C135" s="319"/>
      <c r="D135" s="319"/>
      <c r="E135" s="319"/>
      <c r="F135" s="351" t="s">
        <v>316</v>
      </c>
      <c r="G135" s="393"/>
      <c r="H135" s="352"/>
      <c r="I135" s="323"/>
    </row>
    <row r="136" customFormat="false" ht="15" hidden="false" customHeight="false" outlineLevel="0" collapsed="false">
      <c r="A136" s="292" t="s">
        <v>505</v>
      </c>
      <c r="B136" s="318" t="n">
        <f aca="false">NSG_Supplies!O7/1011</f>
        <v>0</v>
      </c>
      <c r="C136" s="325"/>
      <c r="D136" s="325"/>
      <c r="E136" s="325"/>
      <c r="F136" s="292" t="s">
        <v>317</v>
      </c>
      <c r="G136" s="321"/>
      <c r="H136" s="354"/>
      <c r="I136" s="323"/>
    </row>
    <row r="137" customFormat="false" ht="15" hidden="false" customHeight="false" outlineLevel="0" collapsed="false">
      <c r="A137" s="292" t="s">
        <v>506</v>
      </c>
      <c r="B137" s="318" t="n">
        <f aca="false">PGL_Supplies!AA7/1000</f>
        <v>0</v>
      </c>
      <c r="C137" s="317"/>
      <c r="D137" s="325"/>
      <c r="E137" s="325"/>
      <c r="F137" s="292" t="s">
        <v>318</v>
      </c>
      <c r="G137" s="321"/>
      <c r="H137" s="327"/>
      <c r="I137" s="323"/>
    </row>
    <row r="138" customFormat="false" ht="15" hidden="false" customHeight="false" outlineLevel="0" collapsed="false">
      <c r="A138" s="292" t="s">
        <v>322</v>
      </c>
      <c r="B138" s="761" t="n">
        <f aca="false">PGL_Requirements!D7</f>
        <v>0</v>
      </c>
      <c r="C138" s="325"/>
      <c r="D138" s="325"/>
      <c r="E138" s="325"/>
      <c r="F138" s="292" t="s">
        <v>50</v>
      </c>
      <c r="G138" s="321"/>
      <c r="H138" s="354"/>
      <c r="I138" s="323"/>
    </row>
    <row r="139" customFormat="false" ht="15" hidden="false" customHeight="false" outlineLevel="0" collapsed="false">
      <c r="A139" s="292" t="s">
        <v>324</v>
      </c>
      <c r="B139" s="318" t="n">
        <f aca="false">PGL_Supplies!D7/1000</f>
        <v>0</v>
      </c>
      <c r="C139" s="325"/>
      <c r="D139" s="325"/>
      <c r="E139" s="325"/>
      <c r="F139" s="342" t="s">
        <v>321</v>
      </c>
      <c r="G139" s="361"/>
      <c r="H139" s="362"/>
      <c r="I139" s="323"/>
    </row>
    <row r="140" customFormat="false" ht="15.75" hidden="false" customHeight="false" outlineLevel="0" collapsed="false">
      <c r="A140" s="292" t="s">
        <v>425</v>
      </c>
      <c r="B140" s="318" t="n">
        <f aca="false">PGL_Supplies!V7/1000</f>
        <v>225.76</v>
      </c>
      <c r="C140" s="330"/>
      <c r="D140" s="330"/>
      <c r="E140" s="330"/>
      <c r="F140" s="342" t="s">
        <v>323</v>
      </c>
      <c r="G140" s="361"/>
      <c r="H140" s="364"/>
      <c r="I140" s="323"/>
    </row>
    <row r="141" customFormat="false" ht="16.5" hidden="false" customHeight="false" outlineLevel="0" collapsed="false">
      <c r="A141" s="332" t="s">
        <v>303</v>
      </c>
      <c r="B141" s="762" t="n">
        <f aca="false">-B135+B136+B137-B138+B139+B140</f>
        <v>225.76</v>
      </c>
      <c r="C141" s="763"/>
      <c r="D141" s="335"/>
      <c r="E141" s="764"/>
      <c r="F141" s="365" t="s">
        <v>325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74</v>
      </c>
      <c r="D142" s="357"/>
      <c r="E142" s="357"/>
      <c r="F142" s="371" t="s">
        <v>0</v>
      </c>
      <c r="G142" s="372" t="s">
        <v>326</v>
      </c>
      <c r="H142" s="373" t="s">
        <v>0</v>
      </c>
      <c r="I142" s="373"/>
    </row>
    <row r="143" customFormat="false" ht="15" hidden="false" customHeight="false" outlineLevel="0" collapsed="false">
      <c r="A143" s="292" t="s">
        <v>92</v>
      </c>
      <c r="B143" s="318" t="n">
        <f aca="false">PGL_Requirements!P7/1000</f>
        <v>155.74</v>
      </c>
      <c r="C143" s="325"/>
      <c r="D143" s="325"/>
      <c r="E143" s="325"/>
      <c r="F143" s="374" t="s">
        <v>289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328</v>
      </c>
      <c r="B144" s="318" t="n">
        <f aca="false">PGL_Supplies!M7/1000</f>
        <v>0</v>
      </c>
      <c r="C144" s="325"/>
      <c r="D144" s="325"/>
      <c r="E144" s="325"/>
      <c r="F144" s="378" t="s">
        <v>327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330</v>
      </c>
      <c r="B145" s="318" t="n">
        <f aca="false">PGL_Requirements!B7/1000</f>
        <v>0</v>
      </c>
      <c r="C145" s="325"/>
      <c r="D145" s="325"/>
      <c r="E145" s="325"/>
      <c r="F145" s="380" t="s">
        <v>329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332</v>
      </c>
      <c r="B146" s="318" t="n">
        <f aca="false">PGL_Supplies!H7/1000</f>
        <v>0.209</v>
      </c>
      <c r="C146" s="325"/>
      <c r="D146" s="325"/>
      <c r="E146" s="325"/>
      <c r="F146" s="384" t="s">
        <v>331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290</v>
      </c>
      <c r="B147" s="318" t="s">
        <v>0</v>
      </c>
      <c r="C147" s="325"/>
      <c r="D147" s="325"/>
      <c r="E147" s="325"/>
      <c r="F147" s="386" t="s">
        <v>333</v>
      </c>
      <c r="G147" s="386"/>
      <c r="H147" s="386"/>
      <c r="I147" s="386"/>
    </row>
    <row r="148" customFormat="false" ht="15.75" hidden="false" customHeight="false" outlineLevel="0" collapsed="false">
      <c r="A148" s="292" t="s">
        <v>507</v>
      </c>
      <c r="B148" s="318" t="n">
        <f aca="false">PGL_Requirements!Q7/1000</f>
        <v>2.3361</v>
      </c>
      <c r="C148" s="330"/>
      <c r="D148" s="330"/>
      <c r="E148" s="330"/>
      <c r="F148" s="387" t="s">
        <v>335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331</v>
      </c>
      <c r="B149" s="391" t="n">
        <f aca="false">B144+B146</f>
        <v>0.209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339</v>
      </c>
      <c r="B150" s="768" t="n">
        <f aca="false">PGL_Deliveries!AE5</f>
        <v>0</v>
      </c>
      <c r="C150" s="322"/>
      <c r="D150" s="322"/>
      <c r="E150" s="396"/>
      <c r="F150" s="384" t="s">
        <v>331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341</v>
      </c>
      <c r="B151" s="768" t="n">
        <f aca="false">PGL_Deliveries!AG5</f>
        <v>0</v>
      </c>
      <c r="C151" s="400"/>
      <c r="D151" s="400"/>
      <c r="E151" s="400"/>
      <c r="F151" s="386" t="s">
        <v>337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42</v>
      </c>
      <c r="D152" s="688"/>
      <c r="E152" s="709" t="s">
        <v>0</v>
      </c>
      <c r="F152" s="387" t="s">
        <v>508</v>
      </c>
      <c r="G152" s="388"/>
      <c r="H152" s="447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509</v>
      </c>
      <c r="B153" s="379" t="n">
        <f aca="false">PGL_Requirements!N7/1000</f>
        <v>0</v>
      </c>
      <c r="C153" s="325"/>
      <c r="D153" s="325"/>
      <c r="E153" s="710"/>
      <c r="F153" s="770" t="s">
        <v>338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343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340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345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158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347</v>
      </c>
      <c r="B156" s="318" t="n">
        <f aca="false">PGL_Supplies!G7/1000</f>
        <v>0</v>
      </c>
      <c r="C156" s="716" t="s">
        <v>0</v>
      </c>
      <c r="D156" s="325"/>
      <c r="E156" s="408"/>
      <c r="F156" s="342" t="s">
        <v>425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510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511</v>
      </c>
      <c r="G157" s="772"/>
      <c r="H157" s="447"/>
      <c r="I157" s="773" t="n">
        <v>0</v>
      </c>
    </row>
    <row r="158" customFormat="false" ht="15.75" hidden="false" customHeight="false" outlineLevel="0" collapsed="false">
      <c r="A158" s="292" t="s">
        <v>512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513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158</v>
      </c>
      <c r="B159" s="318" t="n">
        <f aca="false">PGL_Supplies!AD7/1000</f>
        <v>0</v>
      </c>
      <c r="C159" s="716" t="s">
        <v>0</v>
      </c>
      <c r="D159" s="325"/>
      <c r="E159" s="408"/>
      <c r="F159" s="777" t="s">
        <v>484</v>
      </c>
      <c r="G159" s="777"/>
      <c r="H159" s="777"/>
      <c r="I159" s="777"/>
    </row>
    <row r="160" customFormat="false" ht="15.75" hidden="false" customHeight="false" outlineLevel="0" collapsed="false">
      <c r="A160" s="292" t="s">
        <v>425</v>
      </c>
      <c r="B160" s="778" t="n">
        <f aca="false">PGL_Supplies!Y7/1000</f>
        <v>152.629</v>
      </c>
      <c r="C160" s="418" t="s">
        <v>0</v>
      </c>
      <c r="D160" s="330"/>
      <c r="E160" s="419"/>
      <c r="F160" s="446" t="s">
        <v>359</v>
      </c>
      <c r="G160" s="375" t="s">
        <v>0</v>
      </c>
      <c r="H160" s="322"/>
      <c r="I160" s="448"/>
    </row>
    <row r="161" customFormat="false" ht="16.5" hidden="false" customHeight="false" outlineLevel="0" collapsed="false">
      <c r="A161" s="779" t="s">
        <v>514</v>
      </c>
      <c r="B161" s="320"/>
      <c r="C161" s="780" t="s">
        <v>0</v>
      </c>
      <c r="D161" s="781"/>
      <c r="E161" s="782"/>
      <c r="F161" s="783" t="s">
        <v>361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331</v>
      </c>
      <c r="B162" s="786" t="n">
        <f aca="false">B154+B156+B158+B159+B160-B153-B155-B157-B161</f>
        <v>152.629</v>
      </c>
      <c r="C162" s="727"/>
      <c r="D162" s="728"/>
      <c r="E162" s="787"/>
      <c r="F162" s="788" t="s">
        <v>488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364</v>
      </c>
      <c r="C163" s="791"/>
      <c r="D163" s="791" t="s">
        <v>365</v>
      </c>
      <c r="E163" s="791"/>
      <c r="F163" s="791"/>
      <c r="G163" s="791"/>
      <c r="H163" s="792" t="s">
        <v>265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515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516</v>
      </c>
      <c r="D5" s="9" t="s">
        <v>517</v>
      </c>
      <c r="F5" s="795" t="s">
        <v>518</v>
      </c>
      <c r="G5" s="9" t="s">
        <v>519</v>
      </c>
    </row>
    <row r="6" customFormat="false" ht="15" hidden="false" customHeight="false" outlineLevel="0" collapsed="false">
      <c r="D6" s="9" t="s">
        <v>520</v>
      </c>
      <c r="G6" s="9" t="s">
        <v>521</v>
      </c>
    </row>
    <row r="7" customFormat="false" ht="15" hidden="false" customHeight="false" outlineLevel="0" collapsed="false">
      <c r="D7" s="9" t="s">
        <v>521</v>
      </c>
    </row>
    <row r="8" customFormat="false" ht="15" hidden="false" customHeight="false" outlineLevel="0" collapsed="false">
      <c r="G8" s="9" t="s">
        <v>522</v>
      </c>
    </row>
    <row r="9" customFormat="false" ht="15" hidden="false" customHeight="false" outlineLevel="0" collapsed="false">
      <c r="D9" s="9" t="s">
        <v>523</v>
      </c>
      <c r="G9" s="9" t="s">
        <v>524</v>
      </c>
    </row>
    <row r="10" customFormat="false" ht="15" hidden="false" customHeight="false" outlineLevel="0" collapsed="false">
      <c r="D10" s="9" t="s">
        <v>525</v>
      </c>
    </row>
    <row r="11" customFormat="false" ht="15.75" hidden="false" customHeight="false" outlineLevel="0" collapsed="false">
      <c r="D11" s="795" t="s">
        <v>526</v>
      </c>
    </row>
    <row r="12" customFormat="false" ht="15.75" hidden="false" customHeight="false" outlineLevel="0" collapsed="false">
      <c r="D12" s="795" t="s">
        <v>527</v>
      </c>
    </row>
    <row r="14" customFormat="false" ht="30" hidden="false" customHeight="false" outlineLevel="0" collapsed="false">
      <c r="A14" s="794" t="s">
        <v>528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529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531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532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533</v>
      </c>
      <c r="D22" s="798" t="n">
        <f aca="true">NOW()</f>
        <v>45927.0033417728</v>
      </c>
      <c r="F22" s="9" t="s">
        <v>534</v>
      </c>
      <c r="G22" s="799" t="n">
        <f aca="true">NOW()</f>
        <v>45927.0033417729</v>
      </c>
    </row>
    <row r="24" customFormat="false" ht="15" hidden="false" customHeight="false" outlineLevel="0" collapsed="false">
      <c r="B24" s="9" t="s">
        <v>535</v>
      </c>
      <c r="D24" s="800" t="s">
        <v>536</v>
      </c>
      <c r="F24" s="9" t="s">
        <v>537</v>
      </c>
      <c r="G24" s="801" t="s">
        <v>538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539</v>
      </c>
    </row>
    <row r="27" customFormat="false" ht="15.75" hidden="false" customHeight="false" outlineLevel="0" collapsed="false">
      <c r="B27" s="802" t="s">
        <v>0</v>
      </c>
      <c r="C27" s="9" t="s">
        <v>540</v>
      </c>
    </row>
    <row r="28" customFormat="false" ht="15.75" hidden="false" customHeight="false" outlineLevel="0" collapsed="false">
      <c r="B28" s="802" t="s">
        <v>541</v>
      </c>
      <c r="C28" s="9" t="s">
        <v>542</v>
      </c>
    </row>
    <row r="29" customFormat="false" ht="15" hidden="false" customHeight="false" outlineLevel="0" collapsed="false">
      <c r="C29" s="9" t="s">
        <v>543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544</v>
      </c>
      <c r="E32" s="803" t="n">
        <v>35915</v>
      </c>
    </row>
    <row r="34" customFormat="false" ht="15.75" hidden="false" customHeight="false" outlineLevel="0" collapsed="false">
      <c r="B34" s="9" t="s">
        <v>545</v>
      </c>
      <c r="E34" s="804" t="n">
        <v>0</v>
      </c>
      <c r="F34" s="0" t="s">
        <v>546</v>
      </c>
    </row>
    <row r="36" customFormat="false" ht="15.75" hidden="false" customHeight="false" outlineLevel="0" collapsed="false">
      <c r="B36" s="9" t="s">
        <v>547</v>
      </c>
      <c r="E36" s="804" t="n">
        <v>15000</v>
      </c>
      <c r="F36" s="0" t="s">
        <v>546</v>
      </c>
    </row>
    <row r="38" customFormat="false" ht="15.75" hidden="false" customHeight="false" outlineLevel="0" collapsed="false">
      <c r="B38" s="0" t="s">
        <v>548</v>
      </c>
      <c r="E38" s="798" t="n">
        <f aca="false">+E32+1</f>
        <v>35916</v>
      </c>
      <c r="F38" s="804" t="n">
        <v>0</v>
      </c>
      <c r="G38" s="0" t="s">
        <v>546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546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546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546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546</v>
      </c>
    </row>
    <row r="44" customFormat="false" ht="15" hidden="false" customHeight="false" outlineLevel="0" collapsed="false">
      <c r="B44" s="9" t="s">
        <v>549</v>
      </c>
      <c r="D44" s="801" t="s">
        <v>550</v>
      </c>
      <c r="E44" s="801"/>
      <c r="F44" s="801"/>
      <c r="G44" s="801"/>
      <c r="H44" s="801"/>
    </row>
    <row r="45" customFormat="false" ht="15" hidden="false" customHeight="false" outlineLevel="0" collapsed="false">
      <c r="D45" s="801" t="s">
        <v>551</v>
      </c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382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552</v>
      </c>
      <c r="D49" s="806"/>
    </row>
    <row r="50" customFormat="false" ht="15" hidden="false" customHeight="false" outlineLevel="0" collapsed="false">
      <c r="B50" s="807"/>
      <c r="C50" s="805" t="s">
        <v>553</v>
      </c>
    </row>
    <row r="51" customFormat="false" ht="15" hidden="false" customHeight="false" outlineLevel="0" collapsed="false">
      <c r="B51" s="807"/>
      <c r="C51" s="805" t="s">
        <v>554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4" t="s">
        <v>515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516</v>
      </c>
      <c r="D5" s="9" t="s">
        <v>517</v>
      </c>
      <c r="F5" s="795" t="s">
        <v>518</v>
      </c>
      <c r="G5" s="9" t="s">
        <v>519</v>
      </c>
    </row>
    <row r="6" customFormat="false" ht="15" hidden="false" customHeight="false" outlineLevel="0" collapsed="false">
      <c r="D6" s="9" t="s">
        <v>520</v>
      </c>
      <c r="G6" s="9" t="s">
        <v>521</v>
      </c>
    </row>
    <row r="7" customFormat="false" ht="15" hidden="false" customHeight="false" outlineLevel="0" collapsed="false">
      <c r="D7" s="9" t="s">
        <v>521</v>
      </c>
    </row>
    <row r="8" customFormat="false" ht="15" hidden="false" customHeight="false" outlineLevel="0" collapsed="false">
      <c r="G8" s="9" t="s">
        <v>522</v>
      </c>
    </row>
    <row r="9" customFormat="false" ht="15" hidden="false" customHeight="false" outlineLevel="0" collapsed="false">
      <c r="D9" s="9" t="s">
        <v>523</v>
      </c>
      <c r="G9" s="9" t="s">
        <v>524</v>
      </c>
    </row>
    <row r="10" customFormat="false" ht="15" hidden="false" customHeight="false" outlineLevel="0" collapsed="false">
      <c r="D10" s="9" t="s">
        <v>525</v>
      </c>
    </row>
    <row r="11" customFormat="false" ht="15.75" hidden="false" customHeight="false" outlineLevel="0" collapsed="false">
      <c r="D11" s="795" t="s">
        <v>526</v>
      </c>
    </row>
    <row r="12" customFormat="false" ht="15.75" hidden="false" customHeight="false" outlineLevel="0" collapsed="false">
      <c r="D12" s="795" t="s">
        <v>527</v>
      </c>
    </row>
    <row r="14" customFormat="false" ht="30" hidden="false" customHeight="false" outlineLevel="0" collapsed="false">
      <c r="A14" s="794" t="s">
        <v>528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529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531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555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533</v>
      </c>
      <c r="D22" s="798" t="n">
        <f aca="true">NOW()</f>
        <v>45927.003341793</v>
      </c>
      <c r="F22" s="9" t="s">
        <v>534</v>
      </c>
      <c r="G22" s="799" t="n">
        <f aca="true">NOW()</f>
        <v>45927.0033417931</v>
      </c>
    </row>
    <row r="24" customFormat="false" ht="15" hidden="false" customHeight="false" outlineLevel="0" collapsed="false">
      <c r="B24" s="9" t="s">
        <v>535</v>
      </c>
      <c r="D24" s="800" t="s">
        <v>536</v>
      </c>
      <c r="E24" s="0" t="s">
        <v>0</v>
      </c>
      <c r="F24" s="9" t="s">
        <v>537</v>
      </c>
      <c r="G24" s="801" t="s">
        <v>538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539</v>
      </c>
    </row>
    <row r="27" customFormat="false" ht="15.75" hidden="false" customHeight="false" outlineLevel="0" collapsed="false">
      <c r="B27" s="802" t="s">
        <v>0</v>
      </c>
      <c r="C27" s="9" t="s">
        <v>540</v>
      </c>
    </row>
    <row r="28" customFormat="false" ht="15.75" hidden="false" customHeight="false" outlineLevel="0" collapsed="false">
      <c r="B28" s="802" t="s">
        <v>541</v>
      </c>
      <c r="C28" s="9" t="s">
        <v>542</v>
      </c>
    </row>
    <row r="29" customFormat="false" ht="15" hidden="false" customHeight="false" outlineLevel="0" collapsed="false">
      <c r="B29" s="0" t="s">
        <v>0</v>
      </c>
      <c r="C29" s="9" t="s">
        <v>543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544</v>
      </c>
      <c r="E32" s="803" t="n">
        <v>35915</v>
      </c>
    </row>
    <row r="34" customFormat="false" ht="15.75" hidden="false" customHeight="false" outlineLevel="0" collapsed="false">
      <c r="B34" s="9" t="s">
        <v>545</v>
      </c>
      <c r="E34" s="804" t="n">
        <v>0</v>
      </c>
      <c r="F34" s="0" t="s">
        <v>546</v>
      </c>
    </row>
    <row r="36" customFormat="false" ht="15.75" hidden="false" customHeight="false" outlineLevel="0" collapsed="false">
      <c r="B36" s="9" t="s">
        <v>547</v>
      </c>
      <c r="E36" s="804" t="n">
        <v>0</v>
      </c>
      <c r="F36" s="0" t="s">
        <v>546</v>
      </c>
    </row>
    <row r="38" customFormat="false" ht="15.75" hidden="false" customHeight="false" outlineLevel="0" collapsed="false">
      <c r="B38" s="0" t="s">
        <v>548</v>
      </c>
      <c r="E38" s="798" t="n">
        <f aca="false">+E32+1</f>
        <v>35916</v>
      </c>
      <c r="F38" s="804" t="n">
        <v>0</v>
      </c>
      <c r="G38" s="0" t="s">
        <v>546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546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546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546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546</v>
      </c>
    </row>
    <row r="44" customFormat="false" ht="15" hidden="false" customHeight="false" outlineLevel="0" collapsed="false">
      <c r="B44" s="9" t="s">
        <v>549</v>
      </c>
      <c r="D44" s="801"/>
      <c r="E44" s="801"/>
      <c r="F44" s="801"/>
      <c r="G44" s="801"/>
      <c r="H44" s="801"/>
    </row>
    <row r="45" customFormat="false" ht="15" hidden="false" customHeight="false" outlineLevel="0" collapsed="false">
      <c r="D45" s="801"/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382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552</v>
      </c>
      <c r="D49" s="806"/>
    </row>
    <row r="50" customFormat="false" ht="15" hidden="false" customHeight="false" outlineLevel="0" collapsed="false">
      <c r="B50" s="807"/>
      <c r="C50" s="805" t="s">
        <v>556</v>
      </c>
    </row>
    <row r="51" customFormat="false" ht="15" hidden="false" customHeight="false" outlineLevel="0" collapsed="false">
      <c r="B51" s="807"/>
      <c r="C51" s="805" t="s">
        <v>557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8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09" width="13.65"/>
    <col collapsed="false" customWidth="true" hidden="false" outlineLevel="0" max="7" min="7" style="27" width="8.21"/>
    <col collapsed="false" customWidth="false" hidden="false" outlineLevel="0" max="8" min="8" style="810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1" t="s">
        <v>558</v>
      </c>
      <c r="B1" s="27"/>
      <c r="C1" s="13"/>
      <c r="D1" s="812" t="s">
        <v>0</v>
      </c>
      <c r="E1" s="13"/>
      <c r="F1" s="16"/>
      <c r="G1" s="13"/>
      <c r="H1" s="813"/>
      <c r="I1" s="13"/>
    </row>
    <row r="2" customFormat="false" ht="15" hidden="false" customHeight="false" outlineLevel="0" collapsed="false">
      <c r="A2" s="13"/>
      <c r="B2" s="814"/>
      <c r="C2" s="13"/>
      <c r="D2" s="13"/>
      <c r="E2" s="13"/>
      <c r="F2" s="16"/>
      <c r="G2" s="13"/>
      <c r="H2" s="813"/>
      <c r="I2" s="13"/>
    </row>
    <row r="3" customFormat="false" ht="15" hidden="false" customHeight="false" outlineLevel="0" collapsed="false">
      <c r="A3" s="815" t="s">
        <v>8</v>
      </c>
      <c r="B3" s="816" t="s">
        <v>0</v>
      </c>
      <c r="C3" s="13"/>
      <c r="D3" s="13"/>
      <c r="E3" s="13"/>
      <c r="F3" s="16"/>
      <c r="G3" s="13"/>
      <c r="H3" s="813"/>
      <c r="I3" s="13"/>
    </row>
    <row r="4" customFormat="false" ht="15" hidden="false" customHeight="false" outlineLevel="0" collapsed="false">
      <c r="A4" s="13"/>
      <c r="B4" s="816"/>
      <c r="C4" s="13"/>
      <c r="D4" s="817" t="s">
        <v>559</v>
      </c>
      <c r="E4" s="817"/>
      <c r="F4" s="817" t="s">
        <v>560</v>
      </c>
      <c r="G4" s="817"/>
      <c r="H4" s="818"/>
      <c r="I4" s="819" t="s">
        <v>561</v>
      </c>
    </row>
    <row r="5" customFormat="false" ht="15" hidden="false" customHeight="false" outlineLevel="0" collapsed="false">
      <c r="A5" s="814" t="str">
        <f aca="false">CHOOSE(WEEKDAY(B5),"Sunday","Monday","Tuesday","Wednesday","Thursday","Friday","Saturday")</f>
        <v>Friday</v>
      </c>
      <c r="B5" s="820" t="n">
        <f aca="false">Weather_Input!A5</f>
        <v>37008</v>
      </c>
      <c r="C5" s="13"/>
      <c r="D5" s="821" t="s">
        <v>562</v>
      </c>
      <c r="E5" s="822" t="n">
        <f aca="false">Weather_Input!B5</f>
        <v>62</v>
      </c>
      <c r="F5" s="823" t="s">
        <v>563</v>
      </c>
      <c r="G5" s="824" t="n">
        <f aca="false">Weather_Input!H5</f>
        <v>13</v>
      </c>
      <c r="H5" s="825" t="s">
        <v>564</v>
      </c>
      <c r="I5" s="826" t="n">
        <f aca="true">G5-(VLOOKUP(B5,DD_Normal_Data,CELL("Col",B6),FALSE()))</f>
        <v>1</v>
      </c>
    </row>
    <row r="6" customFormat="false" ht="15" hidden="false" customHeight="false" outlineLevel="0" collapsed="false">
      <c r="A6" s="814"/>
      <c r="B6" s="820"/>
      <c r="C6" s="13"/>
      <c r="D6" s="821" t="s">
        <v>272</v>
      </c>
      <c r="E6" s="822" t="n">
        <f aca="false">Weather_Input!C5</f>
        <v>42</v>
      </c>
      <c r="F6" s="823" t="s">
        <v>565</v>
      </c>
      <c r="G6" s="824" t="n">
        <f aca="false">Weather_Input!F5</f>
        <v>358</v>
      </c>
      <c r="H6" s="825" t="s">
        <v>566</v>
      </c>
      <c r="I6" s="826" t="n">
        <f aca="true">G6-(VLOOKUP(B5,DD_Normal_Data,CELL("Col",C7),FALSE()))</f>
        <v>-109</v>
      </c>
      <c r="J6" s="827"/>
      <c r="DE6" s="27" t="s">
        <v>11</v>
      </c>
    </row>
    <row r="7" customFormat="false" ht="15" hidden="false" customHeight="false" outlineLevel="0" collapsed="false">
      <c r="A7" s="814"/>
      <c r="B7" s="820"/>
      <c r="C7" s="13"/>
      <c r="D7" s="821" t="s">
        <v>567</v>
      </c>
      <c r="E7" s="822" t="n">
        <f aca="false">IF(Weather_Input!E5="N/A",(Weather_Input!C5+Weather_Input!B5)/2,Weather_Input!E5)</f>
        <v>52.3</v>
      </c>
      <c r="F7" s="823" t="s">
        <v>568</v>
      </c>
      <c r="G7" s="824" t="n">
        <f aca="false">Weather_Input!G5</f>
        <v>6391</v>
      </c>
      <c r="H7" s="825" t="s">
        <v>568</v>
      </c>
      <c r="I7" s="828" t="n">
        <f aca="true">G7-(VLOOKUP(B5,DD_Normal_Data,CELL("Col",D4),FALSE()))</f>
        <v>276</v>
      </c>
      <c r="J7" s="828"/>
    </row>
    <row r="8" customFormat="false" ht="15" hidden="false" customHeight="false" outlineLevel="0" collapsed="false">
      <c r="A8" s="814"/>
      <c r="B8" s="816"/>
      <c r="C8" s="13"/>
      <c r="D8" s="829" t="str">
        <f aca="false">IF(Weather_Input!I5=""," ",Weather_Input!I5)</f>
        <v>  TODAY - MOSTLY SUNNY WITH A WARM BREEZE.</v>
      </c>
      <c r="E8" s="830"/>
      <c r="F8" s="822"/>
      <c r="G8" s="824"/>
      <c r="H8" s="825"/>
      <c r="I8" s="826"/>
    </row>
    <row r="9" customFormat="false" ht="15" hidden="false" customHeight="false" outlineLevel="0" collapsed="false">
      <c r="A9" s="814"/>
      <c r="B9" s="820"/>
      <c r="C9" s="13"/>
      <c r="D9" s="829" t="str">
        <f aca="false">IF(Weather_Input!J5=""," ",Weather_Input!J5)</f>
        <v>  TONIGHT - MAINLY CLEAR AND COOL.</v>
      </c>
      <c r="E9" s="831"/>
      <c r="F9" s="824"/>
      <c r="G9" s="824"/>
      <c r="H9" s="825"/>
      <c r="I9" s="826"/>
    </row>
    <row r="10" customFormat="false" ht="15" hidden="false" customHeight="false" outlineLevel="0" collapsed="false">
      <c r="A10" s="814" t="str">
        <f aca="false">CHOOSE(WEEKDAY(B10),"Sunday","Monday","Tuesday","Wednesday","Thursday","Friday","Saturday")</f>
        <v>Saturday</v>
      </c>
      <c r="B10" s="820" t="n">
        <f aca="false">Weather_Input!A6</f>
        <v>37009</v>
      </c>
      <c r="C10" s="13"/>
      <c r="D10" s="821" t="s">
        <v>562</v>
      </c>
      <c r="E10" s="822" t="n">
        <f aca="false">Weather_Input!B6</f>
        <v>67</v>
      </c>
      <c r="F10" s="823" t="s">
        <v>563</v>
      </c>
      <c r="G10" s="824" t="n">
        <f aca="false">IF(E12&lt;65,65-(Weather_Input!B6+Weather_Input!C6)/2,0)</f>
        <v>7.5</v>
      </c>
      <c r="H10" s="825" t="s">
        <v>564</v>
      </c>
      <c r="I10" s="826" t="n">
        <f aca="true">G10-(VLOOKUP(B10,DD_Normal_Data,CELL("Col",B11),FALSE()))</f>
        <v>-4.5</v>
      </c>
    </row>
    <row r="11" customFormat="false" ht="15" hidden="false" customHeight="false" outlineLevel="0" collapsed="false">
      <c r="A11" s="814"/>
      <c r="B11" s="820"/>
      <c r="C11" s="13"/>
      <c r="D11" s="821" t="s">
        <v>272</v>
      </c>
      <c r="E11" s="822" t="n">
        <f aca="false">Weather_Input!C6</f>
        <v>48</v>
      </c>
      <c r="F11" s="823" t="s">
        <v>565</v>
      </c>
      <c r="G11" s="824" t="n">
        <f aca="false">IF(DAY(B10)=1,G10,G6+G10)</f>
        <v>365.5</v>
      </c>
      <c r="H11" s="825" t="s">
        <v>566</v>
      </c>
      <c r="I11" s="826" t="n">
        <f aca="true">G11-(VLOOKUP(B10,DD_Normal_Data,CELL("Col",C12),FALSE()))</f>
        <v>-113.5</v>
      </c>
      <c r="DE11" s="27" t="s">
        <v>569</v>
      </c>
    </row>
    <row r="12" customFormat="false" ht="15" hidden="false" customHeight="false" outlineLevel="0" collapsed="false">
      <c r="A12" s="814"/>
      <c r="B12" s="816"/>
      <c r="C12" s="13"/>
      <c r="D12" s="821" t="s">
        <v>567</v>
      </c>
      <c r="E12" s="822" t="n">
        <f aca="false">(Weather_Input!C6+Weather_Input!B6)/2</f>
        <v>57.5</v>
      </c>
      <c r="F12" s="823" t="s">
        <v>568</v>
      </c>
      <c r="G12" s="824" t="n">
        <f aca="false">IF(AND(DAY(B10)=1,MONTH(B10)=8),G10,G7+G10)</f>
        <v>6398.5</v>
      </c>
      <c r="H12" s="825" t="s">
        <v>568</v>
      </c>
      <c r="I12" s="826" t="n">
        <f aca="true">G12-(VLOOKUP(B10,DD_Normal_Data,CELL("Col",D9),FALSE()))</f>
        <v>271.5</v>
      </c>
    </row>
    <row r="13" customFormat="false" ht="15" hidden="false" customHeight="false" outlineLevel="0" collapsed="false">
      <c r="A13" s="814"/>
      <c r="B13" s="820"/>
      <c r="C13" s="13"/>
      <c r="D13" s="829" t="str">
        <f aca="false">IF(Weather_Input!I6=""," ",Weather_Input!I6)</f>
        <v>  INTERVALS OF CLOUDS AND SUN.</v>
      </c>
      <c r="E13" s="822"/>
      <c r="F13" s="822"/>
      <c r="G13" s="824"/>
      <c r="H13" s="825"/>
      <c r="I13" s="826"/>
    </row>
    <row r="14" customFormat="false" ht="15" hidden="false" customHeight="false" outlineLevel="0" collapsed="false">
      <c r="A14" s="814"/>
      <c r="B14" s="820"/>
      <c r="C14" s="13"/>
      <c r="D14" s="829" t="str">
        <f aca="false">IF(Weather_Input!J6=""," ",Weather_Input!J6)</f>
        <v> </v>
      </c>
      <c r="E14" s="822"/>
      <c r="F14" s="824"/>
      <c r="G14" s="824"/>
      <c r="H14" s="825"/>
      <c r="I14" s="826"/>
    </row>
    <row r="15" customFormat="false" ht="15" hidden="false" customHeight="false" outlineLevel="0" collapsed="false">
      <c r="A15" s="814" t="str">
        <f aca="false">CHOOSE(WEEKDAY(B15),"Sunday","Monday","Tuesday","Wednesday","Thursday","Friday","Saturday")</f>
        <v>Sunday</v>
      </c>
      <c r="B15" s="820" t="n">
        <f aca="false">Weather_Input!A7</f>
        <v>37010</v>
      </c>
      <c r="C15" s="13"/>
      <c r="D15" s="821" t="s">
        <v>562</v>
      </c>
      <c r="E15" s="822" t="n">
        <f aca="false">Weather_Input!B7</f>
        <v>78</v>
      </c>
      <c r="F15" s="823" t="s">
        <v>563</v>
      </c>
      <c r="G15" s="824" t="n">
        <f aca="false">IF(E17&lt;65,65-(Weather_Input!B7+Weather_Input!C7)/2,0)</f>
        <v>0</v>
      </c>
      <c r="H15" s="825" t="s">
        <v>564</v>
      </c>
      <c r="I15" s="826" t="n">
        <f aca="true">G15-(VLOOKUP(B15,DD_Normal_Data,CELL("Col",B16),FALSE()))</f>
        <v>-12</v>
      </c>
    </row>
    <row r="16" customFormat="false" ht="15" hidden="false" customHeight="false" outlineLevel="0" collapsed="false">
      <c r="A16" s="814"/>
      <c r="B16" s="816"/>
      <c r="C16" s="13"/>
      <c r="D16" s="821" t="s">
        <v>272</v>
      </c>
      <c r="E16" s="822" t="n">
        <f aca="false">Weather_Input!C7</f>
        <v>56</v>
      </c>
      <c r="F16" s="823" t="s">
        <v>565</v>
      </c>
      <c r="G16" s="824" t="n">
        <f aca="false">IF(DAY(B15)=1,G15,G11+G15)</f>
        <v>365.5</v>
      </c>
      <c r="H16" s="825" t="s">
        <v>566</v>
      </c>
      <c r="I16" s="826" t="n">
        <f aca="true">G16-(VLOOKUP(B15,DD_Normal_Data,CELL("Col",C17),FALSE()))</f>
        <v>-125.5</v>
      </c>
      <c r="DE16" s="27" t="s">
        <v>31</v>
      </c>
    </row>
    <row r="17" customFormat="false" ht="15" hidden="false" customHeight="false" outlineLevel="0" collapsed="false">
      <c r="A17" s="814"/>
      <c r="B17" s="820"/>
      <c r="C17" s="13"/>
      <c r="D17" s="821" t="s">
        <v>567</v>
      </c>
      <c r="E17" s="822" t="n">
        <f aca="false">(Weather_Input!C7+Weather_Input!B7)/2</f>
        <v>67</v>
      </c>
      <c r="F17" s="823" t="s">
        <v>568</v>
      </c>
      <c r="G17" s="824" t="n">
        <f aca="false">IF(AND(DAY(B15)=1,MONTH(B15)=8),G15,G12+G15)</f>
        <v>6398.5</v>
      </c>
      <c r="H17" s="825" t="s">
        <v>568</v>
      </c>
      <c r="I17" s="826" t="n">
        <f aca="true">G17-(VLOOKUP(B15,DD_Normal_Data,CELL("Col",D14),FALSE()))</f>
        <v>259.5</v>
      </c>
    </row>
    <row r="18" customFormat="false" ht="15" hidden="false" customHeight="false" outlineLevel="0" collapsed="false">
      <c r="A18" s="814"/>
      <c r="B18" s="816"/>
      <c r="C18" s="13"/>
      <c r="D18" s="829" t="str">
        <f aca="false">IF(Weather_Input!I7=""," ",Weather_Input!I7)</f>
        <v>  SEVERAL HOURS OF SUNSHINE.</v>
      </c>
      <c r="E18" s="822"/>
      <c r="F18" s="822"/>
      <c r="G18" s="824"/>
      <c r="H18" s="825"/>
      <c r="I18" s="826"/>
    </row>
    <row r="19" customFormat="false" ht="15" hidden="false" customHeight="false" outlineLevel="0" collapsed="false">
      <c r="A19" s="814"/>
      <c r="B19" s="820"/>
      <c r="C19" s="13"/>
      <c r="D19" s="829" t="str">
        <f aca="false">IF(Weather_Input!J7=""," ",Weather_Input!J7)</f>
        <v> </v>
      </c>
      <c r="E19" s="822"/>
      <c r="F19" s="822"/>
      <c r="G19" s="824"/>
      <c r="H19" s="825"/>
      <c r="I19" s="826"/>
    </row>
    <row r="20" customFormat="false" ht="15" hidden="false" customHeight="false" outlineLevel="0" collapsed="false">
      <c r="A20" s="814" t="str">
        <f aca="false">CHOOSE(WEEKDAY(B20),"Sunday","Monday","Tuesday","Wednesday","Thursday","Friday","Saturday")</f>
        <v>Monday</v>
      </c>
      <c r="B20" s="820" t="n">
        <f aca="false">Weather_Input!A8</f>
        <v>37011</v>
      </c>
      <c r="C20" s="13"/>
      <c r="D20" s="821" t="s">
        <v>562</v>
      </c>
      <c r="E20" s="822" t="n">
        <f aca="false">Weather_Input!B8</f>
        <v>82</v>
      </c>
      <c r="F20" s="823" t="s">
        <v>563</v>
      </c>
      <c r="G20" s="824" t="n">
        <f aca="false">IF(E22&lt;65,65-(Weather_Input!B8+Weather_Input!C8)/2,0)</f>
        <v>0</v>
      </c>
      <c r="H20" s="825" t="s">
        <v>564</v>
      </c>
      <c r="I20" s="826" t="n">
        <f aca="true">G20-(VLOOKUP(B20,DD_Normal_Data,CELL("Col",B21),FALSE()))</f>
        <v>-12</v>
      </c>
    </row>
    <row r="21" customFormat="false" ht="15" hidden="false" customHeight="false" outlineLevel="0" collapsed="false">
      <c r="A21" s="814"/>
      <c r="B21" s="820"/>
      <c r="C21" s="13"/>
      <c r="D21" s="821" t="s">
        <v>272</v>
      </c>
      <c r="E21" s="822" t="n">
        <f aca="false">Weather_Input!C8</f>
        <v>58</v>
      </c>
      <c r="F21" s="823" t="s">
        <v>565</v>
      </c>
      <c r="G21" s="824" t="n">
        <f aca="false">IF(DAY(B20)=1,G20,G16+G20)</f>
        <v>365.5</v>
      </c>
      <c r="H21" s="825" t="s">
        <v>566</v>
      </c>
      <c r="I21" s="826" t="n">
        <f aca="true">G21-(VLOOKUP(B20,DD_Normal_Data,CELL("Col",C22),FALSE()))</f>
        <v>-137.5</v>
      </c>
      <c r="DE21" s="27" t="s">
        <v>570</v>
      </c>
    </row>
    <row r="22" customFormat="false" ht="15" hidden="false" customHeight="false" outlineLevel="0" collapsed="false">
      <c r="A22" s="814"/>
      <c r="B22" s="820"/>
      <c r="C22" s="13"/>
      <c r="D22" s="821" t="s">
        <v>567</v>
      </c>
      <c r="E22" s="822" t="n">
        <f aca="false">(Weather_Input!C8+Weather_Input!B8)/2</f>
        <v>70</v>
      </c>
      <c r="F22" s="823" t="s">
        <v>568</v>
      </c>
      <c r="G22" s="824" t="n">
        <f aca="false">IF(AND(DAY(B20)=1,MONTH(B20)=8),G20,G17+G20)</f>
        <v>6398.5</v>
      </c>
      <c r="H22" s="825" t="s">
        <v>568</v>
      </c>
      <c r="I22" s="826" t="n">
        <f aca="true">G22-(VLOOKUP(B20,DD_Normal_Data,CELL("Col",D19),FALSE()))</f>
        <v>247.5</v>
      </c>
    </row>
    <row r="23" customFormat="false" ht="15" hidden="false" customHeight="false" outlineLevel="0" collapsed="false">
      <c r="A23" s="814"/>
      <c r="B23" s="820"/>
      <c r="C23" s="13"/>
      <c r="D23" s="829" t="str">
        <f aca="false">IF(Weather_Input!I8=""," ",Weather_Input!I8)</f>
        <v>  SOME SUNSHINE WITH A CHANCE OF A THUNDERSTORM IN THE AFTERNOON.</v>
      </c>
      <c r="E23" s="824"/>
      <c r="F23" s="822"/>
      <c r="G23" s="824"/>
      <c r="H23" s="825"/>
      <c r="I23" s="826"/>
    </row>
    <row r="24" customFormat="false" ht="15" hidden="false" customHeight="false" outlineLevel="0" collapsed="false">
      <c r="A24" s="814"/>
      <c r="B24" s="816"/>
      <c r="C24" s="13"/>
      <c r="D24" s="829" t="str">
        <f aca="false">IF(Weather_Input!J8=""," ",Weather_Input!J8)</f>
        <v> </v>
      </c>
      <c r="E24" s="824"/>
      <c r="F24" s="822"/>
      <c r="G24" s="824"/>
      <c r="H24" s="825"/>
      <c r="I24" s="826"/>
    </row>
    <row r="25" customFormat="false" ht="15" hidden="false" customHeight="false" outlineLevel="0" collapsed="false">
      <c r="A25" s="814" t="str">
        <f aca="false">CHOOSE(WEEKDAY(B25),"Sunday","Monday","Tuesday","Wednesday","Thursday","Friday","Saturday")</f>
        <v>Tuesday</v>
      </c>
      <c r="B25" s="820" t="n">
        <f aca="false">Weather_Input!A9</f>
        <v>37012</v>
      </c>
      <c r="C25" s="13"/>
      <c r="D25" s="821" t="s">
        <v>562</v>
      </c>
      <c r="E25" s="822" t="n">
        <f aca="false">Weather_Input!B9</f>
        <v>84</v>
      </c>
      <c r="F25" s="823" t="s">
        <v>563</v>
      </c>
      <c r="G25" s="824" t="n">
        <f aca="false">IF(E27&lt;65,65-(Weather_Input!B9+Weather_Input!C9)/2,0)</f>
        <v>0</v>
      </c>
      <c r="H25" s="825" t="s">
        <v>564</v>
      </c>
      <c r="I25" s="826" t="n">
        <f aca="true">G25-(VLOOKUP(B25,DD_Normal_Data,CELL("Col",B26),FALSE()))</f>
        <v>-11</v>
      </c>
    </row>
    <row r="26" customFormat="false" ht="15" hidden="false" customHeight="false" outlineLevel="0" collapsed="false">
      <c r="A26" s="814"/>
      <c r="B26" s="820"/>
      <c r="C26" s="13"/>
      <c r="D26" s="821" t="s">
        <v>272</v>
      </c>
      <c r="E26" s="822" t="n">
        <f aca="false">Weather_Input!C9</f>
        <v>64</v>
      </c>
      <c r="F26" s="823" t="s">
        <v>565</v>
      </c>
      <c r="G26" s="824" t="n">
        <f aca="false">IF(DAY(B25)=1,G25,G21+G25)</f>
        <v>0</v>
      </c>
      <c r="H26" s="825" t="s">
        <v>566</v>
      </c>
      <c r="I26" s="826" t="n">
        <f aca="true">G26-(VLOOKUP(B25,DD_Normal_Data,CELL("Col",C27),FALSE()))</f>
        <v>-11</v>
      </c>
      <c r="DE26" s="27" t="s">
        <v>571</v>
      </c>
    </row>
    <row r="27" customFormat="false" ht="15" hidden="false" customHeight="false" outlineLevel="0" collapsed="false">
      <c r="A27" s="814"/>
      <c r="B27" s="816"/>
      <c r="C27" s="13"/>
      <c r="D27" s="821" t="s">
        <v>567</v>
      </c>
      <c r="E27" s="822" t="n">
        <f aca="false">(Weather_Input!C9+Weather_Input!B9)/2</f>
        <v>74</v>
      </c>
      <c r="F27" s="823" t="s">
        <v>568</v>
      </c>
      <c r="G27" s="824" t="n">
        <f aca="false">IF(AND(DAY(B25)=1,MONTH(B25)=8),G25,G22+G25)</f>
        <v>6398.5</v>
      </c>
      <c r="H27" s="825" t="s">
        <v>568</v>
      </c>
      <c r="I27" s="826" t="n">
        <f aca="true">G27-(VLOOKUP(B25,DD_Normal_Data,CELL("Col",D24),FALSE()))</f>
        <v>236.5</v>
      </c>
    </row>
    <row r="28" customFormat="false" ht="15" hidden="false" customHeight="false" outlineLevel="0" collapsed="false">
      <c r="A28" s="814"/>
      <c r="B28" s="816"/>
      <c r="C28" s="13"/>
      <c r="D28" s="829" t="str">
        <f aca="false">IF(Weather_Input!I9=""," ",Weather_Input!I9)</f>
        <v>  PARTLY SUNNY.</v>
      </c>
      <c r="E28" s="824"/>
      <c r="F28" s="822"/>
      <c r="G28" s="824"/>
      <c r="H28" s="825"/>
      <c r="I28" s="826"/>
    </row>
    <row r="29" customFormat="false" ht="15" hidden="false" customHeight="false" outlineLevel="0" collapsed="false">
      <c r="A29" s="814"/>
      <c r="B29" s="816"/>
      <c r="C29" s="13"/>
      <c r="D29" s="829" t="str">
        <f aca="false">IF(Weather_Input!J9=""," ",Weather_Input!J9)</f>
        <v> </v>
      </c>
      <c r="E29" s="824"/>
      <c r="F29" s="824"/>
      <c r="G29" s="824"/>
      <c r="H29" s="825"/>
      <c r="I29" s="826"/>
    </row>
    <row r="30" customFormat="false" ht="15" hidden="false" customHeight="false" outlineLevel="0" collapsed="false">
      <c r="A30" s="814" t="str">
        <f aca="false">CHOOSE(WEEKDAY(B30),"Sunday","Monday","Tuesday","Wednesday","Thursday","Friday","Saturday")</f>
        <v>Wednesday</v>
      </c>
      <c r="B30" s="820" t="n">
        <f aca="false">Weather_Input!A10</f>
        <v>37013</v>
      </c>
      <c r="C30" s="13"/>
      <c r="D30" s="821" t="s">
        <v>562</v>
      </c>
      <c r="E30" s="822" t="n">
        <f aca="false">Weather_Input!B10</f>
        <v>84</v>
      </c>
      <c r="F30" s="823" t="s">
        <v>563</v>
      </c>
      <c r="G30" s="824" t="n">
        <f aca="false">IF(E32&lt;65,65-(Weather_Input!B10+Weather_Input!C10)/2,0)</f>
        <v>0</v>
      </c>
      <c r="H30" s="825" t="s">
        <v>564</v>
      </c>
      <c r="I30" s="826" t="n">
        <f aca="true">G30-(VLOOKUP(B30,DD_Normal_Data,CELL("Col",B31),FALSE()))</f>
        <v>-11</v>
      </c>
    </row>
    <row r="31" customFormat="false" ht="15" hidden="false" customHeight="false" outlineLevel="0" collapsed="false">
      <c r="A31" s="13"/>
      <c r="B31" s="13"/>
      <c r="C31" s="13"/>
      <c r="D31" s="821" t="s">
        <v>272</v>
      </c>
      <c r="E31" s="822" t="n">
        <f aca="false">Weather_Input!C10</f>
        <v>64</v>
      </c>
      <c r="F31" s="823" t="s">
        <v>565</v>
      </c>
      <c r="G31" s="824" t="n">
        <f aca="false">IF(DAY(B30)=1,G30,G26+G30)</f>
        <v>0</v>
      </c>
      <c r="H31" s="825" t="s">
        <v>566</v>
      </c>
      <c r="I31" s="826" t="n">
        <f aca="true">G31-(VLOOKUP(B30,DD_Normal_Data,CELL("Col",C32),FALSE()))</f>
        <v>-22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1" t="s">
        <v>567</v>
      </c>
      <c r="E32" s="822" t="n">
        <f aca="false">(Weather_Input!C10+Weather_Input!B10)/2</f>
        <v>74</v>
      </c>
      <c r="F32" s="823" t="s">
        <v>568</v>
      </c>
      <c r="G32" s="824" t="n">
        <f aca="false">IF(AND(DAY(B30)=1,MONTH(B30)=8),G30,G27+G30)</f>
        <v>6398.5</v>
      </c>
      <c r="H32" s="825" t="s">
        <v>568</v>
      </c>
      <c r="I32" s="826" t="n">
        <f aca="true">G32-(VLOOKUP(B30,DD_Normal_Data,CELL("Col",D29),FALSE()))</f>
        <v>225.5</v>
      </c>
    </row>
    <row r="33" customFormat="false" ht="15" hidden="false" customHeight="false" outlineLevel="0" collapsed="false">
      <c r="A33" s="13"/>
      <c r="B33" s="832"/>
      <c r="C33" s="13"/>
      <c r="D33" s="829" t="str">
        <f aca="false">IF(Weather_Input!I10=""," ",Weather_Input!I10)</f>
        <v>  PARTLY SUNNY.</v>
      </c>
      <c r="E33" s="13"/>
      <c r="F33" s="833"/>
      <c r="G33" s="13"/>
      <c r="H33" s="813"/>
      <c r="I33" s="13"/>
    </row>
    <row r="34" customFormat="false" ht="15.75" hidden="false" customHeight="false" outlineLevel="0" collapsed="false">
      <c r="A34" s="834"/>
      <c r="B34" s="835"/>
      <c r="C34" s="834"/>
      <c r="D34" s="836" t="str">
        <f aca="false">IF(Weather_Input!J10=""," ",Weather_Input!J10)</f>
        <v> </v>
      </c>
      <c r="E34" s="834"/>
      <c r="F34" s="837"/>
      <c r="G34" s="834"/>
      <c r="H34" s="838"/>
      <c r="I34" s="835"/>
    </row>
    <row r="35" customFormat="false" ht="15" hidden="false" customHeight="false" outlineLevel="0" collapsed="false">
      <c r="A35" s="815" t="s">
        <v>572</v>
      </c>
      <c r="B35" s="814" t="s">
        <v>246</v>
      </c>
      <c r="C35" s="13"/>
      <c r="D35" s="13"/>
      <c r="E35" s="13"/>
      <c r="F35" s="16"/>
      <c r="G35" s="839"/>
      <c r="H35" s="839"/>
      <c r="I35" s="13"/>
    </row>
    <row r="36" customFormat="false" ht="15" hidden="false" customHeight="false" outlineLevel="0" collapsed="false">
      <c r="A36" s="840" t="s">
        <v>63</v>
      </c>
      <c r="B36" s="841" t="n">
        <f aca="false">B5</f>
        <v>37008</v>
      </c>
      <c r="C36" s="841" t="n">
        <f aca="false">B10</f>
        <v>37009</v>
      </c>
      <c r="D36" s="841" t="n">
        <f aca="false">B15</f>
        <v>37010</v>
      </c>
      <c r="E36" s="841" t="n">
        <f aca="false">B20</f>
        <v>37011</v>
      </c>
      <c r="F36" s="841" t="n">
        <f aca="false">B25</f>
        <v>37012</v>
      </c>
      <c r="G36" s="841" t="n">
        <f aca="false">B30</f>
        <v>37013</v>
      </c>
      <c r="H36" s="27"/>
      <c r="I36" s="13"/>
    </row>
    <row r="37" customFormat="false" ht="15" hidden="false" customHeight="false" outlineLevel="0" collapsed="false">
      <c r="A37" s="13" t="s">
        <v>70</v>
      </c>
      <c r="B37" s="842" t="n">
        <f aca="true">(VLOOKUP(B36,PGL_Sendouts,(CELL("COL",PGL_Deliveries!C6))))/1000</f>
        <v>320</v>
      </c>
      <c r="C37" s="842" t="n">
        <f aca="true">(VLOOKUP(C36,PGL_Sendouts,(CELL("COL",PGL_Deliveries!C7))))/1000</f>
        <v>270</v>
      </c>
      <c r="D37" s="842" t="n">
        <f aca="true">(VLOOKUP(D36,PGL_Sendouts,(CELL("COL",PGL_Deliveries!C8))))/1000</f>
        <v>235</v>
      </c>
      <c r="E37" s="842" t="n">
        <f aca="true">(VLOOKUP(E36,PGL_Sendouts,(CELL("COL",PGL_Deliveries!C9))))/1000</f>
        <v>250</v>
      </c>
      <c r="F37" s="842" t="n">
        <f aca="true">(VLOOKUP(F36,PGL_Sendouts,(CELL("COL",PGL_Deliveries!C10))))/1000</f>
        <v>240</v>
      </c>
      <c r="G37" s="842" t="n">
        <f aca="true">(VLOOKUP(G36,PGL_Sendouts,(CELL("COL",PGL_Deliveries!C10))))/1000</f>
        <v>240</v>
      </c>
      <c r="H37" s="27"/>
      <c r="I37" s="13"/>
    </row>
    <row r="38" customFormat="false" ht="15" hidden="false" customHeight="false" outlineLevel="0" collapsed="false">
      <c r="A38" s="13" t="s">
        <v>573</v>
      </c>
      <c r="B38" s="842" t="n">
        <f aca="false">PGL_6_Day_Report!D30</f>
        <v>588.3081</v>
      </c>
      <c r="C38" s="842" t="n">
        <f aca="false">PGL_6_Day_Report!E30</f>
        <v>589.54</v>
      </c>
      <c r="D38" s="842" t="n">
        <f aca="false">PGL_6_Day_Report!F30</f>
        <v>525.6785</v>
      </c>
      <c r="E38" s="842" t="n">
        <f aca="false">PGL_6_Day_Report!G30</f>
        <v>553.6795</v>
      </c>
      <c r="F38" s="842" t="n">
        <f aca="false">PGL_6_Day_Report!H30</f>
        <v>453.245</v>
      </c>
      <c r="G38" s="842" t="n">
        <f aca="false">PGL_6_Day_Report!I30</f>
        <v>443.05</v>
      </c>
      <c r="H38" s="27"/>
      <c r="I38" s="13"/>
    </row>
    <row r="39" customFormat="false" ht="15" hidden="false" customHeight="false" outlineLevel="0" collapsed="false">
      <c r="A39" s="843" t="s">
        <v>158</v>
      </c>
      <c r="B39" s="842" t="n">
        <f aca="false">SUM(PGL_Supplies!Z7:AE7)/1000</f>
        <v>415.719</v>
      </c>
      <c r="C39" s="842" t="n">
        <f aca="false">SUM(PGL_Supplies!Z8:AE8)/1000</f>
        <v>419.152</v>
      </c>
      <c r="D39" s="842" t="n">
        <f aca="false">SUM(PGL_Supplies!Z9:AE9)/1000</f>
        <v>419.152</v>
      </c>
      <c r="E39" s="842" t="n">
        <f aca="false">SUM(PGL_Supplies!Z10:AE10)/1000</f>
        <v>419.152</v>
      </c>
      <c r="F39" s="842" t="n">
        <f aca="false">SUM(PGL_Supplies!Z11:AE11)/1000</f>
        <v>414.532</v>
      </c>
      <c r="G39" s="842" t="n">
        <f aca="false">SUM(PGL_Supplies!Z12:AE12)/1000</f>
        <v>414.532</v>
      </c>
      <c r="H39" s="27"/>
      <c r="I39" s="13"/>
    </row>
    <row r="40" customFormat="false" ht="15" hidden="false" customHeight="false" outlineLevel="0" collapsed="false">
      <c r="A40" s="843" t="s">
        <v>574</v>
      </c>
      <c r="B40" s="842" t="n">
        <f aca="false">(PGL_Supplies!N7+PGL_Supplies!O7+PGL_Supplies!P7+PGL_Supplies!R7+PGL_Supplies!S7)/1000</f>
        <v>0</v>
      </c>
      <c r="C40" s="842" t="n">
        <f aca="false">(PGL_Supplies!N8+PGL_Supplies!O8+PGL_Supplies!P8+PGL_Supplies!R8+PGL_Supplies!S8)/1000</f>
        <v>0</v>
      </c>
      <c r="D40" s="842" t="n">
        <f aca="false">(PGL_Supplies!N9+PGL_Supplies!O9+PGL_Supplies!P9+PGL_Supplies!R9+PGL_Supplies!S9)/1000</f>
        <v>0</v>
      </c>
      <c r="E40" s="842" t="n">
        <f aca="false">(PGL_Supplies!N10+PGL_Supplies!O10+PGL_Supplies!P10+PGL_Supplies!R10+PGL_Supplies!S10)/1000</f>
        <v>0</v>
      </c>
      <c r="F40" s="842" t="n">
        <f aca="false">(PGL_Supplies!N11+PGL_Supplies!O11+PGL_Supplies!P11+PGL_Supplies!R11+PGL_Supplies!S11)/1000</f>
        <v>0</v>
      </c>
      <c r="G40" s="842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3" t="s">
        <v>575</v>
      </c>
      <c r="B41" s="842" t="n">
        <f aca="false">SUM(PGL_Requirements!R7:U7)/1000</f>
        <v>40.63</v>
      </c>
      <c r="C41" s="842" t="n">
        <f aca="false">SUM(PGL_Requirements!R7:U7)/1000</f>
        <v>40.63</v>
      </c>
      <c r="D41" s="842" t="n">
        <f aca="false">SUM(PGL_Requirements!R7:U7)/1000</f>
        <v>40.63</v>
      </c>
      <c r="E41" s="842" t="n">
        <f aca="false">SUM(PGL_Requirements!R7:U7)/1000</f>
        <v>40.63</v>
      </c>
      <c r="F41" s="842" t="n">
        <f aca="false">SUM(PGL_Requirements!R7:U7)/1000</f>
        <v>40.63</v>
      </c>
      <c r="G41" s="842" t="n">
        <f aca="false">SUM(PGL_Requirements!R7:U7)/1000</f>
        <v>40.63</v>
      </c>
      <c r="H41" s="27"/>
      <c r="I41" s="13"/>
    </row>
    <row r="42" customFormat="false" ht="15" hidden="false" customHeight="false" outlineLevel="0" collapsed="false">
      <c r="A42" s="13" t="s">
        <v>576</v>
      </c>
      <c r="B42" s="842" t="n">
        <f aca="false">PGL_Supplies!V7/1000</f>
        <v>225.76</v>
      </c>
      <c r="C42" s="842" t="n">
        <f aca="false">PGL_Supplies!V8/1000</f>
        <v>220.76</v>
      </c>
      <c r="D42" s="842" t="n">
        <f aca="false">PGL_Supplies!V9/1000</f>
        <v>220.76</v>
      </c>
      <c r="E42" s="842" t="n">
        <f aca="false">PGL_Supplies!V10/1000</f>
        <v>220.76</v>
      </c>
      <c r="F42" s="842" t="n">
        <f aca="false">PGL_Supplies!V11/1000</f>
        <v>220.76</v>
      </c>
      <c r="G42" s="842" t="n">
        <f aca="false">PGL_Supplies!V12/1000</f>
        <v>220.76</v>
      </c>
      <c r="H42" s="27"/>
      <c r="I42" s="13"/>
    </row>
    <row r="43" customFormat="false" ht="15" hidden="false" customHeight="false" outlineLevel="0" collapsed="false">
      <c r="B43" s="844"/>
      <c r="C43" s="844"/>
      <c r="D43" s="844"/>
      <c r="E43" s="845"/>
      <c r="F43" s="844"/>
      <c r="G43" s="844"/>
      <c r="H43" s="27"/>
      <c r="I43" s="13"/>
    </row>
    <row r="44" customFormat="false" ht="15" hidden="false" customHeight="false" outlineLevel="0" collapsed="false">
      <c r="A44" s="840" t="s">
        <v>124</v>
      </c>
      <c r="B44" s="841" t="n">
        <f aca="false">B36</f>
        <v>37008</v>
      </c>
      <c r="C44" s="841" t="n">
        <f aca="false">C36</f>
        <v>37009</v>
      </c>
      <c r="D44" s="841" t="n">
        <f aca="false">D36</f>
        <v>37010</v>
      </c>
      <c r="E44" s="841" t="n">
        <f aca="false">E36</f>
        <v>37011</v>
      </c>
      <c r="F44" s="841" t="n">
        <f aca="false">F36</f>
        <v>37012</v>
      </c>
      <c r="G44" s="841" t="n">
        <f aca="false">G36</f>
        <v>37013</v>
      </c>
      <c r="H44" s="27"/>
      <c r="I44" s="13"/>
    </row>
    <row r="45" customFormat="false" ht="15" hidden="false" customHeight="false" outlineLevel="0" collapsed="false">
      <c r="A45" s="13" t="s">
        <v>70</v>
      </c>
      <c r="B45" s="842" t="n">
        <f aca="false">NSG_6_Day_Report!D6</f>
        <v>62</v>
      </c>
      <c r="C45" s="842" t="n">
        <f aca="false">NSG_6_Day_Report!E6</f>
        <v>53</v>
      </c>
      <c r="D45" s="842" t="n">
        <f aca="false">NSG_6_Day_Report!F6</f>
        <v>44</v>
      </c>
      <c r="E45" s="842" t="n">
        <f aca="false">NSG_6_Day_Report!G6</f>
        <v>46</v>
      </c>
      <c r="F45" s="842" t="n">
        <f aca="false">NSG_6_Day_Report!H6</f>
        <v>42</v>
      </c>
      <c r="G45" s="842" t="n">
        <f aca="false">NSG_6_Day_Report!I6</f>
        <v>42</v>
      </c>
      <c r="H45" s="27"/>
      <c r="I45" s="13"/>
    </row>
    <row r="46" customFormat="false" ht="15" hidden="false" customHeight="false" outlineLevel="0" collapsed="false">
      <c r="A46" s="843" t="s">
        <v>573</v>
      </c>
      <c r="B46" s="842" t="n">
        <f aca="false">NSG_6_Day_Report!D19</f>
        <v>82</v>
      </c>
      <c r="C46" s="842" t="n">
        <f aca="false">NSG_6_Day_Report!E19</f>
        <v>73</v>
      </c>
      <c r="D46" s="842" t="n">
        <f aca="false">NSG_6_Day_Report!F19</f>
        <v>64</v>
      </c>
      <c r="E46" s="842" t="n">
        <f aca="false">NSG_6_Day_Report!G19</f>
        <v>66</v>
      </c>
      <c r="F46" s="842" t="n">
        <f aca="false">NSG_6_Day_Report!H19</f>
        <v>62</v>
      </c>
      <c r="G46" s="842" t="n">
        <f aca="false">NSG_6_Day_Report!I19</f>
        <v>62</v>
      </c>
      <c r="H46" s="27"/>
      <c r="I46" s="13"/>
    </row>
    <row r="47" customFormat="false" ht="15" hidden="false" customHeight="false" outlineLevel="0" collapsed="false">
      <c r="A47" s="843" t="s">
        <v>158</v>
      </c>
      <c r="B47" s="842" t="n">
        <f aca="false">SUM(NSG_Supplies!P7:R7)/1000</f>
        <v>72.905</v>
      </c>
      <c r="C47" s="842" t="n">
        <f aca="false">SUM(NSG_Supplies!P8:R8)/1000</f>
        <v>69.755</v>
      </c>
      <c r="D47" s="842" t="n">
        <f aca="false">SUM(NSG_Supplies!P9:R9)/1000</f>
        <v>69.755</v>
      </c>
      <c r="E47" s="842" t="n">
        <f aca="false">SUM(NSG_Supplies!P10:R10)/1000</f>
        <v>69.755</v>
      </c>
      <c r="F47" s="842" t="n">
        <f aca="false">SUM(NSG_Supplies!P11:R11)/1000</f>
        <v>69.755</v>
      </c>
      <c r="G47" s="842" t="n">
        <f aca="false">SUM(NSG_Supplies!P12:R12)/1000</f>
        <v>69.755</v>
      </c>
      <c r="H47" s="27"/>
      <c r="I47" s="13"/>
    </row>
    <row r="48" customFormat="false" ht="15" hidden="false" customHeight="false" outlineLevel="0" collapsed="false">
      <c r="A48" s="843" t="s">
        <v>574</v>
      </c>
      <c r="B48" s="842" t="n">
        <f aca="false">SUM(NSG_Supplies!I7:M7)/1000</f>
        <v>0</v>
      </c>
      <c r="C48" s="842" t="n">
        <f aca="false">SUM(NSG_Supplies!I8:M8)/1000</f>
        <v>0</v>
      </c>
      <c r="D48" s="842" t="n">
        <f aca="false">SUM(NSG_Supplies!I9:M9)/1000</f>
        <v>0</v>
      </c>
      <c r="E48" s="842" t="n">
        <f aca="false">SUM(NSG_Supplies!I10:M10)/1000</f>
        <v>0</v>
      </c>
      <c r="F48" s="842" t="n">
        <f aca="false">SUM(NSG_Supplies!I11:M11)/1000</f>
        <v>0</v>
      </c>
      <c r="G48" s="842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3" t="s">
        <v>575</v>
      </c>
      <c r="B49" s="842" t="n">
        <f aca="false">SUM(NSG_Requirements!L7:R7)/1000</f>
        <v>0</v>
      </c>
      <c r="C49" s="842" t="n">
        <f aca="false">SUM(NSG_Requirements!L8:R8)/1000</f>
        <v>0</v>
      </c>
      <c r="D49" s="842" t="n">
        <f aca="false">SUM(NSG_Requirements!L9:R9)/1000</f>
        <v>0</v>
      </c>
      <c r="E49" s="842" t="n">
        <f aca="false">SUM(NSG_Requirements!L10:R10)/1000</f>
        <v>0</v>
      </c>
      <c r="F49" s="842" t="n">
        <f aca="false">SUM(NSG_Requirements!L11:R11)/1000</f>
        <v>0</v>
      </c>
      <c r="G49" s="842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576</v>
      </c>
      <c r="B50" s="842" t="n">
        <f aca="false">NSG_Supplies!S7/1000</f>
        <v>27.905</v>
      </c>
      <c r="C50" s="842" t="n">
        <f aca="false">NSG_Supplies!S8/1000</f>
        <v>24.755</v>
      </c>
      <c r="D50" s="842" t="n">
        <f aca="false">NSG_Supplies!S9/1000</f>
        <v>24.755</v>
      </c>
      <c r="E50" s="842" t="n">
        <f aca="false">NSG_Supplies!S10/1000</f>
        <v>24.755</v>
      </c>
      <c r="F50" s="842" t="n">
        <f aca="false">NSG_Supplies!S11/1000</f>
        <v>24.755</v>
      </c>
      <c r="G50" s="842" t="n">
        <f aca="false">NSG_Supplies!S12/1000</f>
        <v>24.755</v>
      </c>
      <c r="H50" s="27"/>
      <c r="I50" s="13"/>
    </row>
    <row r="51" customFormat="false" ht="15" hidden="false" customHeight="false" outlineLevel="0" collapsed="false">
      <c r="B51" s="844"/>
      <c r="C51" s="844"/>
      <c r="D51" s="844"/>
      <c r="E51" s="845"/>
      <c r="F51" s="844"/>
      <c r="G51" s="844"/>
      <c r="H51" s="27"/>
      <c r="I51" s="13"/>
    </row>
    <row r="52" customFormat="false" ht="15" hidden="false" customHeight="false" outlineLevel="0" collapsed="false">
      <c r="A52" s="840" t="s">
        <v>577</v>
      </c>
      <c r="B52" s="841" t="n">
        <f aca="false">B36</f>
        <v>37008</v>
      </c>
      <c r="C52" s="841" t="n">
        <f aca="false">C36</f>
        <v>37009</v>
      </c>
      <c r="D52" s="841" t="n">
        <f aca="false">D36</f>
        <v>37010</v>
      </c>
      <c r="E52" s="841" t="n">
        <f aca="false">E36</f>
        <v>37011</v>
      </c>
      <c r="F52" s="841" t="n">
        <f aca="false">F36</f>
        <v>37012</v>
      </c>
      <c r="G52" s="841" t="n">
        <f aca="false">G36</f>
        <v>37013</v>
      </c>
      <c r="H52" s="27"/>
      <c r="I52" s="13"/>
    </row>
    <row r="53" customFormat="false" ht="15" hidden="false" customHeight="false" outlineLevel="0" collapsed="false">
      <c r="A53" s="846" t="s">
        <v>578</v>
      </c>
      <c r="B53" s="842" t="n">
        <f aca="false">PGL_Requirements!P7/1000</f>
        <v>155.74</v>
      </c>
      <c r="C53" s="842" t="n">
        <f aca="false">PGL_Requirements!P8/1000</f>
        <v>187</v>
      </c>
      <c r="D53" s="842" t="n">
        <f aca="false">PGL_Requirements!P9/1000</f>
        <v>240</v>
      </c>
      <c r="E53" s="842" t="n">
        <f aca="false">PGL_Requirements!P10/1000</f>
        <v>240</v>
      </c>
      <c r="F53" s="842" t="n">
        <f aca="false">PGL_Requirements!P11/1000</f>
        <v>160</v>
      </c>
      <c r="G53" s="842" t="n">
        <f aca="false">PGL_Requirements!P12/1000</f>
        <v>160</v>
      </c>
      <c r="H53" s="27"/>
      <c r="I53" s="13"/>
    </row>
    <row r="54" customFormat="false" ht="15" hidden="false" customHeight="false" outlineLevel="0" collapsed="false">
      <c r="A54" s="13" t="s">
        <v>579</v>
      </c>
      <c r="B54" s="842" t="n">
        <f aca="false">PGL_Supplies!M7/1000</f>
        <v>0</v>
      </c>
      <c r="C54" s="842" t="n">
        <f aca="false">PGL_Supplies!M8/1000</f>
        <v>0</v>
      </c>
      <c r="D54" s="842" t="n">
        <f aca="false">PGL_Supplies!M9/1000</f>
        <v>0</v>
      </c>
      <c r="E54" s="842" t="n">
        <f aca="false">PGL_Supplies!M10/1000</f>
        <v>0</v>
      </c>
      <c r="F54" s="842" t="n">
        <f aca="false">PGL_Supplies!M11/1000</f>
        <v>0</v>
      </c>
      <c r="G54" s="842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7" t="s">
        <v>580</v>
      </c>
    </row>
    <row r="57" customFormat="false" ht="15.75" hidden="false" customHeight="false" outlineLevel="0" collapsed="false">
      <c r="A57" s="811" t="s">
        <v>581</v>
      </c>
    </row>
    <row r="58" customFormat="false" ht="15.75" hidden="false" customHeight="false" outlineLevel="0" collapsed="false">
      <c r="A58" s="811" t="s">
        <v>582</v>
      </c>
      <c r="G58" s="848"/>
    </row>
    <row r="59" customFormat="false" ht="15.75" hidden="false" customHeight="false" outlineLevel="0" collapsed="false">
      <c r="A59" s="811" t="s">
        <v>583</v>
      </c>
    </row>
    <row r="60" customFormat="false" ht="15.75" hidden="false" customHeight="false" outlineLevel="0" collapsed="false">
      <c r="A60" s="811" t="s">
        <v>584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49" t="s">
        <v>0</v>
      </c>
      <c r="B1" s="849"/>
      <c r="C1" s="850" t="s">
        <v>0</v>
      </c>
      <c r="D1" s="850"/>
      <c r="E1" s="850"/>
      <c r="F1" s="850"/>
    </row>
    <row r="2" customFormat="false" ht="15.75" hidden="false" customHeight="false" outlineLevel="0" collapsed="false">
      <c r="A2" s="0" t="s">
        <v>0</v>
      </c>
      <c r="C2" s="851"/>
      <c r="D2" s="851"/>
      <c r="E2" s="851"/>
      <c r="F2" s="852"/>
    </row>
    <row r="3" customFormat="false" ht="15.75" hidden="false" customHeight="false" outlineLevel="0" collapsed="false">
      <c r="A3" s="107" t="s">
        <v>585</v>
      </c>
    </row>
    <row r="4" customFormat="false" ht="15" hidden="false" customHeight="false" outlineLevel="0" collapsed="false">
      <c r="A4" s="853"/>
      <c r="B4" s="854" t="str">
        <f aca="false">Six_Day_Summary!A10</f>
        <v>Saturday</v>
      </c>
      <c r="C4" s="855" t="str">
        <f aca="false">Six_Day_Summary!A15</f>
        <v>Sunday</v>
      </c>
      <c r="D4" s="855" t="str">
        <f aca="false">Six_Day_Summary!A20</f>
        <v>Monday</v>
      </c>
      <c r="E4" s="855" t="str">
        <f aca="false">Six_Day_Summary!A25</f>
        <v>Tuesday</v>
      </c>
      <c r="F4" s="856" t="str">
        <f aca="false">Six_Day_Summary!A30</f>
        <v>Wednesday</v>
      </c>
      <c r="G4" s="857"/>
    </row>
    <row r="5" customFormat="false" ht="15" hidden="false" customHeight="false" outlineLevel="0" collapsed="false">
      <c r="A5" s="858" t="s">
        <v>586</v>
      </c>
      <c r="B5" s="859" t="n">
        <f aca="false">Weather_Input!A6</f>
        <v>37009</v>
      </c>
      <c r="C5" s="860" t="n">
        <f aca="false">Weather_Input!A7</f>
        <v>37010</v>
      </c>
      <c r="D5" s="860" t="n">
        <f aca="false">Weather_Input!A8</f>
        <v>37011</v>
      </c>
      <c r="E5" s="860" t="n">
        <f aca="false">Weather_Input!A9</f>
        <v>37012</v>
      </c>
      <c r="F5" s="861" t="n">
        <f aca="false">Weather_Input!A10</f>
        <v>37013</v>
      </c>
      <c r="G5" s="857"/>
    </row>
    <row r="6" customFormat="false" ht="15" hidden="false" customHeight="false" outlineLevel="0" collapsed="false">
      <c r="A6" s="857" t="s">
        <v>587</v>
      </c>
      <c r="B6" s="862" t="n">
        <f aca="false">PGL_Supplies!AC8/1000+PGL_Supplies!L8/1000-PGL_Requirements!O8/1000-PGL_Requirements!T8/1000+B8</f>
        <v>77.48</v>
      </c>
      <c r="C6" s="862" t="n">
        <f aca="false">PGL_Supplies!AC9/1000+PGL_Supplies!L9/1000-PGL_Requirements!O9/1000+C15-PGL_Requirements!T9/1000</f>
        <v>131.75</v>
      </c>
      <c r="D6" s="862" t="n">
        <f aca="false">PGL_Supplies!AC10/1000+PGL_Supplies!L10/1000-PGL_Requirements!O10/1000+D15-PGL_Requirements!T10/1000</f>
        <v>131.75</v>
      </c>
      <c r="E6" s="862" t="n">
        <f aca="false">PGL_Supplies!AC11/1000+PGL_Supplies!L11/1000-PGL_Requirements!O11/1000+E15-PGL_Requirements!T11/1000</f>
        <v>131.75</v>
      </c>
      <c r="F6" s="863" t="n">
        <f aca="false">PGL_Supplies!AC12/1000+PGL_Supplies!L12/1000-PGL_Requirements!O12/1000+F15-PGL_Requirements!T12/1000</f>
        <v>131.75</v>
      </c>
      <c r="G6" s="857"/>
      <c r="H6" s="0" t="s">
        <v>0</v>
      </c>
    </row>
    <row r="7" customFormat="false" ht="15" hidden="false" customHeight="false" outlineLevel="0" collapsed="false">
      <c r="A7" s="857" t="s">
        <v>588</v>
      </c>
      <c r="B7" s="862" t="n">
        <f aca="false">PGL_Supplies!N8/1000</f>
        <v>0</v>
      </c>
      <c r="C7" s="862" t="n">
        <f aca="false">PGL_Supplies!N9/1000</f>
        <v>0</v>
      </c>
      <c r="D7" s="862" t="n">
        <f aca="false">PGL_Supplies!N10/1000</f>
        <v>0</v>
      </c>
      <c r="E7" s="862" t="n">
        <f aca="false">PGL_Supplies!N11/1000</f>
        <v>0</v>
      </c>
      <c r="F7" s="864" t="n">
        <f aca="false">PGL_Supplies!N12/1000</f>
        <v>0</v>
      </c>
      <c r="G7" s="857"/>
    </row>
    <row r="8" customFormat="false" ht="15" hidden="false" customHeight="false" outlineLevel="0" collapsed="false">
      <c r="A8" s="857" t="s">
        <v>589</v>
      </c>
      <c r="B8" s="862" t="n">
        <f aca="false">PGL_Supplies!O8/1000</f>
        <v>0</v>
      </c>
      <c r="C8" s="862" t="n">
        <f aca="false">PGL_Supplies!O9/1000</f>
        <v>0</v>
      </c>
      <c r="D8" s="862" t="n">
        <f aca="false">PGL_Supplies!O10/1000</f>
        <v>0</v>
      </c>
      <c r="E8" s="862" t="n">
        <f aca="false">PGL_Supplies!O11/1000</f>
        <v>0</v>
      </c>
      <c r="F8" s="864" t="n">
        <f aca="false">PGL_Supplies!O12/1000</f>
        <v>0</v>
      </c>
      <c r="G8" s="857"/>
    </row>
    <row r="9" customFormat="false" ht="15" hidden="false" customHeight="false" outlineLevel="0" collapsed="false">
      <c r="A9" s="857" t="s">
        <v>590</v>
      </c>
      <c r="B9" s="862" t="n">
        <v>0</v>
      </c>
      <c r="C9" s="862" t="n">
        <v>0</v>
      </c>
      <c r="D9" s="862" t="n">
        <v>0</v>
      </c>
      <c r="E9" s="862" t="n">
        <v>0</v>
      </c>
      <c r="F9" s="864" t="n">
        <v>0</v>
      </c>
      <c r="G9" s="857"/>
    </row>
    <row r="10" customFormat="false" ht="15" hidden="false" customHeight="false" outlineLevel="0" collapsed="false">
      <c r="A10" s="865"/>
      <c r="B10" s="866"/>
      <c r="C10" s="866"/>
      <c r="D10" s="866"/>
      <c r="E10" s="866"/>
      <c r="F10" s="867"/>
      <c r="G10" s="857"/>
    </row>
    <row r="11" customFormat="false" ht="15" hidden="false" customHeight="false" outlineLevel="0" collapsed="false">
      <c r="A11" s="857" t="s">
        <v>591</v>
      </c>
      <c r="B11" s="862" t="n">
        <v>0</v>
      </c>
      <c r="C11" s="862" t="n">
        <v>0</v>
      </c>
      <c r="D11" s="862" t="n">
        <v>0</v>
      </c>
      <c r="E11" s="862" t="n">
        <v>0</v>
      </c>
      <c r="F11" s="864" t="n">
        <v>0</v>
      </c>
      <c r="G11" s="857"/>
      <c r="H11" s="40" t="s">
        <v>0</v>
      </c>
    </row>
    <row r="12" customFormat="false" ht="15" hidden="false" customHeight="false" outlineLevel="0" collapsed="false">
      <c r="A12" s="857" t="s">
        <v>592</v>
      </c>
      <c r="B12" s="862" t="n">
        <f aca="false">PGL_Requirements!S8/1000</f>
        <v>0</v>
      </c>
      <c r="C12" s="862" t="n">
        <f aca="false">PGL_Requirements!S9/1000</f>
        <v>0</v>
      </c>
      <c r="D12" s="862" t="n">
        <f aca="false">PGL_Requirements!S10/1000</f>
        <v>0</v>
      </c>
      <c r="E12" s="862" t="n">
        <f aca="false">PGL_Requirements!S11/1000</f>
        <v>0</v>
      </c>
      <c r="F12" s="864" t="n">
        <f aca="false">PGL_Requirements!S12/1000</f>
        <v>0</v>
      </c>
      <c r="G12" s="857"/>
    </row>
    <row r="13" customFormat="false" ht="15" hidden="false" customHeight="false" outlineLevel="0" collapsed="false">
      <c r="A13" s="857" t="s">
        <v>593</v>
      </c>
      <c r="B13" s="862" t="n">
        <v>0</v>
      </c>
      <c r="C13" s="862" t="n">
        <v>0</v>
      </c>
      <c r="D13" s="862" t="n">
        <v>0</v>
      </c>
      <c r="E13" s="862" t="n">
        <v>0</v>
      </c>
      <c r="F13" s="864" t="n">
        <v>0</v>
      </c>
      <c r="G13" s="857"/>
    </row>
    <row r="14" customFormat="false" ht="15" hidden="false" customHeight="false" outlineLevel="0" collapsed="false">
      <c r="A14" s="857" t="s">
        <v>416</v>
      </c>
      <c r="B14" s="862" t="n">
        <v>0</v>
      </c>
      <c r="C14" s="868"/>
      <c r="D14" s="868"/>
      <c r="E14" s="868"/>
      <c r="F14" s="864"/>
      <c r="G14" s="857"/>
    </row>
    <row r="15" customFormat="false" ht="15" hidden="false" customHeight="false" outlineLevel="0" collapsed="false">
      <c r="A15" s="857" t="s">
        <v>594</v>
      </c>
      <c r="B15" s="869" t="n">
        <v>0</v>
      </c>
      <c r="C15" s="869" t="n">
        <v>0</v>
      </c>
      <c r="D15" s="869" t="n">
        <v>0</v>
      </c>
      <c r="E15" s="869" t="n">
        <v>0</v>
      </c>
      <c r="F15" s="870" t="n">
        <v>0</v>
      </c>
      <c r="G15" s="40"/>
    </row>
    <row r="16" customFormat="false" ht="15" hidden="false" customHeight="false" outlineLevel="0" collapsed="false">
      <c r="A16" s="857" t="s">
        <v>595</v>
      </c>
      <c r="B16" s="869" t="n">
        <v>0</v>
      </c>
      <c r="C16" s="868"/>
      <c r="D16" s="868"/>
      <c r="E16" s="868"/>
      <c r="F16" s="864"/>
      <c r="G16" s="857"/>
    </row>
    <row r="17" customFormat="false" ht="15.75" hidden="false" customHeight="false" outlineLevel="0" collapsed="false">
      <c r="A17" s="871" t="s">
        <v>596</v>
      </c>
      <c r="B17" s="872" t="n">
        <v>0</v>
      </c>
      <c r="C17" s="873"/>
      <c r="D17" s="873"/>
      <c r="E17" s="873"/>
      <c r="F17" s="874"/>
      <c r="G17" s="857"/>
    </row>
    <row r="20" customFormat="false" ht="15.75" hidden="false" customHeight="false" outlineLevel="0" collapsed="false">
      <c r="A20" s="875" t="s">
        <v>597</v>
      </c>
      <c r="B20" s="801"/>
      <c r="C20" s="801"/>
      <c r="D20" s="801"/>
      <c r="E20" s="801"/>
      <c r="F20" s="801"/>
    </row>
    <row r="21" customFormat="false" ht="15" hidden="false" customHeight="false" outlineLevel="0" collapsed="false">
      <c r="A21" s="853"/>
      <c r="B21" s="876" t="str">
        <f aca="false">B4</f>
        <v>Saturday</v>
      </c>
      <c r="C21" s="876" t="str">
        <f aca="false">C4</f>
        <v>Sunday</v>
      </c>
      <c r="D21" s="876" t="str">
        <f aca="false">D4</f>
        <v>Monday</v>
      </c>
      <c r="E21" s="876" t="str">
        <f aca="false">E4</f>
        <v>Tuesday</v>
      </c>
      <c r="F21" s="877" t="str">
        <f aca="false">F4</f>
        <v>Wednesday</v>
      </c>
      <c r="G21" s="857"/>
    </row>
    <row r="22" customFormat="false" ht="15" hidden="false" customHeight="false" outlineLevel="0" collapsed="false">
      <c r="A22" s="878" t="s">
        <v>586</v>
      </c>
      <c r="B22" s="879" t="n">
        <f aca="false">B5</f>
        <v>37009</v>
      </c>
      <c r="C22" s="879" t="n">
        <f aca="false">C5</f>
        <v>37010</v>
      </c>
      <c r="D22" s="879" t="n">
        <f aca="false">D5</f>
        <v>37011</v>
      </c>
      <c r="E22" s="879" t="n">
        <f aca="false">E5</f>
        <v>37012</v>
      </c>
      <c r="F22" s="880" t="n">
        <f aca="false">F5</f>
        <v>37013</v>
      </c>
      <c r="G22" s="857"/>
    </row>
    <row r="23" customFormat="false" ht="15" hidden="false" customHeight="false" outlineLevel="0" collapsed="false">
      <c r="A23" s="857" t="s">
        <v>587</v>
      </c>
      <c r="B23" s="868" t="n">
        <f aca="false">NSG_Supplies!R8/1000+NSG_Supplies!F8/1000-NSG_Requirements!H8/1000</f>
        <v>53.005</v>
      </c>
      <c r="C23" s="868" t="n">
        <f aca="false">NSG_Supplies!R9/1000+NSG_Supplies!F9/1000-NSG_Requirements!H9/1000</f>
        <v>49.755</v>
      </c>
      <c r="D23" s="868" t="n">
        <f aca="false">NSG_Supplies!R10/1000+NSG_Supplies!F10/1000-NSG_Requirements!H10/1000</f>
        <v>49.755</v>
      </c>
      <c r="E23" s="868" t="n">
        <f aca="false">NSG_Supplies!R12/1000+NSG_Supplies!F11/1000-NSG_Requirements!H11/1000</f>
        <v>49.755</v>
      </c>
      <c r="F23" s="863" t="n">
        <f aca="false">NSG_Supplies!R12/1000+NSG_Supplies!F12/1000-NSG_Requirements!H12/1000</f>
        <v>49.755</v>
      </c>
      <c r="G23" s="857"/>
    </row>
    <row r="24" customFormat="false" ht="15" hidden="false" customHeight="false" outlineLevel="0" collapsed="false">
      <c r="A24" s="857" t="s">
        <v>598</v>
      </c>
      <c r="B24" s="868" t="n">
        <f aca="false">NSG_Supplies!H8/1000</f>
        <v>0</v>
      </c>
      <c r="C24" s="868" t="n">
        <f aca="false">NSG_Supplies!H9/1000</f>
        <v>0</v>
      </c>
      <c r="D24" s="868" t="n">
        <f aca="false">NSG_Supplies!H10/1000</f>
        <v>0</v>
      </c>
      <c r="E24" s="868" t="n">
        <f aca="false">NSG_Supplies!H11/1000</f>
        <v>0</v>
      </c>
      <c r="F24" s="864" t="n">
        <f aca="false">NSG_Supplies!H12/1000</f>
        <v>0</v>
      </c>
      <c r="G24" s="857"/>
    </row>
    <row r="25" customFormat="false" ht="15" hidden="false" customHeight="false" outlineLevel="0" collapsed="false">
      <c r="A25" s="857" t="s">
        <v>588</v>
      </c>
      <c r="B25" s="868" t="n">
        <f aca="false">NSG_Supplies!I8/1000</f>
        <v>0</v>
      </c>
      <c r="C25" s="868" t="n">
        <f aca="false">NSG_Supplies!I9/1000</f>
        <v>0</v>
      </c>
      <c r="D25" s="868" t="n">
        <f aca="false">NSG_Supplies!I10/1000</f>
        <v>0</v>
      </c>
      <c r="E25" s="868" t="n">
        <f aca="false">NSG_Supplies!I11/1000</f>
        <v>0</v>
      </c>
      <c r="F25" s="864" t="n">
        <f aca="false">NSG_Supplies!I12/1000</f>
        <v>0</v>
      </c>
      <c r="G25" s="857"/>
    </row>
    <row r="26" customFormat="false" ht="15" hidden="false" customHeight="false" outlineLevel="0" collapsed="false">
      <c r="A26" s="881" t="s">
        <v>589</v>
      </c>
      <c r="B26" s="868" t="n">
        <f aca="false">NSG_Supplies!J8/1000</f>
        <v>0</v>
      </c>
      <c r="C26" s="868" t="n">
        <f aca="false">NSG_Supplies!J9/1000</f>
        <v>0</v>
      </c>
      <c r="D26" s="868" t="n">
        <f aca="false">NSG_Supplies!J10/1000</f>
        <v>0</v>
      </c>
      <c r="E26" s="868" t="n">
        <f aca="false">NSG_Supplies!J11/1000</f>
        <v>0</v>
      </c>
      <c r="F26" s="864" t="n">
        <f aca="false">NSG_Supplies!J12/1000</f>
        <v>0</v>
      </c>
      <c r="G26" s="857"/>
    </row>
    <row r="27" customFormat="false" ht="15" hidden="false" customHeight="false" outlineLevel="0" collapsed="false">
      <c r="A27" s="857" t="s">
        <v>590</v>
      </c>
      <c r="B27" s="868" t="n">
        <f aca="false">NSG_Supplies!K8/1000</f>
        <v>0</v>
      </c>
      <c r="C27" s="868" t="n">
        <f aca="false">NSG_Supplies!K9/1000</f>
        <v>0</v>
      </c>
      <c r="D27" s="868" t="n">
        <f aca="false">NSG_Supplies!K10/1000</f>
        <v>0</v>
      </c>
      <c r="E27" s="868" t="n">
        <f aca="false">NSG_Supplies!K11/1000</f>
        <v>0</v>
      </c>
      <c r="F27" s="864" t="n">
        <f aca="false">NSG_Supplies!K12/1000</f>
        <v>0</v>
      </c>
      <c r="G27" s="857"/>
    </row>
    <row r="28" customFormat="false" ht="15" hidden="false" customHeight="false" outlineLevel="0" collapsed="false">
      <c r="A28" s="857" t="s">
        <v>599</v>
      </c>
      <c r="B28" s="868" t="s">
        <v>0</v>
      </c>
      <c r="C28" s="868"/>
      <c r="D28" s="868"/>
      <c r="E28" s="868"/>
      <c r="F28" s="864"/>
      <c r="G28" s="857"/>
    </row>
    <row r="29" customFormat="false" ht="15" hidden="false" customHeight="false" outlineLevel="0" collapsed="false">
      <c r="A29" s="865"/>
      <c r="B29" s="866"/>
      <c r="C29" s="866"/>
      <c r="D29" s="866"/>
      <c r="E29" s="866"/>
      <c r="F29" s="867"/>
      <c r="G29" s="857"/>
    </row>
    <row r="30" customFormat="false" ht="15" hidden="false" customHeight="false" outlineLevel="0" collapsed="false">
      <c r="A30" s="857" t="s">
        <v>591</v>
      </c>
      <c r="B30" s="868" t="n">
        <f aca="false">NSG_Requirements!P8/1000</f>
        <v>0</v>
      </c>
      <c r="C30" s="868" t="n">
        <f aca="false">NSG_Requirements!P9/1000</f>
        <v>0</v>
      </c>
      <c r="D30" s="868" t="n">
        <f aca="false">NSG_Requirements!P10/1000</f>
        <v>0</v>
      </c>
      <c r="E30" s="868" t="n">
        <f aca="false">NSG_Requirements!P11/1000</f>
        <v>0</v>
      </c>
      <c r="F30" s="864" t="n">
        <f aca="false">NSG_Supplies!K12/1000</f>
        <v>0</v>
      </c>
      <c r="G30" s="857"/>
    </row>
    <row r="31" customFormat="false" ht="15" hidden="false" customHeight="false" outlineLevel="0" collapsed="false">
      <c r="A31" s="857" t="s">
        <v>592</v>
      </c>
      <c r="B31" s="868" t="n">
        <f aca="false">NSG_Requirements!R8/1000</f>
        <v>0</v>
      </c>
      <c r="C31" s="868" t="n">
        <f aca="false">NSG_Requirements!R9/1000</f>
        <v>0</v>
      </c>
      <c r="D31" s="868" t="n">
        <f aca="false">NSG_Requirements!R10/1000</f>
        <v>0</v>
      </c>
      <c r="E31" s="868" t="n">
        <f aca="false">NSG_Requirements!R11/1000</f>
        <v>0</v>
      </c>
      <c r="F31" s="864" t="n">
        <f aca="false">NSG_Supplies!M12/1000</f>
        <v>0</v>
      </c>
      <c r="G31" s="857"/>
    </row>
    <row r="32" customFormat="false" ht="15" hidden="false" customHeight="false" outlineLevel="0" collapsed="false">
      <c r="A32" s="857" t="s">
        <v>593</v>
      </c>
      <c r="B32" s="868" t="n">
        <f aca="false">NSG_Requirements!Q8/1000</f>
        <v>0</v>
      </c>
      <c r="C32" s="868" t="n">
        <f aca="false">NSG_Requirements!Q9/1000</f>
        <v>0</v>
      </c>
      <c r="D32" s="868" t="n">
        <f aca="false">NSG_Requirements!Q10/1000</f>
        <v>0</v>
      </c>
      <c r="E32" s="868" t="n">
        <f aca="false">NSG_Requirements!Q11/1000</f>
        <v>0</v>
      </c>
      <c r="F32" s="864" t="n">
        <f aca="false">NSG_Requirements!Q12/1000</f>
        <v>0</v>
      </c>
      <c r="G32" s="857"/>
    </row>
    <row r="33" customFormat="false" ht="15.75" hidden="false" customHeight="false" outlineLevel="0" collapsed="false">
      <c r="A33" s="871" t="s">
        <v>600</v>
      </c>
      <c r="B33" s="873" t="n">
        <f aca="false">NSG_Requirements!L8/1000</f>
        <v>0</v>
      </c>
      <c r="C33" s="873" t="n">
        <f aca="false">NSG_Requirements!L9/1000</f>
        <v>0</v>
      </c>
      <c r="D33" s="873" t="n">
        <f aca="false">NSG_Requirements!L10/1000</f>
        <v>0</v>
      </c>
      <c r="E33" s="873" t="n">
        <f aca="false">NSG_Requirements!L11/1000</f>
        <v>0</v>
      </c>
      <c r="F33" s="874" t="n">
        <f aca="false">NSG_Requirements!L12/1000</f>
        <v>0</v>
      </c>
      <c r="G33" s="85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2" t="s">
        <v>601</v>
      </c>
      <c r="C1" s="883" t="n">
        <f aca="false">Weather_Input!A6</f>
        <v>37009</v>
      </c>
      <c r="D1" s="884" t="s">
        <v>602</v>
      </c>
      <c r="E1" s="885"/>
      <c r="F1" s="886"/>
      <c r="G1" s="411"/>
      <c r="H1" s="411"/>
      <c r="I1" s="887"/>
    </row>
    <row r="2" customFormat="false" ht="15.75" hidden="false" customHeight="true" outlineLevel="0" collapsed="false">
      <c r="A2" s="34"/>
      <c r="B2" s="888" t="s">
        <v>603</v>
      </c>
      <c r="E2" s="889"/>
      <c r="I2" s="889"/>
    </row>
    <row r="3" customFormat="false" ht="15.75" hidden="false" customHeight="true" outlineLevel="0" collapsed="false">
      <c r="B3" s="890" t="s">
        <v>158</v>
      </c>
      <c r="C3" s="891" t="n">
        <f aca="false">NSG_Supplies!Q8/1000</f>
        <v>20</v>
      </c>
      <c r="E3" s="889"/>
      <c r="F3" s="892" t="s">
        <v>251</v>
      </c>
      <c r="G3" s="893"/>
      <c r="H3" s="894" t="s">
        <v>604</v>
      </c>
      <c r="I3" s="895" t="s">
        <v>605</v>
      </c>
    </row>
    <row r="4" customFormat="false" ht="15.75" hidden="false" customHeight="true" outlineLevel="0" collapsed="false">
      <c r="A4" s="0" t="s">
        <v>0</v>
      </c>
      <c r="B4" s="857" t="s">
        <v>606</v>
      </c>
      <c r="C4" s="896" t="n">
        <f aca="false">NSG_Supplies!E8/1000</f>
        <v>0</v>
      </c>
      <c r="D4" s="761" t="n">
        <f aca="false">NSG_Requirements!J8/1000</f>
        <v>20</v>
      </c>
      <c r="E4" s="897"/>
      <c r="F4" s="890" t="s">
        <v>607</v>
      </c>
      <c r="G4" s="74"/>
      <c r="H4" s="898" t="n">
        <f aca="false">PGL_Requirements!P8/1000</f>
        <v>187</v>
      </c>
      <c r="I4" s="899" t="n">
        <f aca="false">AVERAGE(H4/1.025)</f>
        <v>182.439024390244</v>
      </c>
      <c r="J4" s="0" t="s">
        <v>0</v>
      </c>
    </row>
    <row r="5" customFormat="false" ht="15.75" hidden="false" customHeight="true" outlineLevel="0" collapsed="false">
      <c r="B5" s="900" t="s">
        <v>608</v>
      </c>
      <c r="C5" s="901" t="n">
        <f aca="false">C3+C4-D4</f>
        <v>0</v>
      </c>
      <c r="D5" s="902"/>
      <c r="E5" s="903" t="n">
        <f aca="false">AVERAGE(C5/24)</f>
        <v>0</v>
      </c>
      <c r="F5" s="904" t="s">
        <v>328</v>
      </c>
      <c r="G5" s="905" t="n">
        <f aca="false">PGL_Supplies!M8/1000</f>
        <v>0</v>
      </c>
      <c r="H5" s="906"/>
      <c r="I5" s="907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8" t="s">
        <v>609</v>
      </c>
      <c r="C6" s="909"/>
      <c r="D6" s="40"/>
      <c r="E6" s="910"/>
      <c r="F6" s="0" t="s">
        <v>610</v>
      </c>
      <c r="G6" s="909" t="n">
        <f aca="false">AVERAGE(H4/24)</f>
        <v>7.79166666666667</v>
      </c>
      <c r="H6" s="411"/>
      <c r="I6" s="887"/>
    </row>
    <row r="7" customFormat="false" ht="15.75" hidden="false" customHeight="true" outlineLevel="0" collapsed="false">
      <c r="B7" s="890" t="s">
        <v>611</v>
      </c>
      <c r="C7" s="898" t="n">
        <f aca="false">NSG_Supplies!L8/1000</f>
        <v>0</v>
      </c>
      <c r="D7" s="74"/>
      <c r="E7" s="911"/>
      <c r="F7" s="888" t="s">
        <v>612</v>
      </c>
      <c r="G7" s="912"/>
      <c r="H7" s="74"/>
      <c r="I7" s="889"/>
    </row>
    <row r="8" customFormat="false" ht="15.75" hidden="false" customHeight="true" outlineLevel="0" collapsed="false">
      <c r="B8" s="890" t="s">
        <v>613</v>
      </c>
      <c r="C8" s="898" t="n">
        <f aca="false">PGL_Requirements!V8/1000</f>
        <v>0</v>
      </c>
      <c r="D8" s="74"/>
      <c r="E8" s="911"/>
      <c r="F8" s="890" t="s">
        <v>614</v>
      </c>
      <c r="G8" s="898" t="n">
        <f aca="false">PGL_Supplies!T8/1000</f>
        <v>0</v>
      </c>
      <c r="H8" s="74"/>
      <c r="I8" s="889"/>
    </row>
    <row r="9" customFormat="false" ht="15.75" hidden="false" customHeight="true" outlineLevel="0" collapsed="false">
      <c r="B9" s="890" t="s">
        <v>615</v>
      </c>
      <c r="C9" s="898" t="n">
        <f aca="false">NSG_Requirements!B8/1000</f>
        <v>0</v>
      </c>
      <c r="D9" s="74"/>
      <c r="E9" s="911"/>
      <c r="F9" s="29" t="s">
        <v>616</v>
      </c>
      <c r="G9" s="898" t="n">
        <f aca="false">PGL_Supplies!U8/1000</f>
        <v>0</v>
      </c>
      <c r="I9" s="889"/>
    </row>
    <row r="10" customFormat="false" ht="15.75" hidden="false" customHeight="true" outlineLevel="0" collapsed="false">
      <c r="B10" s="900" t="s">
        <v>617</v>
      </c>
      <c r="C10" s="901" t="n">
        <f aca="false">C7+C8-C9</f>
        <v>0</v>
      </c>
      <c r="D10" s="902"/>
      <c r="E10" s="903" t="n">
        <f aca="false">AVERAGE(C10/24)</f>
        <v>0</v>
      </c>
      <c r="F10" s="890" t="s">
        <v>506</v>
      </c>
      <c r="G10" s="898" t="n">
        <f aca="false">PGL_Supplies!AB8/1000</f>
        <v>242.782</v>
      </c>
      <c r="H10" s="898" t="s">
        <v>0</v>
      </c>
      <c r="I10" s="889"/>
    </row>
    <row r="11" customFormat="false" ht="15.75" hidden="false" customHeight="true" outlineLevel="0" collapsed="false">
      <c r="A11" s="0" t="s">
        <v>0</v>
      </c>
      <c r="B11" s="913" t="s">
        <v>618</v>
      </c>
      <c r="C11" s="898" t="n">
        <f aca="false">PGL_Supplies!Y8/1000</f>
        <v>159.391</v>
      </c>
      <c r="D11" s="893"/>
      <c r="E11" s="914"/>
      <c r="F11" s="915" t="s">
        <v>619</v>
      </c>
      <c r="G11" s="916" t="n">
        <f aca="false">G8+G10</f>
        <v>242.782</v>
      </c>
      <c r="H11" s="258"/>
      <c r="I11" s="917"/>
    </row>
    <row r="12" customFormat="false" ht="15.75" hidden="false" customHeight="true" outlineLevel="0" collapsed="false">
      <c r="B12" s="243" t="s">
        <v>299</v>
      </c>
      <c r="C12" s="898" t="n">
        <f aca="false">PGL_Supplies!X8/1000</f>
        <v>0</v>
      </c>
      <c r="D12" s="40"/>
      <c r="E12" s="889"/>
      <c r="F12" s="918" t="s">
        <v>620</v>
      </c>
      <c r="G12" s="898" t="n">
        <f aca="false">PGL_Supplies!E8/1000</f>
        <v>0</v>
      </c>
      <c r="H12" s="74"/>
      <c r="I12" s="911"/>
    </row>
    <row r="13" customFormat="false" ht="15.75" hidden="false" customHeight="true" outlineLevel="0" collapsed="false">
      <c r="B13" s="243" t="s">
        <v>621</v>
      </c>
      <c r="C13" s="40"/>
      <c r="D13" s="898" t="n">
        <f aca="false">PGL_Requirements!J8/1000</f>
        <v>0</v>
      </c>
      <c r="E13" s="889"/>
      <c r="F13" s="918" t="s">
        <v>622</v>
      </c>
      <c r="G13" s="74"/>
      <c r="H13" s="898" t="n">
        <f aca="false">PGL_Requirements!E8/1000</f>
        <v>0</v>
      </c>
      <c r="I13" s="889"/>
    </row>
    <row r="14" customFormat="false" ht="15.75" hidden="false" customHeight="true" outlineLevel="0" collapsed="false">
      <c r="B14" s="919" t="s">
        <v>623</v>
      </c>
      <c r="C14" s="901" t="n">
        <f aca="false">C11+C12-D13</f>
        <v>159.391</v>
      </c>
      <c r="D14" s="902"/>
      <c r="E14" s="903" t="n">
        <f aca="false">AVERAGE(C14/24)</f>
        <v>6.64129166666667</v>
      </c>
      <c r="F14" s="920" t="s">
        <v>624</v>
      </c>
      <c r="G14" s="901" t="n">
        <v>0</v>
      </c>
      <c r="H14" s="902"/>
      <c r="I14" s="903" t="n">
        <f aca="false">AVERAGE(G14/24)</f>
        <v>0</v>
      </c>
    </row>
    <row r="15" customFormat="false" ht="15.75" hidden="false" customHeight="true" outlineLevel="0" collapsed="false">
      <c r="B15" s="890" t="s">
        <v>625</v>
      </c>
      <c r="C15" s="898" t="n">
        <f aca="false">PGL_Supplies!Z8/1000</f>
        <v>40</v>
      </c>
      <c r="D15" s="74"/>
      <c r="E15" s="889"/>
      <c r="F15" s="920" t="s">
        <v>626</v>
      </c>
      <c r="G15" s="916" t="n">
        <f aca="false">SUM(G11)-G16</f>
        <v>222.392</v>
      </c>
      <c r="H15" s="902" t="s">
        <v>0</v>
      </c>
      <c r="I15" s="903" t="n">
        <f aca="false">AVERAGE(G15/24)</f>
        <v>9.26633333333333</v>
      </c>
    </row>
    <row r="16" customFormat="false" ht="15.75" hidden="false" customHeight="true" outlineLevel="0" collapsed="false">
      <c r="B16" s="890" t="s">
        <v>627</v>
      </c>
      <c r="C16" s="898" t="n">
        <f aca="false">PGL_Supplies!R8/1000</f>
        <v>0</v>
      </c>
      <c r="D16" s="898" t="n">
        <f aca="false">PGL_Requirements!U8/1000</f>
        <v>40</v>
      </c>
      <c r="E16" s="889"/>
      <c r="F16" s="920" t="s">
        <v>628</v>
      </c>
      <c r="G16" s="901" t="n">
        <f aca="false">PGL_Requirements!H8/1000</f>
        <v>20.39</v>
      </c>
      <c r="H16" s="901" t="s">
        <v>0</v>
      </c>
      <c r="I16" s="903" t="n">
        <f aca="false">AVERAGE(G16/24)</f>
        <v>0.849583333333333</v>
      </c>
    </row>
    <row r="17" customFormat="false" ht="15.75" hidden="false" customHeight="true" outlineLevel="0" collapsed="false">
      <c r="B17" s="915" t="s">
        <v>619</v>
      </c>
      <c r="C17" s="916" t="n">
        <f aca="false">SUM(C15:C16)-SUM(D15:D16)</f>
        <v>0</v>
      </c>
      <c r="D17" s="258"/>
      <c r="E17" s="917"/>
      <c r="F17" s="921" t="s">
        <v>629</v>
      </c>
      <c r="G17" s="922" t="n">
        <v>0</v>
      </c>
      <c r="H17" s="923"/>
      <c r="I17" s="924" t="n">
        <f aca="false">AVERAGE(G17/24)</f>
        <v>0</v>
      </c>
    </row>
    <row r="18" customFormat="false" ht="15.75" hidden="false" customHeight="true" outlineLevel="0" collapsed="false">
      <c r="B18" s="890" t="s">
        <v>630</v>
      </c>
      <c r="C18" s="898" t="n">
        <f aca="false">PGL_Supplies!C8/1000</f>
        <v>0</v>
      </c>
      <c r="D18" s="74"/>
      <c r="E18" s="889"/>
      <c r="F18" s="925" t="s">
        <v>631</v>
      </c>
      <c r="G18" s="74" t="s">
        <v>0</v>
      </c>
      <c r="H18" s="74"/>
      <c r="I18" s="889"/>
    </row>
    <row r="19" customFormat="false" ht="15.75" hidden="false" customHeight="true" outlineLevel="0" collapsed="false">
      <c r="B19" s="890" t="s">
        <v>632</v>
      </c>
      <c r="C19" s="74"/>
      <c r="D19" s="898" t="n">
        <f aca="false">PGL_Requirements!C8/1000</f>
        <v>0</v>
      </c>
      <c r="E19" s="889"/>
      <c r="F19" s="904" t="s">
        <v>633</v>
      </c>
      <c r="G19" s="906"/>
      <c r="H19" s="905" t="n">
        <f aca="false">PGL_Requirements!I8/1000</f>
        <v>0</v>
      </c>
      <c r="I19" s="926"/>
    </row>
    <row r="20" customFormat="false" ht="15.75" hidden="false" customHeight="true" outlineLevel="0" collapsed="false">
      <c r="B20" s="900" t="s">
        <v>634</v>
      </c>
      <c r="C20" s="901" t="n">
        <f aca="false">C17+C18-D19</f>
        <v>0</v>
      </c>
      <c r="D20" s="927" t="s">
        <v>0</v>
      </c>
      <c r="E20" s="903" t="n">
        <f aca="false">AVERAGE(C20/24)</f>
        <v>0</v>
      </c>
      <c r="F20" s="928" t="s">
        <v>410</v>
      </c>
      <c r="G20" s="74" t="n">
        <v>0</v>
      </c>
      <c r="H20" s="898" t="s">
        <v>0</v>
      </c>
      <c r="I20" s="889"/>
    </row>
    <row r="21" customFormat="false" ht="15.75" hidden="false" customHeight="true" outlineLevel="0" collapsed="false">
      <c r="B21" s="890" t="s">
        <v>635</v>
      </c>
      <c r="C21" s="898" t="n">
        <f aca="false">PGL_Supplies!AA8/1000</f>
        <v>4.62</v>
      </c>
      <c r="D21" s="898" t="s">
        <v>0</v>
      </c>
      <c r="E21" s="889"/>
      <c r="F21" s="890" t="s">
        <v>158</v>
      </c>
      <c r="G21" s="898" t="n">
        <f aca="false">PGL_Supplies!AD8/1000</f>
        <v>0</v>
      </c>
      <c r="H21" s="898" t="s">
        <v>0</v>
      </c>
      <c r="I21" s="889"/>
    </row>
    <row r="22" customFormat="false" ht="15.75" hidden="false" customHeight="true" outlineLevel="0" collapsed="false">
      <c r="B22" s="915" t="s">
        <v>619</v>
      </c>
      <c r="C22" s="916" t="n">
        <f aca="false">SUM(C21)-SUM(D21)</f>
        <v>4.62</v>
      </c>
      <c r="D22" s="258"/>
      <c r="E22" s="917"/>
      <c r="F22" s="915" t="s">
        <v>619</v>
      </c>
      <c r="G22" s="916" t="n">
        <f aca="false">G21</f>
        <v>0</v>
      </c>
      <c r="H22" s="258"/>
      <c r="I22" s="917"/>
    </row>
    <row r="23" customFormat="false" ht="15.75" hidden="false" customHeight="true" outlineLevel="0" collapsed="false">
      <c r="B23" s="890" t="s">
        <v>636</v>
      </c>
      <c r="C23" s="898" t="n">
        <f aca="false">PGL_Supplies!D8/1000</f>
        <v>0</v>
      </c>
      <c r="D23" s="74"/>
      <c r="E23" s="889"/>
      <c r="F23" s="890" t="s">
        <v>637</v>
      </c>
      <c r="G23" s="898" t="n">
        <f aca="false">PGL_Supplies!G8/1000</f>
        <v>0</v>
      </c>
      <c r="H23" s="74"/>
      <c r="I23" s="889"/>
    </row>
    <row r="24" customFormat="false" ht="15.75" hidden="false" customHeight="true" outlineLevel="0" collapsed="false">
      <c r="B24" s="890" t="s">
        <v>638</v>
      </c>
      <c r="C24" s="74" t="n">
        <v>0</v>
      </c>
      <c r="D24" s="898" t="n">
        <f aca="false">PGL_Requirements!D8/1000</f>
        <v>4.62</v>
      </c>
      <c r="E24" s="889"/>
      <c r="F24" s="890" t="s">
        <v>639</v>
      </c>
      <c r="G24" s="74"/>
      <c r="H24" s="898" t="n">
        <f aca="false">PGL_Requirements!F8/1000</f>
        <v>0</v>
      </c>
      <c r="I24" s="889"/>
    </row>
    <row r="25" customFormat="false" ht="15.75" hidden="false" customHeight="true" outlineLevel="0" collapsed="false">
      <c r="B25" s="900" t="s">
        <v>640</v>
      </c>
      <c r="C25" s="901" t="n">
        <f aca="false">C22+C23-D24</f>
        <v>0</v>
      </c>
      <c r="D25" s="902"/>
      <c r="E25" s="903" t="n">
        <f aca="false">AVERAGE(C25/24)</f>
        <v>0</v>
      </c>
      <c r="F25" s="365" t="s">
        <v>641</v>
      </c>
      <c r="G25" s="929" t="n">
        <f aca="false">G22+G23-H24+G20</f>
        <v>0</v>
      </c>
      <c r="H25" s="411"/>
      <c r="I25" s="930" t="n">
        <f aca="false">AVERAGE(G25/24)</f>
        <v>0</v>
      </c>
    </row>
    <row r="26" customFormat="false" ht="15.75" hidden="false" customHeight="true" outlineLevel="0" collapsed="false">
      <c r="B26" s="0" t="s">
        <v>642</v>
      </c>
    </row>
    <row r="27" customFormat="false" ht="15.75" hidden="false" customHeight="true" outlineLevel="0" collapsed="false">
      <c r="B27" s="0" t="s">
        <v>643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644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1" width="8.65"/>
    <col collapsed="false" customWidth="true" hidden="false" outlineLevel="0" max="2" min="2" style="931" width="8.1"/>
    <col collapsed="false" customWidth="true" hidden="false" outlineLevel="0" max="3" min="3" style="931" width="7.88"/>
    <col collapsed="false" customWidth="true" hidden="false" outlineLevel="0" max="4" min="4" style="931" width="5.88"/>
    <col collapsed="false" customWidth="true" hidden="false" outlineLevel="0" max="5" min="5" style="931" width="4.44"/>
    <col collapsed="false" customWidth="true" hidden="false" outlineLevel="0" max="6" min="6" style="931" width="5.21"/>
    <col collapsed="false" customWidth="true" hidden="false" outlineLevel="0" max="7" min="7" style="931" width="8.99"/>
    <col collapsed="false" customWidth="false" hidden="false" outlineLevel="0" max="11" min="8" style="931" width="8.88"/>
    <col collapsed="false" customWidth="true" hidden="false" outlineLevel="0" max="12" min="12" style="931" width="14.88"/>
    <col collapsed="false" customWidth="true" hidden="false" outlineLevel="0" max="13" min="13" style="931" width="5.65"/>
    <col collapsed="false" customWidth="false" hidden="false" outlineLevel="0" max="257" min="14" style="931" width="8.88"/>
  </cols>
  <sheetData>
    <row r="1" customFormat="false" ht="22.5" hidden="false" customHeight="false" outlineLevel="0" collapsed="false">
      <c r="A1" s="932"/>
      <c r="B1" s="933"/>
      <c r="C1" s="934" t="s">
        <v>645</v>
      </c>
      <c r="D1" s="935"/>
      <c r="E1" s="935" t="s">
        <v>646</v>
      </c>
      <c r="F1" s="935"/>
      <c r="G1" s="936" t="s">
        <v>647</v>
      </c>
      <c r="H1" s="937" t="n">
        <f aca="false">Weather_Input!A6</f>
        <v>37009</v>
      </c>
      <c r="I1" s="938"/>
      <c r="J1" s="939"/>
      <c r="K1" s="939"/>
    </row>
    <row r="2" customFormat="false" ht="16.5" hidden="false" customHeight="true" outlineLevel="0" collapsed="false">
      <c r="A2" s="940" t="s">
        <v>648</v>
      </c>
      <c r="C2" s="941" t="n">
        <v>316</v>
      </c>
      <c r="F2" s="942" t="n">
        <v>315</v>
      </c>
      <c r="H2" s="939"/>
      <c r="I2" s="938" t="s">
        <v>649</v>
      </c>
      <c r="J2" s="943" t="n">
        <f aca="false">NSG_Supplies!Q8/1000</f>
        <v>20</v>
      </c>
    </row>
    <row r="3" customFormat="false" ht="16.5" hidden="false" customHeight="true" outlineLevel="0" collapsed="false">
      <c r="A3" s="944" t="n">
        <f aca="false">PGL_Supplies!J8/1000</f>
        <v>0</v>
      </c>
      <c r="C3" s="931" t="s">
        <v>0</v>
      </c>
      <c r="G3" s="938"/>
      <c r="H3" s="939"/>
    </row>
    <row r="4" customFormat="false" ht="16.5" hidden="false" customHeight="true" outlineLevel="0" collapsed="false">
      <c r="A4" s="945" t="s">
        <v>650</v>
      </c>
      <c r="G4" s="946"/>
      <c r="H4" s="939"/>
      <c r="I4" s="938"/>
      <c r="J4" s="938" t="s">
        <v>651</v>
      </c>
      <c r="K4" s="943" t="n">
        <f aca="false">Billy_Sheet!C5</f>
        <v>0</v>
      </c>
      <c r="N4" s="943"/>
    </row>
    <row r="5" customFormat="false" ht="16.5" hidden="false" customHeight="true" outlineLevel="0" collapsed="false">
      <c r="A5" s="947" t="n">
        <f aca="false">PGL_Supplies!K7/1000</f>
        <v>0</v>
      </c>
      <c r="B5" s="948"/>
      <c r="G5" s="933"/>
      <c r="H5" s="943"/>
      <c r="U5" s="939"/>
      <c r="V5" s="939"/>
    </row>
    <row r="6" customFormat="false" ht="16.5" hidden="false" customHeight="true" outlineLevel="0" collapsed="false">
      <c r="A6" s="949" t="s">
        <v>652</v>
      </c>
      <c r="G6" s="933"/>
      <c r="H6" s="943"/>
      <c r="U6" s="939"/>
      <c r="V6" s="943"/>
    </row>
    <row r="7" customFormat="false" ht="18.75" hidden="false" customHeight="true" outlineLevel="0" collapsed="false">
      <c r="A7" s="943" t="n">
        <f aca="false">Billy_Sheet!G14</f>
        <v>0</v>
      </c>
      <c r="G7" s="933"/>
      <c r="H7" s="950"/>
      <c r="U7" s="939"/>
      <c r="V7" s="950"/>
    </row>
    <row r="8" customFormat="false" ht="14.45" hidden="false" customHeight="true" outlineLevel="0" collapsed="false">
      <c r="A8" s="938" t="s">
        <v>94</v>
      </c>
      <c r="G8" s="933"/>
      <c r="H8" s="938" t="s">
        <v>405</v>
      </c>
      <c r="I8" s="938"/>
      <c r="K8" s="938"/>
      <c r="L8" s="938"/>
      <c r="N8" s="938"/>
      <c r="O8" s="938"/>
      <c r="U8" s="939"/>
      <c r="V8" s="943"/>
    </row>
    <row r="9" customFormat="false" ht="14.45" hidden="false" customHeight="true" outlineLevel="0" collapsed="false">
      <c r="A9" s="943" t="n">
        <f aca="false">PGL_Supplies!I8/1000</f>
        <v>10</v>
      </c>
      <c r="H9" s="943" t="n">
        <v>0</v>
      </c>
      <c r="I9" s="951"/>
      <c r="K9" s="938" t="s">
        <v>653</v>
      </c>
      <c r="L9" s="943" t="n">
        <f aca="false">NSG_Deliveries!C6/1000</f>
        <v>53</v>
      </c>
      <c r="N9" s="938"/>
      <c r="O9" s="943"/>
      <c r="U9" s="939"/>
      <c r="V9" s="943"/>
    </row>
    <row r="10" customFormat="false" ht="18" hidden="false" customHeight="true" outlineLevel="0" collapsed="false">
      <c r="A10" s="938" t="s">
        <v>85</v>
      </c>
      <c r="H10" s="952" t="s">
        <v>654</v>
      </c>
      <c r="U10" s="939"/>
      <c r="V10" s="943"/>
    </row>
    <row r="11" customFormat="false" ht="14.45" hidden="false" customHeight="true" outlineLevel="0" collapsed="false">
      <c r="A11" s="943" t="n">
        <f aca="false">Billy_Sheet!C20</f>
        <v>0</v>
      </c>
      <c r="B11" s="951"/>
      <c r="H11" s="943" t="n">
        <f aca="false">NSG_Supplies!U8/1000</f>
        <v>0</v>
      </c>
      <c r="K11" s="933" t="s">
        <v>655</v>
      </c>
      <c r="L11" s="946" t="n">
        <f aca="false">SUM(K4+K17+K19+H11+H9-L9)</f>
        <v>0.00500000000000256</v>
      </c>
      <c r="N11" s="933"/>
      <c r="O11" s="946"/>
      <c r="U11" s="939"/>
      <c r="V11" s="953"/>
    </row>
    <row r="12" customFormat="false" ht="14.45" hidden="false" customHeight="true" outlineLevel="0" collapsed="false">
      <c r="A12" s="938" t="s">
        <v>656</v>
      </c>
      <c r="H12" s="943"/>
      <c r="U12" s="939"/>
      <c r="V12" s="943"/>
    </row>
    <row r="13" customFormat="false" ht="14.45" hidden="false" customHeight="true" outlineLevel="0" collapsed="false">
      <c r="A13" s="947" t="n">
        <f aca="false">PGL_Supplies!Y8/1000</f>
        <v>159.391</v>
      </c>
      <c r="H13" s="943"/>
      <c r="U13" s="939"/>
      <c r="V13" s="943"/>
    </row>
    <row r="14" customFormat="false" ht="14.45" hidden="false" customHeight="true" outlineLevel="0" collapsed="false">
      <c r="H14" s="943"/>
      <c r="U14" s="939"/>
      <c r="V14" s="943"/>
    </row>
    <row r="15" customFormat="false" ht="15.6" hidden="false" customHeight="true" outlineLevel="0" collapsed="false">
      <c r="B15" s="931" t="s">
        <v>0</v>
      </c>
      <c r="C15" s="954" t="n">
        <v>320</v>
      </c>
      <c r="F15" s="954" t="n">
        <v>320</v>
      </c>
      <c r="H15" s="946"/>
      <c r="U15" s="955"/>
      <c r="V15" s="946"/>
    </row>
    <row r="16" customFormat="false" ht="42.75" hidden="false" customHeight="true" outlineLevel="0" collapsed="false">
      <c r="A16" s="956"/>
      <c r="B16" s="946"/>
      <c r="C16" s="957"/>
      <c r="D16" s="958"/>
      <c r="E16" s="958"/>
      <c r="F16" s="957"/>
    </row>
    <row r="17" customFormat="false" ht="38.25" hidden="false" customHeight="true" outlineLevel="0" collapsed="false">
      <c r="B17" s="958"/>
      <c r="C17" s="958"/>
      <c r="D17" s="959"/>
      <c r="E17" s="958"/>
      <c r="F17" s="958"/>
      <c r="G17" s="958"/>
      <c r="J17" s="938" t="s">
        <v>657</v>
      </c>
      <c r="K17" s="943" t="n">
        <f aca="false">NSG_Supplies!L8/1000</f>
        <v>0</v>
      </c>
      <c r="N17" s="943"/>
    </row>
    <row r="18" customFormat="false" ht="15" hidden="false" customHeight="true" outlineLevel="0" collapsed="false">
      <c r="A18" s="960"/>
      <c r="C18" s="954" t="n">
        <v>395</v>
      </c>
      <c r="D18" s="958"/>
      <c r="E18" s="958"/>
      <c r="F18" s="942" t="n">
        <v>815</v>
      </c>
    </row>
    <row r="19" customFormat="false" ht="11.25" hidden="false" customHeight="false" outlineLevel="0" collapsed="false">
      <c r="A19" s="949" t="s">
        <v>658</v>
      </c>
      <c r="C19" s="931" t="s">
        <v>0</v>
      </c>
      <c r="J19" s="938" t="s">
        <v>659</v>
      </c>
      <c r="K19" s="943" t="n">
        <f aca="false">NSG_Supplies!R8/1000+NSG_Supplies!F8/1000-NSG_Requirements!H8/1000</f>
        <v>53.005</v>
      </c>
      <c r="N19" s="961"/>
    </row>
    <row r="20" customFormat="false" ht="17.25" hidden="false" customHeight="true" outlineLevel="0" collapsed="false">
      <c r="A20" s="943" t="n">
        <f aca="false">Billy_Sheet!G15</f>
        <v>222.392</v>
      </c>
      <c r="G20" s="34"/>
      <c r="J20" s="938"/>
    </row>
    <row r="21" customFormat="false" ht="11.25" hidden="false" customHeight="true" outlineLevel="0" collapsed="false">
      <c r="G21" s="950"/>
      <c r="H21" s="950"/>
      <c r="I21" s="933"/>
      <c r="J21" s="946"/>
    </row>
    <row r="22" customFormat="false" ht="11.25" hidden="false" customHeight="false" outlineLevel="0" collapsed="false">
      <c r="A22" s="939" t="s">
        <v>408</v>
      </c>
      <c r="G22" s="938"/>
      <c r="I22" s="933"/>
      <c r="J22" s="938"/>
      <c r="M22" s="933"/>
      <c r="N22" s="946"/>
    </row>
    <row r="23" customFormat="false" ht="11.25" hidden="false" customHeight="false" outlineLevel="0" collapsed="false">
      <c r="A23" s="943" t="n">
        <f aca="false">Billy_Sheet!C25</f>
        <v>0</v>
      </c>
      <c r="G23" s="938" t="s">
        <v>660</v>
      </c>
      <c r="H23" s="939"/>
      <c r="I23" s="933"/>
      <c r="J23" s="946"/>
      <c r="M23" s="938"/>
      <c r="N23" s="946"/>
      <c r="Q23" s="962"/>
    </row>
    <row r="24" customFormat="false" ht="9" hidden="false" customHeight="true" outlineLevel="0" collapsed="false">
      <c r="G24" s="946" t="n">
        <v>0</v>
      </c>
      <c r="H24" s="933"/>
      <c r="I24" s="933"/>
      <c r="J24" s="933"/>
    </row>
    <row r="25" customFormat="false" ht="10.5" hidden="false" customHeight="true" outlineLevel="0" collapsed="false">
      <c r="A25" s="939" t="s">
        <v>410</v>
      </c>
      <c r="B25" s="939"/>
      <c r="C25" s="939"/>
      <c r="D25" s="939"/>
      <c r="F25" s="939"/>
      <c r="G25" s="938" t="s">
        <v>661</v>
      </c>
      <c r="H25" s="933"/>
      <c r="I25" s="933"/>
      <c r="J25" s="933"/>
    </row>
    <row r="26" customFormat="false" ht="14.25" hidden="false" customHeight="true" outlineLevel="0" collapsed="false">
      <c r="A26" s="943" t="n">
        <f aca="false">Billy_Sheet!G25</f>
        <v>0</v>
      </c>
      <c r="B26" s="939"/>
      <c r="C26" s="933"/>
      <c r="D26" s="933"/>
      <c r="F26" s="933"/>
      <c r="G26" s="963" t="n">
        <v>0.981</v>
      </c>
      <c r="H26" s="933"/>
      <c r="I26" s="933"/>
      <c r="J26" s="933" t="s">
        <v>662</v>
      </c>
      <c r="K26" s="964" t="n">
        <f aca="false">PGL_Deliveries!C6/1000</f>
        <v>270</v>
      </c>
      <c r="L26" s="938" t="s">
        <v>653</v>
      </c>
      <c r="M26" s="943" t="n">
        <f aca="false">NSG_Deliveries!C6/1000</f>
        <v>53</v>
      </c>
      <c r="N26" s="943"/>
    </row>
    <row r="27" customFormat="false" ht="8.25" hidden="false" customHeight="true" outlineLevel="0" collapsed="false">
      <c r="A27" s="933"/>
      <c r="B27" s="965"/>
      <c r="C27" s="933"/>
      <c r="D27" s="933"/>
      <c r="F27" s="933"/>
      <c r="G27" s="933"/>
      <c r="H27" s="966"/>
      <c r="I27" s="933"/>
      <c r="J27" s="966"/>
    </row>
    <row r="28" customFormat="false" ht="12.75" hidden="false" customHeight="true" outlineLevel="0" collapsed="false">
      <c r="A28" s="935" t="s">
        <v>663</v>
      </c>
      <c r="B28" s="943"/>
      <c r="C28" s="939"/>
      <c r="D28" s="933"/>
      <c r="F28" s="938"/>
      <c r="G28" s="955" t="s">
        <v>664</v>
      </c>
      <c r="H28" s="34"/>
      <c r="J28" s="933" t="s">
        <v>665</v>
      </c>
      <c r="K28" s="946" t="n">
        <f aca="false">SUM(A42)</f>
        <v>185.393</v>
      </c>
      <c r="L28" s="933" t="s">
        <v>666</v>
      </c>
      <c r="M28" s="946" t="n">
        <f aca="false">SUM(J2+K17+K19+H11+H9-M26)</f>
        <v>20.005</v>
      </c>
      <c r="N28" s="946"/>
    </row>
    <row r="29" customFormat="false" ht="11.25" hidden="false" customHeight="false" outlineLevel="0" collapsed="false">
      <c r="A29" s="943" t="n">
        <f aca="false">PGL_Supplies!M8/1000</f>
        <v>0</v>
      </c>
      <c r="B29" s="943"/>
      <c r="C29" s="933"/>
      <c r="D29" s="967"/>
      <c r="F29" s="968" t="n">
        <f aca="false">PGL_Requirements!A7</f>
        <v>37008</v>
      </c>
      <c r="G29" s="943" t="n">
        <f aca="false">PGL_Requirements!H7/1000</f>
        <v>21.32</v>
      </c>
      <c r="H29" s="950"/>
      <c r="J29" s="933" t="s">
        <v>667</v>
      </c>
      <c r="K29" s="943" t="n">
        <f aca="false">PGL_Supplies!AC8/1000+PGL_Supplies!L8/1000-PGL_Requirements!O8/1000</f>
        <v>77.48</v>
      </c>
    </row>
    <row r="30" customFormat="false" ht="10.5" hidden="false" customHeight="true" outlineLevel="0" collapsed="false">
      <c r="A30" s="969"/>
      <c r="B30" s="943"/>
      <c r="C30" s="933"/>
      <c r="D30" s="943"/>
      <c r="F30" s="968" t="n">
        <f aca="false">PGL_Requirements!A8</f>
        <v>37009</v>
      </c>
      <c r="G30" s="943" t="n">
        <f aca="false">PGL_Requirements!H8/1000</f>
        <v>20.39</v>
      </c>
    </row>
    <row r="31" customFormat="false" ht="17.25" hidden="false" customHeight="true" outlineLevel="0" collapsed="false">
      <c r="A31" s="935" t="s">
        <v>668</v>
      </c>
      <c r="B31" s="970"/>
      <c r="C31" s="971"/>
      <c r="D31" s="946"/>
      <c r="G31" s="955" t="s">
        <v>669</v>
      </c>
      <c r="H31" s="946"/>
      <c r="J31" s="933" t="s">
        <v>655</v>
      </c>
      <c r="K31" s="946" t="n">
        <f aca="false">SUM(K28+K29-K26)</f>
        <v>-7.12699999999995</v>
      </c>
    </row>
    <row r="32" customFormat="false" ht="11.25" hidden="false" customHeight="false" outlineLevel="0" collapsed="false">
      <c r="A32" s="943" t="n">
        <f aca="false">PGL_Supplies!H8/1000</f>
        <v>1</v>
      </c>
      <c r="G32" s="943" t="n">
        <f aca="false">PGL_Requirements!P8/1000</f>
        <v>187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8" t="s">
        <v>670</v>
      </c>
      <c r="G34" s="933" t="s">
        <v>671</v>
      </c>
    </row>
    <row r="35" customFormat="false" ht="11.25" hidden="false" customHeight="false" outlineLevel="0" collapsed="false">
      <c r="A35" s="963" t="n">
        <v>0</v>
      </c>
      <c r="G35" s="943" t="n">
        <f aca="false">PGL_Requirements!B8/1000</f>
        <v>0</v>
      </c>
    </row>
    <row r="36" customFormat="false" ht="11.25" hidden="false" customHeight="false" outlineLevel="0" collapsed="false">
      <c r="G36" s="943"/>
    </row>
    <row r="37" customFormat="false" ht="11.25" hidden="false" customHeight="false" outlineLevel="0" collapsed="false">
      <c r="C37" s="938" t="s">
        <v>672</v>
      </c>
      <c r="F37" s="938" t="s">
        <v>673</v>
      </c>
      <c r="G37" s="943"/>
    </row>
    <row r="38" customFormat="false" ht="11.25" hidden="false" customHeight="false" outlineLevel="0" collapsed="false">
      <c r="C38" s="954" t="n">
        <v>456</v>
      </c>
      <c r="F38" s="954" t="n">
        <v>753</v>
      </c>
    </row>
    <row r="39" customFormat="false" ht="11.25" hidden="false" customHeight="false" outlineLevel="0" collapsed="false">
      <c r="A39" s="940" t="s">
        <v>674</v>
      </c>
      <c r="E39" s="939" t="s">
        <v>675</v>
      </c>
      <c r="F39" s="939"/>
    </row>
    <row r="40" customFormat="false" ht="11.25" hidden="false" customHeight="false" outlineLevel="0" collapsed="false">
      <c r="A40" s="946" t="n">
        <f aca="false">SUM(A3:A35)</f>
        <v>392.783</v>
      </c>
      <c r="B40" s="953"/>
      <c r="C40" s="972"/>
      <c r="D40" s="953"/>
      <c r="E40" s="953"/>
      <c r="F40" s="943"/>
      <c r="G40" s="943" t="n">
        <f aca="false">SUM(G30:G35)</f>
        <v>207.39</v>
      </c>
      <c r="H40" s="953"/>
      <c r="I40" s="972"/>
    </row>
    <row r="41" customFormat="false" ht="11.25" hidden="false" customHeight="false" outlineLevel="0" collapsed="false">
      <c r="A41" s="973" t="s">
        <v>676</v>
      </c>
      <c r="B41" s="943"/>
      <c r="C41" s="953"/>
      <c r="D41" s="953"/>
      <c r="E41" s="953"/>
      <c r="F41" s="953"/>
      <c r="G41" s="953"/>
      <c r="H41" s="953"/>
      <c r="I41" s="972"/>
    </row>
    <row r="42" customFormat="false" ht="11.25" hidden="false" customHeight="false" outlineLevel="0" collapsed="false">
      <c r="A42" s="943" t="n">
        <f aca="false">SUM(A40-G40)</f>
        <v>185.393</v>
      </c>
      <c r="B42" s="943"/>
      <c r="C42" s="953"/>
      <c r="D42" s="953"/>
      <c r="E42" s="953"/>
      <c r="F42" s="974"/>
      <c r="G42" s="975" t="s">
        <v>677</v>
      </c>
      <c r="H42" s="976"/>
      <c r="I42" s="977"/>
      <c r="J42" s="976"/>
      <c r="K42" s="958"/>
    </row>
    <row r="43" customFormat="false" ht="14.25" hidden="false" customHeight="true" outlineLevel="0" collapsed="false">
      <c r="A43" s="943"/>
      <c r="B43" s="943"/>
      <c r="C43" s="943"/>
      <c r="D43" s="943"/>
      <c r="E43" s="974"/>
      <c r="F43" s="965" t="s">
        <v>678</v>
      </c>
      <c r="G43" s="974" t="s">
        <v>679</v>
      </c>
      <c r="I43" s="943"/>
    </row>
    <row r="44" customFormat="false" ht="12.75" hidden="false" customHeight="true" outlineLevel="0" collapsed="false">
      <c r="A44" s="973" t="s">
        <v>680</v>
      </c>
      <c r="B44" s="943" t="s">
        <v>681</v>
      </c>
      <c r="C44" s="943" t="s">
        <v>682</v>
      </c>
      <c r="D44" s="943" t="s">
        <v>683</v>
      </c>
      <c r="E44" s="978"/>
      <c r="F44" s="978" t="s">
        <v>684</v>
      </c>
      <c r="G44" s="953" t="s">
        <v>685</v>
      </c>
      <c r="H44" s="939" t="s">
        <v>686</v>
      </c>
      <c r="I44" s="943"/>
      <c r="K44" s="939"/>
    </row>
    <row r="45" customFormat="false" ht="11.25" hidden="false" customHeight="false" outlineLevel="0" collapsed="false">
      <c r="A45" s="973" t="s">
        <v>687</v>
      </c>
      <c r="B45" s="979" t="n">
        <v>250</v>
      </c>
      <c r="C45" s="979" t="n">
        <v>410</v>
      </c>
      <c r="D45" s="980" t="n">
        <f aca="false">SUM(F2+F15)/2</f>
        <v>317.5</v>
      </c>
      <c r="E45" s="981"/>
      <c r="F45" s="982" t="n">
        <v>0.067</v>
      </c>
      <c r="G45" s="983" t="n">
        <f aca="false">(C45-D45)*F45</f>
        <v>6.1975</v>
      </c>
      <c r="H45" s="983" t="n">
        <f aca="false">(D45-B45)*F45</f>
        <v>4.5225</v>
      </c>
      <c r="I45" s="943"/>
      <c r="J45" s="984"/>
    </row>
    <row r="46" customFormat="false" ht="11.25" hidden="false" customHeight="false" outlineLevel="0" collapsed="false">
      <c r="A46" s="939" t="s">
        <v>688</v>
      </c>
      <c r="B46" s="985" t="n">
        <v>797</v>
      </c>
      <c r="C46" s="979" t="n">
        <v>797</v>
      </c>
      <c r="D46" s="980" t="n">
        <v>797</v>
      </c>
      <c r="E46" s="981"/>
      <c r="F46" s="982" t="n">
        <v>0.139</v>
      </c>
      <c r="G46" s="983" t="n">
        <f aca="false">(C46-D46)*F46</f>
        <v>0</v>
      </c>
      <c r="H46" s="983" t="n">
        <f aca="false">(D46-B46)*F46</f>
        <v>0</v>
      </c>
      <c r="I46" s="943"/>
    </row>
    <row r="47" customFormat="false" ht="11.25" hidden="false" customHeight="false" outlineLevel="0" collapsed="false">
      <c r="A47" s="939" t="s">
        <v>689</v>
      </c>
      <c r="B47" s="985" t="n">
        <v>250</v>
      </c>
      <c r="C47" s="979" t="n">
        <v>410</v>
      </c>
      <c r="D47" s="980" t="n">
        <f aca="false">SUM(C2+C15)/2</f>
        <v>318</v>
      </c>
      <c r="E47" s="981"/>
      <c r="F47" s="982" t="n">
        <v>0.141</v>
      </c>
      <c r="G47" s="983" t="n">
        <f aca="false">(C47-D47)*F47</f>
        <v>12.972</v>
      </c>
      <c r="H47" s="983" t="n">
        <f aca="false">(D47-B47)*F47</f>
        <v>9.588</v>
      </c>
      <c r="I47" s="943"/>
    </row>
    <row r="48" customFormat="false" ht="11.25" hidden="false" customHeight="false" outlineLevel="0" collapsed="false">
      <c r="A48" s="939" t="s">
        <v>690</v>
      </c>
      <c r="B48" s="985" t="n">
        <v>285</v>
      </c>
      <c r="C48" s="979" t="n">
        <v>750</v>
      </c>
      <c r="D48" s="980" t="n">
        <f aca="false">SUM(C18+C38)/2</f>
        <v>425.5</v>
      </c>
      <c r="E48" s="981"/>
      <c r="F48" s="982" t="n">
        <v>0.161</v>
      </c>
      <c r="G48" s="983" t="n">
        <f aca="false">(C48-D48)*F48</f>
        <v>52.2445</v>
      </c>
      <c r="H48" s="983" t="n">
        <f aca="false">(D48-B48)*F48</f>
        <v>22.6205</v>
      </c>
    </row>
    <row r="49" customFormat="false" ht="11.25" hidden="false" customHeight="false" outlineLevel="0" collapsed="false">
      <c r="B49" s="951"/>
      <c r="C49" s="951"/>
      <c r="D49" s="951"/>
      <c r="E49" s="951"/>
      <c r="F49" s="986" t="s">
        <v>691</v>
      </c>
      <c r="G49" s="983" t="n">
        <f aca="false">SUM(G45:G48)</f>
        <v>71.414</v>
      </c>
      <c r="H49" s="983" t="n">
        <f aca="false">SUM(H45:H48)</f>
        <v>36.731</v>
      </c>
    </row>
    <row r="55" customFormat="false" ht="11.25" hidden="false" customHeight="false" outlineLevel="0" collapsed="false">
      <c r="A55" s="987"/>
      <c r="G55" s="9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37008</v>
      </c>
      <c r="B5" s="18" t="n">
        <v>62</v>
      </c>
      <c r="C5" s="19" t="n">
        <v>42</v>
      </c>
      <c r="D5" s="19" t="n">
        <v>9.1</v>
      </c>
      <c r="E5" s="18" t="n">
        <v>52.3</v>
      </c>
      <c r="F5" s="18" t="n">
        <v>358</v>
      </c>
      <c r="G5" s="18" t="n">
        <v>6391</v>
      </c>
      <c r="H5" s="18" t="n">
        <v>13</v>
      </c>
      <c r="I5" s="20" t="s">
        <v>29</v>
      </c>
      <c r="J5" s="20" t="s">
        <v>30</v>
      </c>
      <c r="K5" s="18" t="n">
        <v>3</v>
      </c>
      <c r="L5" s="18" t="n">
        <v>1</v>
      </c>
      <c r="N5" s="13" t="str">
        <f aca="false">I5&amp;" "&amp;I5</f>
        <v>  TODAY - MOSTLY SUNNY WITH A WARM BREEZE.   TODAY - MOSTLY SUNNY WITH A WARM BREEZE.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37009</v>
      </c>
      <c r="B6" s="18" t="n">
        <v>67</v>
      </c>
      <c r="C6" s="19" t="n">
        <v>48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1</v>
      </c>
      <c r="L6" s="18" t="s">
        <v>33</v>
      </c>
      <c r="N6" s="13" t="str">
        <f aca="false">I6&amp;" "&amp;J6</f>
        <v>  INTERVALS OF CLOUDS AND SUN.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37010</v>
      </c>
      <c r="B7" s="18" t="n">
        <v>78</v>
      </c>
      <c r="C7" s="19" t="n">
        <v>56</v>
      </c>
      <c r="D7" s="19" t="n">
        <v>15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SEVERAL HOURS OF SUNSHINE.  </v>
      </c>
    </row>
    <row r="8" customFormat="false" ht="16.5" hidden="false" customHeight="true" outlineLevel="0" collapsed="false">
      <c r="A8" s="17" t="n">
        <f aca="false">A7+1</f>
        <v>37011</v>
      </c>
      <c r="B8" s="18" t="n">
        <v>82</v>
      </c>
      <c r="C8" s="19" t="n">
        <v>58</v>
      </c>
      <c r="D8" s="19" t="n">
        <v>15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3</v>
      </c>
      <c r="L8" s="18"/>
      <c r="N8" s="13" t="str">
        <f aca="false">I8&amp;" "&amp;J8</f>
        <v>  SOME SUNSHINE WITH A CHANCE OF A THUNDERSTORM IN THE AFTERNOON.  </v>
      </c>
    </row>
    <row r="9" customFormat="false" ht="16.5" hidden="false" customHeight="true" outlineLevel="0" collapsed="false">
      <c r="A9" s="17" t="n">
        <f aca="false">A8+1</f>
        <v>37012</v>
      </c>
      <c r="B9" s="18" t="n">
        <v>84</v>
      </c>
      <c r="C9" s="19" t="n">
        <v>64</v>
      </c>
      <c r="D9" s="19" t="n">
        <v>15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I10&amp;" "&amp;J9</f>
        <v>  PARTLY SUNNY.  </v>
      </c>
    </row>
    <row r="10" customFormat="false" ht="16.5" hidden="false" customHeight="true" outlineLevel="0" collapsed="false">
      <c r="A10" s="17" t="n">
        <f aca="false">A9+1</f>
        <v>37013</v>
      </c>
      <c r="B10" s="18" t="n">
        <v>84</v>
      </c>
      <c r="C10" s="19" t="n">
        <v>64</v>
      </c>
      <c r="D10" s="19" t="n">
        <v>15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3</v>
      </c>
      <c r="L10" s="18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27" colorId="64" zoomScale="75" zoomScaleNormal="75" zoomScalePageLayoutView="100" workbookViewId="0">
      <selection pane="topLeft" activeCell="E27" activeCellId="0" sqref="E27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8" t="s">
        <v>662</v>
      </c>
      <c r="B2" s="989" t="n">
        <f aca="false">PGL_Deliveries!U5/1000</f>
        <v>330.216</v>
      </c>
      <c r="C2" s="74"/>
      <c r="D2" s="990" t="s">
        <v>647</v>
      </c>
      <c r="E2" s="991" t="n">
        <f aca="false">Weather_Input!A5</f>
        <v>37008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3" t="s">
        <v>692</v>
      </c>
      <c r="B3" s="992" t="n">
        <f aca="false">PGL_Supplies!J7/1000</f>
        <v>0</v>
      </c>
      <c r="C3" s="993"/>
      <c r="D3" s="994" t="s">
        <v>275</v>
      </c>
      <c r="E3" s="995" t="n">
        <f aca="false">PGL_Deliveries!T5/1000</f>
        <v>0</v>
      </c>
      <c r="F3" s="99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1"/>
      <c r="B4" s="997"/>
      <c r="C4" s="998"/>
      <c r="D4" s="999"/>
      <c r="E4" s="906"/>
      <c r="F4" s="100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1" t="s">
        <v>693</v>
      </c>
      <c r="B5" s="898" t="n">
        <f aca="false">PGL_Deliveries!D5/1000</f>
        <v>96.165</v>
      </c>
      <c r="C5" s="73"/>
      <c r="D5" s="76" t="s">
        <v>694</v>
      </c>
      <c r="E5" s="898" t="n">
        <f aca="false">PGL_Deliveries!O5/1000</f>
        <v>0.079</v>
      </c>
      <c r="F5" s="100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3" t="s">
        <v>487</v>
      </c>
      <c r="B6" s="898" t="n">
        <f aca="false">PGL_Deliveries!I5/1000</f>
        <v>181.597</v>
      </c>
      <c r="C6" s="1004"/>
      <c r="D6" s="76" t="s">
        <v>695</v>
      </c>
      <c r="E6" s="898" t="n">
        <f aca="false">PGL_Deliveries!P5/1000</f>
        <v>0.866</v>
      </c>
      <c r="F6" s="100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5" t="s">
        <v>696</v>
      </c>
      <c r="B7" s="1006" t="n">
        <f aca="false">SUM(B5:B6)</f>
        <v>277.762</v>
      </c>
      <c r="C7" s="1004"/>
      <c r="D7" s="76" t="s">
        <v>436</v>
      </c>
      <c r="E7" s="898" t="n">
        <f aca="false">PGL_Deliveries!E5/1000</f>
        <v>0</v>
      </c>
      <c r="F7" s="100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7" t="s">
        <v>656</v>
      </c>
      <c r="B8" s="898" t="n">
        <f aca="false">PGL_Deliveries!V5/1000</f>
        <v>104.633</v>
      </c>
      <c r="C8" s="1008"/>
      <c r="D8" s="76" t="s">
        <v>697</v>
      </c>
      <c r="E8" s="898" t="n">
        <f aca="false">PGL_Deliveries!N5/1000</f>
        <v>0.151</v>
      </c>
      <c r="F8" s="100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0" t="s">
        <v>85</v>
      </c>
      <c r="B9" s="898" t="n">
        <f aca="false">PGL_Deliveries!W5/1000</f>
        <v>0</v>
      </c>
      <c r="C9" s="73"/>
      <c r="D9" s="76" t="s">
        <v>439</v>
      </c>
      <c r="E9" s="898" t="n">
        <f aca="false">PGL_Deliveries!Q5/1000</f>
        <v>0.202</v>
      </c>
      <c r="F9" s="100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0" t="s">
        <v>408</v>
      </c>
      <c r="B10" s="898" t="n">
        <f aca="false">PGL_Deliveries!X5/1000</f>
        <v>0</v>
      </c>
      <c r="C10" s="73"/>
      <c r="D10" s="76" t="s">
        <v>440</v>
      </c>
      <c r="E10" s="898" t="n">
        <f aca="false">PGL_Deliveries!S5/1000</f>
        <v>4.278</v>
      </c>
      <c r="F10" s="100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8" t="s">
        <v>94</v>
      </c>
      <c r="B11" s="898" t="n">
        <f aca="false">(PGL_Deliveries!AJ5+PGL_Deliveries!AK5)/1000</f>
        <v>13.519</v>
      </c>
      <c r="C11" s="73"/>
      <c r="D11" s="76" t="s">
        <v>698</v>
      </c>
      <c r="E11" s="898" t="n">
        <f aca="false">PGL_Deliveries!R5/1000</f>
        <v>2.688</v>
      </c>
      <c r="F11" s="100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0" t="s">
        <v>699</v>
      </c>
      <c r="B12" s="898" t="n">
        <f aca="false">PGL_Supplies!K7/1000</f>
        <v>0</v>
      </c>
      <c r="C12" s="73"/>
      <c r="D12" s="76" t="s">
        <v>443</v>
      </c>
      <c r="E12" s="898" t="n">
        <f aca="false">PGL_Deliveries!G5/1000</f>
        <v>1.622</v>
      </c>
      <c r="F12" s="100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0" t="s">
        <v>700</v>
      </c>
      <c r="B13" s="898" t="n">
        <f aca="false">PGL_Deliveries!Y5/1000+PGL_Deliveries!Z5/1000+PGL_Deliveries!AA5/1000-PGL_Deliveries!BE5/1000</f>
        <v>251.891</v>
      </c>
      <c r="C13" s="73"/>
      <c r="D13" s="76" t="s">
        <v>444</v>
      </c>
      <c r="E13" s="898" t="n">
        <f aca="false">PGL_Deliveries!F5/1000</f>
        <v>36.34</v>
      </c>
      <c r="F13" s="100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0" t="s">
        <v>410</v>
      </c>
      <c r="B14" s="898" t="n">
        <f aca="false">PGL_Deliveries!AD5/1000</f>
        <v>0</v>
      </c>
      <c r="C14" s="73"/>
      <c r="D14" s="76" t="s">
        <v>446</v>
      </c>
      <c r="E14" s="898" t="n">
        <f aca="false">PGL_Deliveries!H5/1000</f>
        <v>1.94</v>
      </c>
      <c r="F14" s="1002"/>
      <c r="G14" s="89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0" t="s">
        <v>67</v>
      </c>
      <c r="B15" s="898" t="n">
        <f aca="false">PGL_Deliveries!AH5/1000+PGL_Deliveries!AX5/1000+PGL_Deliveries!AT5/1000-PGL_Deliveries!AS5/1000-PGL_Deliveries!AU5/1000+PGL_Deliveries!AE5/1000+PGL_Deliveries!AF5/1000-PGL_Deliveries!AV5/1000</f>
        <v>-102.78</v>
      </c>
      <c r="C15" s="73"/>
      <c r="D15" s="76" t="s">
        <v>448</v>
      </c>
      <c r="E15" s="898" t="n">
        <f aca="false">PGL_Deliveries!K5/1000</f>
        <v>0</v>
      </c>
      <c r="F15" s="100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0" t="s">
        <v>701</v>
      </c>
      <c r="B16" s="74"/>
      <c r="C16" s="1009" t="n">
        <f aca="false">PGL_Deliveries!AO5/1000</f>
        <v>0</v>
      </c>
      <c r="D16" s="76" t="s">
        <v>452</v>
      </c>
      <c r="E16" s="898" t="n">
        <f aca="false">PGL_Deliveries!L5/1000</f>
        <v>0.277</v>
      </c>
      <c r="F16" s="100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4" t="s">
        <v>412</v>
      </c>
      <c r="B17" s="898" t="n">
        <f aca="false">PGL_Deliveries!AP5/1000</f>
        <v>10.499</v>
      </c>
      <c r="C17" s="1004" t="s">
        <v>0</v>
      </c>
      <c r="D17" s="1010" t="s">
        <v>450</v>
      </c>
      <c r="E17" s="905" t="n">
        <f aca="false">PGL_Deliveries!M5/1000</f>
        <v>4.011</v>
      </c>
      <c r="F17" s="100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1" t="s">
        <v>702</v>
      </c>
      <c r="B18" s="929" t="n">
        <f aca="false">SUM(B8:B17)-C16</f>
        <v>277.762</v>
      </c>
      <c r="C18" s="1004"/>
      <c r="D18" s="1012" t="s">
        <v>703</v>
      </c>
      <c r="E18" s="1013" t="n">
        <f aca="false">SUM(E5:E17)</f>
        <v>52.454</v>
      </c>
      <c r="F18" s="100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7" t="s">
        <v>618</v>
      </c>
      <c r="B19" s="898" t="n">
        <f aca="false">PGL_Supplies!Y7/1000</f>
        <v>152.629</v>
      </c>
      <c r="C19" s="1008"/>
      <c r="D19" s="76" t="s">
        <v>595</v>
      </c>
      <c r="E19" s="898" t="n">
        <f aca="false">PGL_Deliveries!AI5/1000</f>
        <v>0.006</v>
      </c>
      <c r="F19" s="100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0" t="s">
        <v>299</v>
      </c>
      <c r="B20" s="898" t="n">
        <f aca="false">PGL_Supplies!X7/1000</f>
        <v>0</v>
      </c>
      <c r="C20" s="73"/>
      <c r="D20" s="76" t="s">
        <v>416</v>
      </c>
      <c r="E20" s="898" t="n">
        <f aca="false">PGL_Deliveries!AW5/1000+B41</f>
        <v>2.3361</v>
      </c>
      <c r="F20" s="100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0" t="s">
        <v>621</v>
      </c>
      <c r="C21" s="899" t="n">
        <f aca="false">PGL_Requirements!J7/1000</f>
        <v>0</v>
      </c>
      <c r="D21" s="1014" t="s">
        <v>704</v>
      </c>
      <c r="E21" s="1015" t="n">
        <f aca="false">SUM(E18:E20)</f>
        <v>54.7961</v>
      </c>
      <c r="F21" s="101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7" t="s">
        <v>691</v>
      </c>
      <c r="B22" s="1018" t="n">
        <f aca="false">+B19+B20-C21</f>
        <v>152.629</v>
      </c>
      <c r="C22" s="1019"/>
      <c r="D22" s="1020" t="s">
        <v>705</v>
      </c>
      <c r="E22" s="898" t="n">
        <f aca="false">NSG_Requirements!$L$7/1000</f>
        <v>0</v>
      </c>
      <c r="F22" s="100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0" t="s">
        <v>456</v>
      </c>
      <c r="B23" s="898" t="n">
        <f aca="false">PGL_Supplies!Z7/1000</f>
        <v>41.16</v>
      </c>
      <c r="C23" s="73"/>
      <c r="D23" s="1020" t="s">
        <v>706</v>
      </c>
      <c r="E23" s="74"/>
      <c r="F23" s="899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8" t="s">
        <v>707</v>
      </c>
      <c r="B24" s="1021"/>
      <c r="C24" s="1009" t="n">
        <f aca="false">PGL_Requirements!U7/1000</f>
        <v>40</v>
      </c>
      <c r="D24" s="74" t="s">
        <v>708</v>
      </c>
      <c r="E24" s="74"/>
      <c r="F24" s="89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8" t="s">
        <v>709</v>
      </c>
      <c r="B25" s="898" t="n">
        <f aca="false">PGL_Supplies!R7/1000</f>
        <v>0</v>
      </c>
      <c r="C25" s="73"/>
      <c r="D25" s="1020" t="s">
        <v>710</v>
      </c>
      <c r="E25" s="74"/>
      <c r="F25" s="899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7" t="s">
        <v>453</v>
      </c>
      <c r="B26" s="82" t="s">
        <v>0</v>
      </c>
      <c r="C26" s="1022" t="s">
        <v>0</v>
      </c>
      <c r="D26" s="74" t="s">
        <v>711</v>
      </c>
      <c r="E26" s="74"/>
      <c r="F26" s="89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0" t="s">
        <v>712</v>
      </c>
      <c r="B27" s="898" t="n">
        <f aca="false">PGL_Supplies!AA7/1000</f>
        <v>0</v>
      </c>
      <c r="C27" s="73"/>
      <c r="D27" s="74" t="s">
        <v>419</v>
      </c>
      <c r="E27" s="74" t="s">
        <v>0</v>
      </c>
      <c r="F27" s="899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0" t="s">
        <v>713</v>
      </c>
      <c r="B28" s="898" t="n">
        <v>0</v>
      </c>
      <c r="C28" s="73"/>
      <c r="D28" s="1020" t="s">
        <v>714</v>
      </c>
      <c r="E28" s="74"/>
      <c r="F28" s="899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7" t="s">
        <v>715</v>
      </c>
      <c r="B29" s="82"/>
      <c r="C29" s="1022" t="n">
        <f aca="false">PGL_Requirements!J12/1000</f>
        <v>0</v>
      </c>
      <c r="D29" s="1020" t="s">
        <v>424</v>
      </c>
      <c r="E29" s="1023" t="s">
        <v>0</v>
      </c>
      <c r="F29" s="899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0" t="s">
        <v>716</v>
      </c>
      <c r="B30" s="1024" t="n">
        <f aca="false">PGL_Supplies!AD7/1000</f>
        <v>0</v>
      </c>
      <c r="C30" s="73"/>
      <c r="D30" s="1020" t="s">
        <v>717</v>
      </c>
      <c r="E30" s="74" t="s">
        <v>0</v>
      </c>
      <c r="F30" s="899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0" t="s">
        <v>718</v>
      </c>
      <c r="B31" s="898" t="n">
        <f aca="false">PGL_Supplies!AE7/1000</f>
        <v>0</v>
      </c>
      <c r="C31" s="73"/>
      <c r="D31" s="1020" t="s">
        <v>719</v>
      </c>
      <c r="E31" s="74" t="s">
        <v>0</v>
      </c>
      <c r="F31" s="899" t="n">
        <f aca="false">PGL_Requirements!O7/1000</f>
        <v>57.782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8" t="s">
        <v>720</v>
      </c>
      <c r="B32" s="74"/>
      <c r="C32" s="1009" t="n">
        <v>0</v>
      </c>
      <c r="D32" s="1025" t="s">
        <v>721</v>
      </c>
      <c r="E32" s="898" t="n">
        <f aca="false">PGL_Deliveries!AR5/1000</f>
        <v>0</v>
      </c>
      <c r="F32" s="100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8" t="s">
        <v>722</v>
      </c>
      <c r="B33" s="898" t="n">
        <f aca="false">PGL_Supplies!Q7/1000</f>
        <v>0</v>
      </c>
      <c r="C33" s="73"/>
      <c r="D33" s="1020" t="s">
        <v>723</v>
      </c>
      <c r="E33" s="898" t="n">
        <f aca="false">-PGL_Supplies!M7/1000</f>
        <v>-0</v>
      </c>
      <c r="F33" s="100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0" t="s">
        <v>724</v>
      </c>
      <c r="B34" s="1026" t="n">
        <f aca="false">(PGL_Deliveries!AB5+PGL_Deliveries!AC5+PGL_Deliveries!AD5)/1000</f>
        <v>0</v>
      </c>
      <c r="C34" s="73"/>
      <c r="D34" s="74" t="s">
        <v>295</v>
      </c>
      <c r="E34" s="898" t="n">
        <f aca="false">PGL_Supplies!AC7/1000</f>
        <v>112.578</v>
      </c>
      <c r="F34" s="100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0" t="s">
        <v>725</v>
      </c>
      <c r="B35" s="74"/>
      <c r="C35" s="73" t="n">
        <f aca="false">PGL_Deliveries!AC5/1000</f>
        <v>0</v>
      </c>
      <c r="D35" s="74" t="s">
        <v>726</v>
      </c>
      <c r="E35" s="898" t="n">
        <v>0</v>
      </c>
      <c r="F35" s="100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7" t="s">
        <v>727</v>
      </c>
      <c r="B36" s="82"/>
      <c r="C36" s="1022" t="n">
        <f aca="false">PGL_Deliveries!AB5/1000</f>
        <v>0</v>
      </c>
      <c r="D36" s="1025" t="s">
        <v>728</v>
      </c>
      <c r="E36" s="898" t="n">
        <f aca="false">PGL_Supplies!N7/1000</f>
        <v>0</v>
      </c>
      <c r="F36" s="100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8" t="s">
        <v>729</v>
      </c>
      <c r="B37" s="898" t="s">
        <v>0</v>
      </c>
      <c r="C37" s="1009" t="n">
        <f aca="false">PGL_Requirements!P7/1000</f>
        <v>155.74</v>
      </c>
      <c r="D37" s="1020" t="s">
        <v>730</v>
      </c>
      <c r="E37" s="898" t="n">
        <f aca="false">PGL_Supplies!O7/1000</f>
        <v>0</v>
      </c>
      <c r="F37" s="100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8" t="s">
        <v>731</v>
      </c>
      <c r="B38" s="898" t="n">
        <f aca="false">PGL_Supplies!M7/1000</f>
        <v>0</v>
      </c>
      <c r="C38" s="73"/>
      <c r="F38" s="1002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0" t="s">
        <v>732</v>
      </c>
      <c r="B39" s="74"/>
      <c r="C39" s="1009" t="n">
        <f aca="false">PGL_Deliveries!AS5/1000</f>
        <v>0</v>
      </c>
      <c r="D39" s="74"/>
      <c r="E39" s="74"/>
      <c r="F39" s="1002"/>
      <c r="G39" s="29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0" t="s">
        <v>437</v>
      </c>
      <c r="B40" s="898" t="n">
        <f aca="false">PGL_Deliveries!AT5/1000</f>
        <v>0.209</v>
      </c>
      <c r="C40" s="73"/>
      <c r="D40" s="1027" t="s">
        <v>325</v>
      </c>
      <c r="E40" s="1015" t="n">
        <f aca="false">SUM(E22:E37)-SUM(F23:F39)-E33</f>
        <v>54.796</v>
      </c>
      <c r="F40" s="1000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0" t="s">
        <v>341</v>
      </c>
      <c r="B41" s="898" t="n">
        <f aca="false">PGL_Deliveries!AG5/1000</f>
        <v>0</v>
      </c>
      <c r="C41" s="73"/>
      <c r="D41" s="1028" t="s">
        <v>733</v>
      </c>
      <c r="E41" s="995"/>
      <c r="F41" s="899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8" t="s">
        <v>734</v>
      </c>
      <c r="B42" s="898" t="n">
        <f aca="false">PGL_Deliveries!AF5/1000</f>
        <v>53.381</v>
      </c>
      <c r="C42" s="73"/>
      <c r="D42" s="1020" t="s">
        <v>261</v>
      </c>
      <c r="E42" s="1029" t="n">
        <f aca="false">PGL_Supplies!AB7/1000</f>
        <v>261.981</v>
      </c>
      <c r="F42" s="100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0" t="s">
        <v>735</v>
      </c>
      <c r="B43" s="898" t="n">
        <f aca="false">PGL_Deliveries!AW5/1000</f>
        <v>2.3361</v>
      </c>
      <c r="C43" s="73"/>
      <c r="D43" s="74" t="s">
        <v>425</v>
      </c>
      <c r="E43" s="1029" t="n">
        <f aca="false">PGL_Supplies!W7/1000</f>
        <v>0</v>
      </c>
      <c r="F43" s="1002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4" t="s">
        <v>736</v>
      </c>
      <c r="B44" s="905" t="s">
        <v>0</v>
      </c>
      <c r="C44" s="1009" t="n">
        <f aca="false">PGL_Requirements!R7/1000</f>
        <v>0.63</v>
      </c>
      <c r="D44" s="74" t="s">
        <v>613</v>
      </c>
      <c r="E44" s="898"/>
      <c r="F44" s="899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7" t="s">
        <v>737</v>
      </c>
      <c r="B45" s="74" t="n">
        <f aca="false">Weather_Input!B5</f>
        <v>62</v>
      </c>
      <c r="C45" s="993"/>
      <c r="D45" s="74" t="s">
        <v>738</v>
      </c>
      <c r="E45" s="898" t="n">
        <f aca="false">NSG_Requirements!$AB$7+NSG_Requirements!$AC$7+NSG_Requirements!$AD$7+NSG_Requirements!$AE$7/1000+NSG_Requirements!K7/1000</f>
        <v>0</v>
      </c>
      <c r="F45" s="899"/>
    </row>
    <row r="46" customFormat="false" ht="15" hidden="false" customHeight="false" outlineLevel="0" collapsed="false">
      <c r="A46" s="890" t="s">
        <v>739</v>
      </c>
      <c r="B46" s="1030" t="n">
        <f aca="false">Weather_Input!C5</f>
        <v>42</v>
      </c>
      <c r="C46" s="41"/>
      <c r="D46" s="74" t="s">
        <v>342</v>
      </c>
      <c r="E46" s="1029" t="n">
        <f aca="false">PGL_Supplies!T7/1000</f>
        <v>0</v>
      </c>
      <c r="F46" s="1002"/>
    </row>
    <row r="47" customFormat="false" ht="15" hidden="false" customHeight="false" outlineLevel="0" collapsed="false">
      <c r="A47" s="918" t="s">
        <v>740</v>
      </c>
      <c r="B47" s="74" t="n">
        <f aca="false">Weather_Input!E5</f>
        <v>52.3</v>
      </c>
      <c r="C47" s="41"/>
      <c r="D47" s="1031" t="s">
        <v>344</v>
      </c>
      <c r="E47" s="82"/>
      <c r="F47" s="1032" t="n">
        <f aca="false">PGL_Deliveries!BE5/1000</f>
        <v>0</v>
      </c>
    </row>
    <row r="48" customFormat="false" ht="15" hidden="false" customHeight="false" outlineLevel="0" collapsed="false">
      <c r="A48" s="890" t="s">
        <v>741</v>
      </c>
      <c r="B48" s="1033" t="n">
        <f aca="false">Weather_Input!D5</f>
        <v>9.1</v>
      </c>
      <c r="C48" s="41"/>
      <c r="D48" s="1020" t="s">
        <v>477</v>
      </c>
      <c r="E48" s="898" t="n">
        <f aca="false">PGL_Deliveries!AI5/1000</f>
        <v>0.006</v>
      </c>
      <c r="F48" s="889"/>
    </row>
    <row r="49" customFormat="false" ht="15" hidden="false" customHeight="false" outlineLevel="0" collapsed="false">
      <c r="A49" s="890" t="s">
        <v>742</v>
      </c>
      <c r="B49" s="898" t="n">
        <f aca="false">PGL_Deliveries!AM5/1000</f>
        <v>1.02</v>
      </c>
      <c r="C49" s="41"/>
      <c r="D49" s="74" t="s">
        <v>743</v>
      </c>
      <c r="E49" s="898" t="n">
        <f aca="false">PGL_Deliveries!AJ5/1000</f>
        <v>8.321</v>
      </c>
      <c r="F49" s="889"/>
    </row>
    <row r="50" customFormat="false" ht="15.75" hidden="false" customHeight="false" outlineLevel="2" collapsed="false">
      <c r="A50" s="871" t="s">
        <v>744</v>
      </c>
      <c r="B50" s="997"/>
      <c r="C50" s="998"/>
      <c r="D50" s="906" t="s">
        <v>745</v>
      </c>
      <c r="E50" s="905" t="n">
        <f aca="false">PGL_Deliveries!AK5/1000</f>
        <v>5.198</v>
      </c>
      <c r="F50" s="926"/>
    </row>
    <row r="51" customFormat="false" ht="15" hidden="false" customHeight="false" outlineLevel="2" collapsed="false">
      <c r="A51" s="1034" t="s">
        <v>746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1" colorId="64" zoomScale="75" zoomScaleNormal="75" zoomScalePageLayoutView="100" workbookViewId="0">
      <selection pane="topLeft" activeCell="A37" activeCellId="0" sqref="A37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5"/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6" t="s">
        <v>747</v>
      </c>
      <c r="B3" s="1037" t="n">
        <f aca="false">NSG_Deliveries!H5/1000</f>
        <v>58.949</v>
      </c>
      <c r="C3" s="460"/>
      <c r="D3" s="1038" t="s">
        <v>647</v>
      </c>
      <c r="E3" s="1039" t="n">
        <f aca="false">Weather_Input!A5</f>
        <v>37008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0"/>
      <c r="C4" s="1041"/>
      <c r="D4" s="41"/>
      <c r="E4" s="41"/>
      <c r="F4" s="1042"/>
      <c r="G4" s="0"/>
      <c r="J4" s="0"/>
      <c r="K4" s="0"/>
    </row>
    <row r="5" customFormat="false" ht="15" hidden="false" customHeight="false" outlineLevel="0" collapsed="false">
      <c r="A5" s="1043" t="s">
        <v>405</v>
      </c>
      <c r="B5" s="1044" t="n">
        <f aca="false">NSG_Deliveries!E5/1000</f>
        <v>58.949</v>
      </c>
      <c r="C5" s="1045"/>
      <c r="D5" s="1046" t="s">
        <v>657</v>
      </c>
      <c r="E5" s="1047" t="n">
        <f aca="false">NSG_Deliveries!D5/1000</f>
        <v>0</v>
      </c>
      <c r="F5" s="1048"/>
      <c r="G5" s="0"/>
      <c r="J5" s="0"/>
      <c r="K5" s="0"/>
    </row>
    <row r="6" customFormat="false" ht="15" hidden="false" customHeight="true" outlineLevel="0" collapsed="false">
      <c r="A6" s="243"/>
      <c r="B6" s="1040"/>
      <c r="C6" s="1041"/>
      <c r="D6" s="41"/>
      <c r="E6" s="41"/>
      <c r="F6" s="1049"/>
      <c r="G6" s="0"/>
    </row>
    <row r="7" customFormat="false" ht="15" hidden="false" customHeight="true" outlineLevel="0" collapsed="false">
      <c r="A7" s="1043" t="s">
        <v>748</v>
      </c>
      <c r="B7" s="1047" t="n">
        <f aca="false">NSG_Deliveries!G5/1000</f>
        <v>0</v>
      </c>
      <c r="C7" s="1050"/>
      <c r="D7" s="1046" t="s">
        <v>749</v>
      </c>
      <c r="E7" s="1047" t="n">
        <f aca="false">NSG_Supplies!U7/1000</f>
        <v>0</v>
      </c>
      <c r="F7" s="1051"/>
      <c r="G7" s="0"/>
    </row>
    <row r="8" customFormat="false" ht="15" hidden="false" customHeight="true" outlineLevel="0" collapsed="false">
      <c r="A8" s="1052" t="s">
        <v>325</v>
      </c>
      <c r="B8" s="1047" t="n">
        <f aca="false">B5+B7</f>
        <v>58.949</v>
      </c>
      <c r="C8" s="889"/>
      <c r="D8" s="1053" t="s">
        <v>750</v>
      </c>
      <c r="E8" s="1054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5" t="s">
        <v>600</v>
      </c>
      <c r="B9" s="1056" t="s">
        <v>0</v>
      </c>
      <c r="C9" s="1057" t="n">
        <f aca="false">NSG_Requirements!L7/1000</f>
        <v>0</v>
      </c>
      <c r="D9" s="29" t="s">
        <v>307</v>
      </c>
      <c r="E9" s="1058" t="s">
        <v>0</v>
      </c>
      <c r="F9" s="1059" t="n">
        <f aca="false">NSG_Deliveries!M5/1000</f>
        <v>20</v>
      </c>
      <c r="G9" s="40"/>
    </row>
    <row r="10" customFormat="false" ht="15" hidden="false" customHeight="true" outlineLevel="0" collapsed="false">
      <c r="A10" s="1060" t="s">
        <v>751</v>
      </c>
      <c r="B10" s="1061" t="n">
        <f aca="false">NSG_Supplies!H7/1000</f>
        <v>0</v>
      </c>
      <c r="C10" s="1062"/>
      <c r="D10" s="1063" t="s">
        <v>752</v>
      </c>
      <c r="E10" s="1064" t="n">
        <f aca="false">NSG_Deliveries!N5/1000</f>
        <v>0</v>
      </c>
      <c r="F10" s="1065"/>
      <c r="G10" s="0"/>
    </row>
    <row r="11" customFormat="false" ht="15" hidden="false" customHeight="true" outlineLevel="0" collapsed="false">
      <c r="A11" s="1066" t="s">
        <v>753</v>
      </c>
      <c r="B11" s="1067" t="s">
        <v>0</v>
      </c>
      <c r="C11" s="1068"/>
      <c r="D11" s="904" t="s">
        <v>754</v>
      </c>
      <c r="E11" s="1069" t="n">
        <f aca="false">NSG_Supplies!Q7/1000</f>
        <v>20</v>
      </c>
      <c r="F11" s="1070"/>
      <c r="G11" s="0"/>
    </row>
    <row r="12" customFormat="false" ht="15" hidden="false" customHeight="true" outlineLevel="0" collapsed="false">
      <c r="A12" s="1060" t="s">
        <v>755</v>
      </c>
      <c r="B12" s="1061" t="n">
        <v>0</v>
      </c>
      <c r="C12" s="1041"/>
      <c r="D12" s="0" t="s">
        <v>756</v>
      </c>
      <c r="E12" s="1040"/>
      <c r="F12" s="107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0" t="s">
        <v>757</v>
      </c>
      <c r="B13" s="1061" t="n">
        <f aca="false">NSG_Supplies!R7/1000</f>
        <v>52.905</v>
      </c>
      <c r="C13" s="1041"/>
      <c r="D13" s="1072" t="s">
        <v>758</v>
      </c>
      <c r="E13" s="436"/>
      <c r="F13" s="1073"/>
      <c r="G13" s="0"/>
    </row>
    <row r="14" customFormat="false" ht="15" hidden="false" customHeight="true" outlineLevel="0" collapsed="false">
      <c r="A14" s="1060" t="s">
        <v>421</v>
      </c>
      <c r="B14" s="1061" t="n">
        <f aca="false">NSG_Supplies!C7/1000</f>
        <v>0</v>
      </c>
      <c r="C14" s="1041"/>
      <c r="D14" s="1074" t="s">
        <v>759</v>
      </c>
      <c r="E14" s="1075" t="s">
        <v>0</v>
      </c>
      <c r="F14" s="1076" t="n">
        <f aca="false">NSG_Requirements!M7/1000</f>
        <v>0</v>
      </c>
    </row>
    <row r="15" customFormat="false" ht="15" hidden="false" customHeight="true" outlineLevel="0" collapsed="false">
      <c r="A15" s="1077" t="s">
        <v>760</v>
      </c>
      <c r="B15" s="1074"/>
      <c r="C15" s="1057" t="n">
        <f aca="false">NSG_Deliveries!K5/1000</f>
        <v>0</v>
      </c>
      <c r="D15" s="1078" t="s">
        <v>761</v>
      </c>
      <c r="E15" s="1079" t="n">
        <f aca="false">+NSG_Supplies!O7/1000</f>
        <v>0</v>
      </c>
      <c r="F15" s="1080"/>
    </row>
    <row r="16" customFormat="false" ht="15" hidden="false" customHeight="true" outlineLevel="0" collapsed="false">
      <c r="A16" s="1077" t="s">
        <v>762</v>
      </c>
      <c r="B16" s="1064" t="n">
        <f aca="false">NSG_Deliveries!L5/1000</f>
        <v>6.044</v>
      </c>
      <c r="C16" s="1081"/>
      <c r="D16" s="1082" t="s">
        <v>475</v>
      </c>
      <c r="E16" s="1083" t="s">
        <v>0</v>
      </c>
      <c r="F16" s="1076" t="n">
        <f aca="false">NSG_Requirements!X7/1000</f>
        <v>0</v>
      </c>
    </row>
    <row r="17" customFormat="false" ht="15" hidden="false" customHeight="true" outlineLevel="0" collapsed="false">
      <c r="A17" s="1060" t="s">
        <v>763</v>
      </c>
      <c r="B17" s="1074"/>
      <c r="C17" s="1057" t="n">
        <f aca="false">NSG_Requirements!P7/1000</f>
        <v>0</v>
      </c>
      <c r="D17" s="1084" t="s">
        <v>764</v>
      </c>
      <c r="E17" s="411"/>
      <c r="F17" s="1085"/>
    </row>
    <row r="18" customFormat="false" ht="15" hidden="false" customHeight="true" outlineLevel="0" collapsed="false">
      <c r="A18" s="1060" t="s">
        <v>765</v>
      </c>
      <c r="B18" s="1061" t="n">
        <f aca="false">NSG_Supplies!I7/1000</f>
        <v>0</v>
      </c>
      <c r="C18" s="1041"/>
      <c r="D18" s="73" t="s">
        <v>766</v>
      </c>
      <c r="E18" s="41"/>
      <c r="F18" s="1076" t="n">
        <f aca="false">NSG_Requirements!N7/1000</f>
        <v>0</v>
      </c>
    </row>
    <row r="19" customFormat="false" ht="15" hidden="false" customHeight="true" outlineLevel="0" collapsed="false">
      <c r="A19" s="1077" t="s">
        <v>767</v>
      </c>
      <c r="B19" s="1064" t="n">
        <f aca="false">PGL_Requirements!Y7/1000+PGL_Requirements!AB7/1000</f>
        <v>0</v>
      </c>
      <c r="C19" s="1086"/>
      <c r="D19" s="1087" t="s">
        <v>768</v>
      </c>
      <c r="E19" s="41"/>
      <c r="F19" s="1076" t="n">
        <f aca="false">NSG_Requirements!S7/1000</f>
        <v>0</v>
      </c>
    </row>
    <row r="20" customFormat="false" ht="15" hidden="false" customHeight="true" outlineLevel="0" collapsed="false">
      <c r="A20" s="1077" t="s">
        <v>769</v>
      </c>
      <c r="B20" s="1064" t="n">
        <f aca="false">PGL_Requirements!Z7/1000</f>
        <v>0</v>
      </c>
      <c r="C20" s="1086" t="s">
        <v>0</v>
      </c>
      <c r="D20" s="1074" t="s">
        <v>770</v>
      </c>
      <c r="E20" s="41"/>
      <c r="F20" s="1076" t="n">
        <f aca="false">NSG_Requirements!O7/1000</f>
        <v>0</v>
      </c>
    </row>
    <row r="21" customFormat="false" ht="15" hidden="false" customHeight="true" outlineLevel="0" collapsed="false">
      <c r="A21" s="1077" t="s">
        <v>771</v>
      </c>
      <c r="B21" s="1064" t="n">
        <f aca="false">PGL_Requirements!AA7/1000</f>
        <v>0</v>
      </c>
      <c r="C21" s="1086"/>
      <c r="D21" s="1088" t="s">
        <v>772</v>
      </c>
      <c r="E21" s="1061" t="n">
        <f aca="false">NSG_Supplies!L7/1000</f>
        <v>0</v>
      </c>
      <c r="F21" s="1089"/>
    </row>
    <row r="22" customFormat="false" ht="15" hidden="false" customHeight="true" outlineLevel="0" collapsed="false">
      <c r="A22" s="1060" t="s">
        <v>773</v>
      </c>
      <c r="B22" s="1074"/>
      <c r="C22" s="1057" t="n">
        <f aca="false">NSG_Requirements!C7/1000</f>
        <v>0</v>
      </c>
      <c r="D22" s="1088" t="s">
        <v>774</v>
      </c>
      <c r="E22" s="1061" t="n">
        <f aca="false">NSG_Supplies!M7/1000</f>
        <v>0</v>
      </c>
      <c r="F22" s="1089"/>
    </row>
    <row r="23" customFormat="false" ht="15" hidden="false" customHeight="true" outlineLevel="0" collapsed="false">
      <c r="A23" s="1060" t="s">
        <v>775</v>
      </c>
      <c r="B23" s="1074"/>
      <c r="C23" s="1057" t="n">
        <f aca="false">NSG_Requirements!R7/1000</f>
        <v>0</v>
      </c>
      <c r="D23" s="1088" t="s">
        <v>776</v>
      </c>
      <c r="E23" s="1061" t="n">
        <f aca="false">PGL_Supplies!S7/1000</f>
        <v>0</v>
      </c>
      <c r="F23" s="1076" t="s">
        <v>0</v>
      </c>
    </row>
    <row r="24" customFormat="false" ht="15" hidden="false" customHeight="true" outlineLevel="0" collapsed="false">
      <c r="A24" s="1060" t="s">
        <v>777</v>
      </c>
      <c r="B24" s="1061" t="n">
        <f aca="false">NSG_Supplies!K7/1000</f>
        <v>0</v>
      </c>
      <c r="C24" s="1041"/>
      <c r="D24" s="1088" t="s">
        <v>778</v>
      </c>
      <c r="E24" s="1061" t="n">
        <f aca="false">NSG_Supplies!P7/1000</f>
        <v>0</v>
      </c>
      <c r="F24" s="1049"/>
    </row>
    <row r="25" customFormat="false" ht="15" hidden="false" customHeight="true" outlineLevel="0" collapsed="false">
      <c r="A25" s="1077" t="s">
        <v>779</v>
      </c>
      <c r="B25" s="1074"/>
      <c r="C25" s="1057" t="n">
        <f aca="false">NSG_Requirements!Q7/1000</f>
        <v>0</v>
      </c>
      <c r="D25" s="1088" t="s">
        <v>780</v>
      </c>
      <c r="E25" s="1061" t="n">
        <f aca="false">PGL_Requirements!V71/1000</f>
        <v>0</v>
      </c>
      <c r="F25" s="247"/>
    </row>
    <row r="26" customFormat="false" ht="15" hidden="false" customHeight="true" outlineLevel="0" collapsed="false">
      <c r="A26" s="1090" t="s">
        <v>781</v>
      </c>
      <c r="B26" s="1091" t="n">
        <f aca="false">NSG_Supplies!J7/1000</f>
        <v>0</v>
      </c>
      <c r="C26" s="1045"/>
      <c r="D26" s="1092" t="s">
        <v>782</v>
      </c>
      <c r="E26" s="1093"/>
      <c r="F26" s="1076" t="n">
        <f aca="false">NSG_Requirements!D7/1000</f>
        <v>0</v>
      </c>
    </row>
    <row r="27" customFormat="false" ht="15" hidden="false" customHeight="true" outlineLevel="0" collapsed="false">
      <c r="A27" s="1094" t="s">
        <v>325</v>
      </c>
      <c r="B27" s="1095" t="n">
        <f aca="false">SUM(B9:B26)-SUM(C9:C26)</f>
        <v>58.949</v>
      </c>
      <c r="C27" s="1096"/>
      <c r="D27" s="1097" t="s">
        <v>783</v>
      </c>
      <c r="E27" s="1095" t="n">
        <f aca="false">SUM(E18:E26)-SUM(F18:F26)</f>
        <v>0</v>
      </c>
      <c r="F27" s="1098"/>
      <c r="H27" s="29" t="s">
        <v>0</v>
      </c>
    </row>
    <row r="28" customFormat="false" ht="15" hidden="false" customHeight="true" outlineLevel="0" collapsed="false">
      <c r="A28" s="9" t="s">
        <v>784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1" t="s">
        <v>785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099" width="8.88"/>
  </cols>
  <sheetData>
    <row r="1" customFormat="false" ht="15.75" hidden="false" customHeight="false" outlineLevel="0" collapsed="false">
      <c r="E1" s="1099" t="s">
        <v>0</v>
      </c>
    </row>
    <row r="2" customFormat="false" ht="15.75" hidden="false" customHeight="false" outlineLevel="0" collapsed="false">
      <c r="B2" s="990" t="s">
        <v>0</v>
      </c>
      <c r="C2" s="990" t="s">
        <v>0</v>
      </c>
      <c r="D2" s="990" t="s">
        <v>2</v>
      </c>
      <c r="E2" s="990" t="s">
        <v>0</v>
      </c>
      <c r="F2" s="990" t="s">
        <v>2</v>
      </c>
      <c r="G2" s="990" t="s">
        <v>0</v>
      </c>
    </row>
    <row r="4" customFormat="false" ht="15.75" hidden="false" customHeight="false" outlineLevel="0" collapsed="false">
      <c r="B4" s="1100" t="s">
        <v>2</v>
      </c>
    </row>
    <row r="6" customFormat="false" ht="15.75" hidden="false" customHeight="false" outlineLevel="0" collapsed="false">
      <c r="B6" s="990" t="s">
        <v>0</v>
      </c>
    </row>
    <row r="7" customFormat="false" ht="15.75" hidden="false" customHeight="false" outlineLevel="0" collapsed="false">
      <c r="B7" s="990"/>
    </row>
    <row r="8" customFormat="false" ht="15.75" hidden="false" customHeight="false" outlineLevel="0" collapsed="false">
      <c r="B8" s="990" t="s">
        <v>0</v>
      </c>
    </row>
    <row r="9" customFormat="false" ht="15.75" hidden="false" customHeight="false" outlineLevel="0" collapsed="false">
      <c r="B9" s="990"/>
    </row>
    <row r="10" customFormat="false" ht="15.75" hidden="false" customHeight="false" outlineLevel="0" collapsed="false">
      <c r="B10" s="990" t="s">
        <v>0</v>
      </c>
    </row>
    <row r="11" customFormat="false" ht="15.75" hidden="false" customHeight="false" outlineLevel="0" collapsed="false">
      <c r="B11" s="990" t="s">
        <v>0</v>
      </c>
    </row>
    <row r="12" customFormat="false" ht="15.75" hidden="false" customHeight="false" outlineLevel="0" collapsed="false">
      <c r="B12" s="990" t="s">
        <v>0</v>
      </c>
    </row>
    <row r="13" customFormat="false" ht="15.75" hidden="false" customHeight="false" outlineLevel="0" collapsed="false">
      <c r="B13" s="990"/>
    </row>
    <row r="14" customFormat="false" ht="15.75" hidden="false" customHeight="false" outlineLevel="0" collapsed="false">
      <c r="B14" s="990" t="s">
        <v>0</v>
      </c>
    </row>
    <row r="15" customFormat="false" ht="15.75" hidden="false" customHeight="false" outlineLevel="0" collapsed="false">
      <c r="B15" s="990"/>
    </row>
    <row r="16" customFormat="false" ht="15.75" hidden="false" customHeight="false" outlineLevel="0" collapsed="false">
      <c r="B16" s="990" t="s">
        <v>0</v>
      </c>
    </row>
    <row r="17" customFormat="false" ht="15.75" hidden="false" customHeight="false" outlineLevel="0" collapsed="false">
      <c r="B17" s="990"/>
    </row>
    <row r="18" customFormat="false" ht="15.75" hidden="false" customHeight="false" outlineLevel="0" collapsed="false">
      <c r="B18" s="990" t="s">
        <v>0</v>
      </c>
    </row>
    <row r="19" customFormat="false" ht="15.75" hidden="false" customHeight="false" outlineLevel="0" collapsed="false">
      <c r="B19" s="990"/>
    </row>
    <row r="20" customFormat="false" ht="15.75" hidden="false" customHeight="false" outlineLevel="0" collapsed="false">
      <c r="B20" s="990" t="s">
        <v>0</v>
      </c>
    </row>
    <row r="21" customFormat="false" ht="15.75" hidden="false" customHeight="false" outlineLevel="0" collapsed="false">
      <c r="B21" s="990"/>
    </row>
    <row r="22" customFormat="false" ht="15.75" hidden="false" customHeight="false" outlineLevel="0" collapsed="false">
      <c r="B22" s="990" t="s">
        <v>0</v>
      </c>
    </row>
    <row r="24" customFormat="false" ht="15.75" hidden="false" customHeight="false" outlineLevel="0" collapsed="false">
      <c r="B24" s="990" t="s">
        <v>0</v>
      </c>
    </row>
    <row r="25" customFormat="false" ht="15.75" hidden="false" customHeight="false" outlineLevel="0" collapsed="false">
      <c r="E25" s="990" t="s">
        <v>0</v>
      </c>
    </row>
    <row r="27" customFormat="false" ht="15.75" hidden="false" customHeight="false" outlineLevel="0" collapsed="false">
      <c r="B27" s="990" t="s">
        <v>0</v>
      </c>
    </row>
    <row r="29" customFormat="false" ht="15.75" hidden="false" customHeight="false" outlineLevel="0" collapsed="false">
      <c r="B29" s="990" t="s">
        <v>0</v>
      </c>
    </row>
    <row r="30" customFormat="false" ht="15.75" hidden="false" customHeight="false" outlineLevel="0" collapsed="false">
      <c r="B30" s="990"/>
    </row>
    <row r="31" customFormat="false" ht="15.75" hidden="false" customHeight="false" outlineLevel="0" collapsed="false">
      <c r="B31" s="990" t="s">
        <v>0</v>
      </c>
    </row>
    <row r="32" customFormat="false" ht="15.75" hidden="false" customHeight="false" outlineLevel="0" collapsed="false">
      <c r="B32" s="990"/>
    </row>
    <row r="33" customFormat="false" ht="15.75" hidden="false" customHeight="false" outlineLevel="0" collapsed="false">
      <c r="B33" s="990" t="s">
        <v>0</v>
      </c>
    </row>
    <row r="34" customFormat="false" ht="15.75" hidden="false" customHeight="false" outlineLevel="0" collapsed="false">
      <c r="B34" s="990"/>
    </row>
    <row r="35" customFormat="false" ht="15.75" hidden="false" customHeight="false" outlineLevel="0" collapsed="false">
      <c r="B35" s="990" t="s">
        <v>0</v>
      </c>
    </row>
    <row r="36" customFormat="false" ht="15.75" hidden="false" customHeight="false" outlineLevel="0" collapsed="false">
      <c r="B36" s="990"/>
    </row>
    <row r="37" customFormat="false" ht="15.75" hidden="false" customHeight="false" outlineLevel="0" collapsed="false">
      <c r="B37" s="990" t="s">
        <v>0</v>
      </c>
    </row>
    <row r="38" customFormat="false" ht="15.75" hidden="false" customHeight="false" outlineLevel="0" collapsed="false">
      <c r="B38" s="990"/>
    </row>
    <row r="39" customFormat="false" ht="15.75" hidden="false" customHeight="false" outlineLevel="0" collapsed="false">
      <c r="B39" s="990" t="s">
        <v>0</v>
      </c>
    </row>
    <row r="40" customFormat="false" ht="15.75" hidden="false" customHeight="false" outlineLevel="0" collapsed="false">
      <c r="B40" s="990"/>
    </row>
    <row r="41" customFormat="false" ht="15.75" hidden="false" customHeight="false" outlineLevel="0" collapsed="false">
      <c r="B41" s="990" t="s">
        <v>0</v>
      </c>
    </row>
    <row r="42" customFormat="false" ht="15.75" hidden="false" customHeight="false" outlineLevel="0" collapsed="false">
      <c r="B42" s="990"/>
    </row>
    <row r="43" customFormat="false" ht="15.75" hidden="false" customHeight="false" outlineLevel="0" collapsed="false">
      <c r="B43" s="990" t="s">
        <v>0</v>
      </c>
    </row>
    <row r="44" customFormat="false" ht="15.75" hidden="false" customHeight="false" outlineLevel="0" collapsed="false">
      <c r="B44" s="990"/>
    </row>
    <row r="45" customFormat="false" ht="15.75" hidden="false" customHeight="false" outlineLevel="0" collapsed="false">
      <c r="B45" s="990" t="s">
        <v>0</v>
      </c>
    </row>
    <row r="47" customFormat="false" ht="15.75" hidden="false" customHeight="false" outlineLevel="0" collapsed="false">
      <c r="B47" s="99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F1" colorId="64" zoomScale="75" zoomScaleNormal="75" zoomScalePageLayoutView="100" workbookViewId="0">
      <selection pane="topLeft" activeCell="AR6" activeCellId="0" sqref="AR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0</v>
      </c>
      <c r="AD2" s="33" t="s">
        <v>0</v>
      </c>
      <c r="AE2" s="33" t="s">
        <v>43</v>
      </c>
      <c r="AF2" s="33"/>
      <c r="AG2" s="33" t="s">
        <v>43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0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10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37008</v>
      </c>
      <c r="B5" s="29" t="n">
        <f aca="false">(Weather_Input!B5+Weather_Input!C5)/2</f>
        <v>52</v>
      </c>
      <c r="C5" s="46" t="n">
        <v>320000</v>
      </c>
      <c r="D5" s="47" t="n">
        <v>96165</v>
      </c>
      <c r="E5" s="47" t="n">
        <v>0</v>
      </c>
      <c r="F5" s="47" t="n">
        <v>36340</v>
      </c>
      <c r="G5" s="47" t="n">
        <v>1622</v>
      </c>
      <c r="H5" s="47" t="n">
        <v>1940</v>
      </c>
      <c r="I5" s="47" t="n">
        <v>181597</v>
      </c>
      <c r="J5" s="47" t="n">
        <v>0</v>
      </c>
      <c r="K5" s="47" t="n">
        <v>0</v>
      </c>
      <c r="L5" s="47" t="n">
        <v>277</v>
      </c>
      <c r="M5" s="47" t="n">
        <v>4011</v>
      </c>
      <c r="N5" s="47" t="n">
        <v>151</v>
      </c>
      <c r="O5" s="47" t="n">
        <v>79</v>
      </c>
      <c r="P5" s="47" t="n">
        <v>866</v>
      </c>
      <c r="Q5" s="47" t="n">
        <v>202</v>
      </c>
      <c r="R5" s="47" t="n">
        <v>2688</v>
      </c>
      <c r="S5" s="48" t="n">
        <v>4278</v>
      </c>
      <c r="T5" s="49" t="n">
        <v>0</v>
      </c>
      <c r="U5" s="46" t="n">
        <f aca="false">SUM(D5:S5)-T5</f>
        <v>330216</v>
      </c>
      <c r="V5" s="46" t="n">
        <v>104633</v>
      </c>
      <c r="W5" s="18" t="n">
        <v>0</v>
      </c>
      <c r="X5" s="18" t="n">
        <v>0</v>
      </c>
      <c r="Y5" s="18" t="n">
        <v>0</v>
      </c>
      <c r="Z5" s="18" t="n">
        <v>251891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53381</v>
      </c>
      <c r="AG5" s="18" t="n">
        <v>0</v>
      </c>
      <c r="AH5" s="18" t="n">
        <v>0</v>
      </c>
      <c r="AI5" s="18" t="n">
        <v>6</v>
      </c>
      <c r="AJ5" s="18" t="n">
        <v>8321</v>
      </c>
      <c r="AK5" s="18" t="n">
        <v>5198</v>
      </c>
      <c r="AL5" s="18" t="n">
        <v>0</v>
      </c>
      <c r="AM5" s="29" t="n">
        <v>1020</v>
      </c>
      <c r="AN5" s="29"/>
      <c r="AO5" s="29" t="n">
        <v>0</v>
      </c>
      <c r="AP5" s="29" t="n">
        <v>10499</v>
      </c>
      <c r="AQ5" s="29" t="n">
        <v>0</v>
      </c>
      <c r="AR5" s="29" t="n">
        <v>0</v>
      </c>
      <c r="AS5" s="29" t="n">
        <v>0</v>
      </c>
      <c r="AT5" s="29" t="n">
        <v>209</v>
      </c>
      <c r="AU5" s="29" t="n">
        <v>155740</v>
      </c>
      <c r="AV5" s="29" t="n">
        <v>630</v>
      </c>
      <c r="AW5" s="50" t="n">
        <f aca="false">AU5*0.015</f>
        <v>2336.1</v>
      </c>
      <c r="AX5" s="29" t="n">
        <v>0</v>
      </c>
      <c r="AY5" s="29"/>
      <c r="AZ5" s="29" t="n">
        <v>1622</v>
      </c>
      <c r="BA5" s="29" t="n">
        <v>1565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37009</v>
      </c>
      <c r="B6" s="51" t="n">
        <f aca="false">(Weather_Input!B6+Weather_Input!C6)/2</f>
        <v>57.5</v>
      </c>
      <c r="C6" s="46" t="n">
        <v>270000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37010</v>
      </c>
      <c r="B7" s="51" t="n">
        <f aca="false">(Weather_Input!B7+Weather_Input!C7)/2</f>
        <v>67</v>
      </c>
      <c r="C7" s="46" t="n">
        <v>235000</v>
      </c>
      <c r="D7" s="52" t="s">
        <v>0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37011</v>
      </c>
      <c r="B8" s="51" t="n">
        <f aca="false">(Weather_Input!B8+Weather_Input!C8)/2</f>
        <v>70</v>
      </c>
      <c r="C8" s="46" t="n">
        <v>250000</v>
      </c>
      <c r="D8" s="52" t="s">
        <v>0</v>
      </c>
      <c r="E8" s="53" t="s">
        <v>0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37012</v>
      </c>
      <c r="B9" s="51" t="n">
        <f aca="false">(Weather_Input!B9+Weather_Input!C9)/2</f>
        <v>74</v>
      </c>
      <c r="C9" s="46" t="n">
        <v>240000</v>
      </c>
      <c r="D9" s="52" t="s">
        <v>0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37013</v>
      </c>
      <c r="B10" s="51" t="n">
        <f aca="false">(Weather_Input!B10+Weather_Input!C10)/2</f>
        <v>74</v>
      </c>
      <c r="C10" s="46" t="n">
        <v>240000</v>
      </c>
      <c r="D10" s="52" t="s">
        <v>0</v>
      </c>
      <c r="E10" s="53" t="s">
        <v>0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1" width="8.88"/>
    <col collapsed="false" customWidth="false" hidden="false" outlineLevel="0" max="257" min="2" style="1102" width="8.88"/>
  </cols>
  <sheetData>
    <row r="1" customFormat="false" ht="15.75" hidden="false" customHeight="false" outlineLevel="0" collapsed="false">
      <c r="A1" s="1103"/>
      <c r="B1" s="1104"/>
      <c r="D1" s="1105"/>
    </row>
    <row r="2" customFormat="false" ht="15.75" hidden="false" customHeight="false" outlineLevel="0" collapsed="false">
      <c r="A2" s="1106"/>
      <c r="G2" s="1104"/>
    </row>
    <row r="3" customFormat="false" ht="15" hidden="false" customHeight="false" outlineLevel="0" collapsed="false">
      <c r="DZ3" s="0"/>
      <c r="EA3" s="1107"/>
    </row>
    <row r="5" customFormat="false" ht="15.75" hidden="false" customHeight="false" outlineLevel="0" collapsed="false">
      <c r="A5" s="1108"/>
      <c r="B5" s="1104"/>
    </row>
    <row r="6" customFormat="false" ht="12.75" hidden="false" customHeight="false" outlineLevel="0" collapsed="false">
      <c r="A6" s="1109"/>
    </row>
    <row r="7" customFormat="false" ht="12.75" hidden="false" customHeight="false" outlineLevel="0" collapsed="false">
      <c r="A7" s="1109"/>
    </row>
    <row r="8" customFormat="false" ht="12.75" hidden="false" customHeight="false" outlineLevel="0" collapsed="false">
      <c r="A8" s="1109"/>
    </row>
    <row r="9" customFormat="false" ht="12.75" hidden="false" customHeight="false" outlineLevel="0" collapsed="false">
      <c r="A9" s="1109" t="s">
        <v>0</v>
      </c>
      <c r="C9" s="1110"/>
    </row>
    <row r="10" customFormat="false" ht="12.75" hidden="false" customHeight="false" outlineLevel="0" collapsed="false">
      <c r="A10" s="1109"/>
    </row>
    <row r="11" customFormat="false" ht="12.75" hidden="false" customHeight="false" outlineLevel="0" collapsed="false">
      <c r="A11" s="1109"/>
    </row>
    <row r="12" customFormat="false" ht="12.75" hidden="false" customHeight="false" outlineLevel="0" collapsed="false">
      <c r="A12" s="1109"/>
    </row>
    <row r="13" customFormat="false" ht="12.75" hidden="false" customHeight="false" outlineLevel="0" collapsed="false">
      <c r="A13" s="1109"/>
    </row>
    <row r="14" customFormat="false" ht="12.75" hidden="false" customHeight="false" outlineLevel="0" collapsed="false">
      <c r="A14" s="1109"/>
      <c r="C14" s="1102" t="s">
        <v>0</v>
      </c>
      <c r="D14" s="1102" t="s">
        <v>0</v>
      </c>
    </row>
    <row r="15" customFormat="false" ht="12.75" hidden="false" customHeight="false" outlineLevel="0" collapsed="false">
      <c r="A15" s="1109"/>
    </row>
    <row r="16" customFormat="false" ht="12.75" hidden="false" customHeight="false" outlineLevel="0" collapsed="false">
      <c r="A16" s="1109"/>
    </row>
    <row r="17" customFormat="false" ht="12.75" hidden="false" customHeight="false" outlineLevel="0" collapsed="false">
      <c r="A17" s="1109"/>
    </row>
    <row r="18" customFormat="false" ht="12.75" hidden="false" customHeight="false" outlineLevel="0" collapsed="false">
      <c r="A18" s="1109"/>
    </row>
    <row r="19" customFormat="false" ht="12.75" hidden="false" customHeight="false" outlineLevel="0" collapsed="false">
      <c r="A19" s="1109"/>
    </row>
    <row r="20" customFormat="false" ht="12.75" hidden="false" customHeight="false" outlineLevel="0" collapsed="false">
      <c r="A20" s="1109"/>
    </row>
    <row r="21" customFormat="false" ht="12.75" hidden="false" customHeight="false" outlineLevel="0" collapsed="false">
      <c r="A21" s="1109"/>
    </row>
    <row r="22" customFormat="false" ht="12.75" hidden="false" customHeight="false" outlineLevel="0" collapsed="false">
      <c r="A22" s="1109"/>
    </row>
    <row r="23" customFormat="false" ht="12.75" hidden="false" customHeight="false" outlineLevel="0" collapsed="false">
      <c r="A23" s="1109"/>
    </row>
    <row r="24" customFormat="false" ht="12.75" hidden="false" customHeight="false" outlineLevel="0" collapsed="false">
      <c r="A24" s="1109"/>
    </row>
    <row r="25" customFormat="false" ht="12.75" hidden="false" customHeight="false" outlineLevel="0" collapsed="false">
      <c r="A25" s="1109"/>
    </row>
    <row r="26" customFormat="false" ht="12.75" hidden="false" customHeight="false" outlineLevel="0" collapsed="false">
      <c r="A26" s="1109"/>
    </row>
    <row r="27" customFormat="false" ht="12.75" hidden="false" customHeight="false" outlineLevel="0" collapsed="false">
      <c r="A27" s="1109"/>
    </row>
    <row r="28" customFormat="false" ht="12.75" hidden="false" customHeight="false" outlineLevel="0" collapsed="false">
      <c r="A28" s="1109"/>
    </row>
    <row r="29" customFormat="false" ht="12.75" hidden="false" customHeight="false" outlineLevel="0" collapsed="false">
      <c r="A29" s="1109"/>
    </row>
    <row r="30" customFormat="false" ht="12.75" hidden="false" customHeight="false" outlineLevel="0" collapsed="false">
      <c r="A30" s="1109"/>
    </row>
    <row r="31" customFormat="false" ht="12.75" hidden="false" customHeight="false" outlineLevel="0" collapsed="false">
      <c r="A31" s="1109"/>
    </row>
    <row r="32" customFormat="false" ht="12.75" hidden="false" customHeight="false" outlineLevel="0" collapsed="false">
      <c r="A32" s="1109"/>
    </row>
    <row r="33" customFormat="false" ht="12.75" hidden="false" customHeight="false" outlineLevel="0" collapsed="false">
      <c r="A33" s="1109"/>
    </row>
    <row r="34" customFormat="false" ht="12.75" hidden="false" customHeight="false" outlineLevel="0" collapsed="false">
      <c r="A34" s="1109"/>
    </row>
    <row r="35" customFormat="false" ht="12.75" hidden="false" customHeight="false" outlineLevel="0" collapsed="false">
      <c r="A35" s="1109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786</v>
      </c>
      <c r="B1" s="106" t="n">
        <f aca="false">Weather_Input!A5</f>
        <v>37008</v>
      </c>
      <c r="C1" s="1111"/>
    </row>
    <row r="2" customFormat="false" ht="15" hidden="false" customHeight="false" outlineLevel="0" collapsed="false">
      <c r="A2" s="28" t="s">
        <v>787</v>
      </c>
      <c r="B2" s="1111"/>
      <c r="C2" s="1111"/>
    </row>
    <row r="3" customFormat="false" ht="15.75" hidden="false" customHeight="false" outlineLevel="0" collapsed="false">
      <c r="B3" s="1112" t="s">
        <v>85</v>
      </c>
      <c r="C3" s="1112"/>
      <c r="D3" s="1112"/>
      <c r="E3" s="1112"/>
      <c r="F3" s="1112"/>
      <c r="G3" s="1112"/>
      <c r="H3" s="1113" t="s">
        <v>86</v>
      </c>
      <c r="I3" s="1113"/>
      <c r="J3" s="1113"/>
      <c r="K3" s="1113"/>
      <c r="L3" s="1113"/>
      <c r="M3" s="1113"/>
      <c r="N3" s="850" t="s">
        <v>42</v>
      </c>
      <c r="O3" s="850"/>
      <c r="P3" s="850"/>
      <c r="Q3" s="850"/>
      <c r="R3" s="850"/>
      <c r="S3" s="850"/>
    </row>
    <row r="4" customFormat="false" ht="15" hidden="false" customHeight="false" outlineLevel="0" collapsed="false">
      <c r="B4" s="1114" t="s">
        <v>788</v>
      </c>
      <c r="C4" s="1114"/>
      <c r="D4" s="11" t="s">
        <v>691</v>
      </c>
      <c r="E4" s="11" t="s">
        <v>691</v>
      </c>
      <c r="F4" s="1115" t="s">
        <v>789</v>
      </c>
      <c r="G4" s="1115"/>
      <c r="H4" s="4" t="s">
        <v>788</v>
      </c>
      <c r="I4" s="4"/>
      <c r="J4" s="11" t="s">
        <v>691</v>
      </c>
      <c r="K4" s="11" t="s">
        <v>691</v>
      </c>
      <c r="L4" s="1115" t="s">
        <v>789</v>
      </c>
      <c r="M4" s="1115"/>
      <c r="N4" s="4" t="s">
        <v>788</v>
      </c>
      <c r="O4" s="4"/>
      <c r="P4" s="11" t="s">
        <v>691</v>
      </c>
      <c r="Q4" s="11" t="s">
        <v>691</v>
      </c>
      <c r="R4" s="4" t="s">
        <v>789</v>
      </c>
      <c r="S4" s="4"/>
    </row>
    <row r="5" customFormat="false" ht="15" hidden="false" customHeight="false" outlineLevel="0" collapsed="false">
      <c r="A5" s="801"/>
      <c r="B5" s="1116" t="s">
        <v>790</v>
      </c>
      <c r="C5" s="1117" t="s">
        <v>791</v>
      </c>
      <c r="D5" s="1118" t="s">
        <v>792</v>
      </c>
      <c r="E5" s="1118" t="s">
        <v>793</v>
      </c>
      <c r="F5" s="1118" t="s">
        <v>790</v>
      </c>
      <c r="G5" s="1119" t="s">
        <v>791</v>
      </c>
      <c r="H5" s="1118" t="s">
        <v>790</v>
      </c>
      <c r="I5" s="1118" t="s">
        <v>791</v>
      </c>
      <c r="J5" s="1118" t="s">
        <v>792</v>
      </c>
      <c r="K5" s="1118" t="s">
        <v>793</v>
      </c>
      <c r="L5" s="1118" t="s">
        <v>790</v>
      </c>
      <c r="M5" s="1119" t="s">
        <v>791</v>
      </c>
      <c r="N5" s="1118" t="s">
        <v>790</v>
      </c>
      <c r="O5" s="1118" t="s">
        <v>791</v>
      </c>
      <c r="P5" s="1118" t="s">
        <v>792</v>
      </c>
      <c r="Q5" s="1118" t="s">
        <v>793</v>
      </c>
      <c r="R5" s="1118" t="s">
        <v>790</v>
      </c>
      <c r="S5" s="1118" t="s">
        <v>791</v>
      </c>
    </row>
    <row r="6" customFormat="false" ht="15" hidden="false" customHeight="false" outlineLevel="0" collapsed="false">
      <c r="A6" s="1111" t="n">
        <f aca="false">B1-1</f>
        <v>37007</v>
      </c>
      <c r="B6" s="857" t="e">
        <f aca="false"/>
        <v>#REF!</v>
      </c>
      <c r="C6" s="1120" t="e">
        <f aca="false"/>
        <v>#REF!</v>
      </c>
      <c r="D6" s="1120" t="e">
        <f aca="false"/>
        <v>#REF!</v>
      </c>
      <c r="E6" s="1120" t="e">
        <f aca="false"/>
        <v>#REF!</v>
      </c>
      <c r="F6" s="1120" t="e">
        <f aca="false"/>
        <v>#REF!</v>
      </c>
      <c r="G6" s="1120" t="e">
        <f aca="false"/>
        <v>#REF!</v>
      </c>
      <c r="H6" s="1120" t="e">
        <f aca="false"/>
        <v>#REF!</v>
      </c>
      <c r="I6" s="1120" t="e">
        <f aca="false"/>
        <v>#REF!</v>
      </c>
      <c r="J6" s="1120" t="e">
        <f aca="false"/>
        <v>#REF!</v>
      </c>
      <c r="K6" s="1120" t="e">
        <f aca="false"/>
        <v>#REF!</v>
      </c>
      <c r="L6" s="1120" t="e">
        <f aca="false"/>
        <v>#REF!</v>
      </c>
      <c r="M6" s="1120" t="e">
        <f aca="false"/>
        <v>#REF!</v>
      </c>
      <c r="N6" s="1120" t="n">
        <v>137405</v>
      </c>
      <c r="O6" s="1120" t="n">
        <v>0</v>
      </c>
      <c r="P6" s="1120" t="n">
        <v>44609434</v>
      </c>
      <c r="Q6" s="1120" t="n">
        <v>15045098</v>
      </c>
      <c r="R6" s="1120" t="n">
        <v>29564336</v>
      </c>
      <c r="S6" s="1120" t="n">
        <v>0</v>
      </c>
    </row>
    <row r="7" customFormat="false" ht="15" hidden="false" customHeight="false" outlineLevel="0" collapsed="false">
      <c r="A7" s="1111" t="n">
        <f aca="false">B1</f>
        <v>37008</v>
      </c>
      <c r="B7" s="85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89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89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152629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44762063</v>
      </c>
      <c r="Q7" s="0" t="n">
        <f aca="false">IF(O7&gt;0,Q6+O7,Q6)</f>
        <v>15045098</v>
      </c>
      <c r="R7" s="0" t="n">
        <f aca="false">IF(P7&gt;Q7,P7-Q7,0)</f>
        <v>29716965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1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794</v>
      </c>
      <c r="C1" s="36" t="s">
        <v>795</v>
      </c>
      <c r="D1" s="1122" t="s">
        <v>796</v>
      </c>
    </row>
    <row r="2" customFormat="false" ht="15" hidden="false" customHeight="false" outlineLevel="0" collapsed="false">
      <c r="B2" s="36" t="s">
        <v>797</v>
      </c>
      <c r="C2" s="36" t="s">
        <v>22</v>
      </c>
      <c r="D2" s="1122" t="s">
        <v>22</v>
      </c>
    </row>
    <row r="3" customFormat="false" ht="15" hidden="false" customHeight="false" outlineLevel="0" collapsed="false">
      <c r="A3" s="1111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1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1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1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1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1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1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1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1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1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1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1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1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1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1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1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1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1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1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1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1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1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1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1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1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1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1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1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1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1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1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1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1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1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1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1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1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1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1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1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1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1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1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1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1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1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1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1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1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1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1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1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1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1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1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1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1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1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1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1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1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1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1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1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1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1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1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1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1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1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1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1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1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1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1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1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1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1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1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1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1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1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1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1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1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1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1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1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1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1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1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1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1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1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1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1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1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1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1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1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1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1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1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1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1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1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1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1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1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1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1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1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1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1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1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1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1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1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1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1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1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1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1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1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1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1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1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1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1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1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1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1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1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1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1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1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1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1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1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1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1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1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1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1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1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1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1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1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1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1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1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1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1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1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1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1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1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1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1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1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1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1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1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1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1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1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1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1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1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1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1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1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1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1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1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1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1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1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1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1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1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1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1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1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1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1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1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1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1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1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1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1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1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1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1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1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1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1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1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1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1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1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1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1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1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1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1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1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1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1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1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1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1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1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1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1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1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1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1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1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1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1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1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1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1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1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1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1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1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1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1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1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1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1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1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1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1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1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1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1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1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1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1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1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1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1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1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1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1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1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1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1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1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1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1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1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1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1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1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1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1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1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1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1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1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1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1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1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1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1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1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1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1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1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1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1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1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1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1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1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1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1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1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1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1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1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1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1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1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1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1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1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1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1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1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1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1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1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1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1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1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1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1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1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1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1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1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1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1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1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1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1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1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1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1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1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1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1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1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1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1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1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1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1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1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1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1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1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1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1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1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1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1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1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1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1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1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1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1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1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1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1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1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1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1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1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1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1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1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1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1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1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1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1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1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1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1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1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1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1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1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1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1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1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1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1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1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1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1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1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1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1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10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37008</v>
      </c>
      <c r="B5" s="29" t="n">
        <f aca="false">(Weather_Input!B5+Weather_Input!C5)/2</f>
        <v>52</v>
      </c>
      <c r="C5" s="46" t="n">
        <v>62000</v>
      </c>
      <c r="D5" s="46" t="n">
        <v>0</v>
      </c>
      <c r="E5" s="46" t="n">
        <v>58949</v>
      </c>
      <c r="F5" s="46" t="n">
        <v>0</v>
      </c>
      <c r="G5" s="46" t="n">
        <v>0</v>
      </c>
      <c r="H5" s="63" t="n">
        <f aca="false">SUM(D5:G5)</f>
        <v>58949</v>
      </c>
      <c r="I5" s="29" t="n">
        <v>1009</v>
      </c>
      <c r="J5" s="29" t="s">
        <v>0</v>
      </c>
      <c r="K5" s="29" t="n">
        <v>0</v>
      </c>
      <c r="L5" s="29" t="n">
        <v>6044</v>
      </c>
      <c r="M5" s="29" t="n">
        <v>20000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37009</v>
      </c>
      <c r="B6" s="51" t="n">
        <f aca="false">(Weather_Input!B6+Weather_Input!C6)/2</f>
        <v>57.5</v>
      </c>
      <c r="C6" s="46" t="n">
        <v>53000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37010</v>
      </c>
      <c r="B7" s="51" t="n">
        <f aca="false">(Weather_Input!B7+Weather_Input!C7)/2</f>
        <v>67</v>
      </c>
      <c r="C7" s="46" t="n">
        <v>44000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37011</v>
      </c>
      <c r="B8" s="51" t="n">
        <f aca="false">(Weather_Input!B8+Weather_Input!C8)/2</f>
        <v>70</v>
      </c>
      <c r="C8" s="46" t="n">
        <v>46000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37012</v>
      </c>
      <c r="B9" s="51" t="n">
        <f aca="false">(Weather_Input!B9+Weather_Input!C9)/2</f>
        <v>74</v>
      </c>
      <c r="C9" s="46" t="n">
        <v>42000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37013</v>
      </c>
      <c r="B10" s="51" t="n">
        <f aca="false">(Weather_Input!B10+Weather_Input!C10)/2</f>
        <v>74</v>
      </c>
      <c r="C10" s="46" t="n">
        <v>42000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70" t="n">
        <v>1</v>
      </c>
      <c r="I3" s="69" t="s">
        <v>133</v>
      </c>
      <c r="J3" s="69"/>
      <c r="K3" s="69"/>
      <c r="L3" s="69"/>
      <c r="M3" s="69"/>
      <c r="N3" s="69"/>
      <c r="O3" s="69"/>
      <c r="P3" s="71" t="s">
        <v>92</v>
      </c>
      <c r="Q3" s="71"/>
      <c r="R3" s="71"/>
      <c r="S3" s="71"/>
      <c r="T3" s="71"/>
      <c r="U3" s="71"/>
      <c r="V3" s="72" t="s">
        <v>134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135</v>
      </c>
      <c r="I4" s="36" t="s">
        <v>136</v>
      </c>
      <c r="J4" s="36" t="s">
        <v>137</v>
      </c>
      <c r="K4" s="29"/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85</v>
      </c>
      <c r="W4" s="75"/>
      <c r="X4" s="75"/>
      <c r="Y4" s="76" t="s">
        <v>43</v>
      </c>
      <c r="Z4" s="76"/>
      <c r="AA4" s="76"/>
      <c r="AB4" s="76"/>
      <c r="AC4" s="37" t="s">
        <v>138</v>
      </c>
      <c r="AD4" s="37"/>
      <c r="AE4" s="37"/>
      <c r="AF4" s="30"/>
      <c r="AG4" s="36" t="s">
        <v>139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140</v>
      </c>
      <c r="C5" s="76"/>
      <c r="D5" s="29"/>
      <c r="E5" s="29"/>
      <c r="F5" s="79"/>
      <c r="G5" s="78" t="s">
        <v>0</v>
      </c>
      <c r="H5" s="75" t="s">
        <v>83</v>
      </c>
      <c r="I5" s="33" t="s">
        <v>141</v>
      </c>
      <c r="J5" s="80" t="s">
        <v>84</v>
      </c>
      <c r="K5" s="29"/>
      <c r="L5" s="29"/>
      <c r="M5" s="29"/>
      <c r="N5" s="73"/>
      <c r="O5" s="76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1" t="s">
        <v>142</v>
      </c>
      <c r="V5" s="37" t="s">
        <v>143</v>
      </c>
      <c r="W5" s="36" t="s">
        <v>143</v>
      </c>
      <c r="X5" s="36" t="s">
        <v>143</v>
      </c>
      <c r="Y5" s="36" t="s">
        <v>143</v>
      </c>
      <c r="Z5" s="36" t="s">
        <v>143</v>
      </c>
      <c r="AA5" s="36" t="s">
        <v>143</v>
      </c>
      <c r="AB5" s="36" t="s">
        <v>143</v>
      </c>
      <c r="AC5" s="37" t="s">
        <v>143</v>
      </c>
      <c r="AD5" s="36" t="s">
        <v>143</v>
      </c>
      <c r="AE5" s="36" t="s">
        <v>143</v>
      </c>
      <c r="AF5" s="37" t="s">
        <v>143</v>
      </c>
      <c r="AG5" s="36" t="s">
        <v>143</v>
      </c>
      <c r="AH5" s="36" t="s">
        <v>143</v>
      </c>
      <c r="AI5" s="36" t="s">
        <v>143</v>
      </c>
      <c r="AJ5" s="29"/>
    </row>
    <row r="6" customFormat="false" ht="12.75" hidden="false" customHeight="false" outlineLevel="0" collapsed="false">
      <c r="A6" s="82"/>
      <c r="B6" s="83" t="s">
        <v>144</v>
      </c>
      <c r="C6" s="80" t="s">
        <v>85</v>
      </c>
      <c r="D6" s="80" t="s">
        <v>138</v>
      </c>
      <c r="E6" s="80" t="s">
        <v>139</v>
      </c>
      <c r="F6" s="84" t="s">
        <v>145</v>
      </c>
      <c r="G6" s="80" t="s">
        <v>146</v>
      </c>
      <c r="H6" s="85" t="s">
        <v>139</v>
      </c>
      <c r="I6" s="86" t="s">
        <v>147</v>
      </c>
      <c r="J6" s="80" t="s">
        <v>148</v>
      </c>
      <c r="K6" s="80" t="s">
        <v>139</v>
      </c>
      <c r="L6" s="80" t="s">
        <v>43</v>
      </c>
      <c r="M6" s="80" t="s">
        <v>83</v>
      </c>
      <c r="N6" s="80" t="s">
        <v>145</v>
      </c>
      <c r="O6" s="80" t="s">
        <v>149</v>
      </c>
      <c r="P6" s="80" t="s">
        <v>74</v>
      </c>
      <c r="Q6" s="80" t="s">
        <v>150</v>
      </c>
      <c r="R6" s="80" t="s">
        <v>151</v>
      </c>
      <c r="S6" s="80" t="s">
        <v>152</v>
      </c>
      <c r="T6" s="87" t="s">
        <v>153</v>
      </c>
      <c r="U6" s="86" t="s">
        <v>149</v>
      </c>
      <c r="V6" s="80" t="s">
        <v>85</v>
      </c>
      <c r="W6" s="80" t="s">
        <v>43</v>
      </c>
      <c r="X6" s="80" t="s">
        <v>138</v>
      </c>
      <c r="Y6" s="80" t="s">
        <v>43</v>
      </c>
      <c r="Z6" s="80" t="s">
        <v>85</v>
      </c>
      <c r="AA6" s="80" t="s">
        <v>138</v>
      </c>
      <c r="AB6" s="80" t="s">
        <v>139</v>
      </c>
      <c r="AC6" s="80" t="s">
        <v>85</v>
      </c>
      <c r="AD6" s="80" t="s">
        <v>43</v>
      </c>
      <c r="AE6" s="80" t="s">
        <v>138</v>
      </c>
      <c r="AF6" s="80" t="s">
        <v>85</v>
      </c>
      <c r="AG6" s="80" t="s">
        <v>43</v>
      </c>
      <c r="AH6" s="80" t="s">
        <v>138</v>
      </c>
      <c r="AI6" s="80" t="s">
        <v>139</v>
      </c>
      <c r="AJ6" s="29"/>
    </row>
    <row r="7" customFormat="false" ht="12.75" hidden="false" customHeight="false" outlineLevel="0" collapsed="false">
      <c r="A7" s="88" t="n">
        <f aca="false">Weather_Input!A5</f>
        <v>37008</v>
      </c>
      <c r="B7" s="89" t="n">
        <v>0</v>
      </c>
      <c r="C7" s="90" t="n">
        <v>1160</v>
      </c>
      <c r="D7" s="91" t="n">
        <v>0</v>
      </c>
      <c r="E7" s="91" t="n">
        <v>0</v>
      </c>
      <c r="F7" s="89" t="n">
        <v>0</v>
      </c>
      <c r="G7" s="89" t="n">
        <v>0</v>
      </c>
      <c r="H7" s="92" t="n">
        <v>21320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57782</v>
      </c>
      <c r="P7" s="91" t="n">
        <v>155740</v>
      </c>
      <c r="Q7" s="50" t="n">
        <f aca="false">P7*0.015</f>
        <v>2336.1</v>
      </c>
      <c r="R7" s="91" t="n">
        <v>630</v>
      </c>
      <c r="S7" s="91" t="n">
        <v>0</v>
      </c>
      <c r="T7" s="91" t="n">
        <v>0</v>
      </c>
      <c r="U7" s="93" t="n">
        <v>40000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37008</v>
      </c>
    </row>
    <row r="8" customFormat="false" ht="12.75" hidden="false" customHeight="false" outlineLevel="0" collapsed="false">
      <c r="A8" s="88" t="n">
        <f aca="false">A7+1</f>
        <v>37009</v>
      </c>
      <c r="B8" s="89" t="n">
        <v>0</v>
      </c>
      <c r="C8" s="90" t="n">
        <v>0</v>
      </c>
      <c r="D8" s="91" t="n">
        <v>4620</v>
      </c>
      <c r="E8" s="91" t="n">
        <v>0</v>
      </c>
      <c r="F8" s="89" t="n">
        <v>0</v>
      </c>
      <c r="G8" s="89" t="n">
        <v>20000</v>
      </c>
      <c r="H8" s="92" t="n">
        <v>20390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54270</v>
      </c>
      <c r="P8" s="91" t="n">
        <v>187000</v>
      </c>
      <c r="Q8" s="50" t="n">
        <f aca="false">P8*0.015</f>
        <v>2805</v>
      </c>
      <c r="R8" s="91" t="n">
        <v>650</v>
      </c>
      <c r="S8" s="91" t="n">
        <v>0</v>
      </c>
      <c r="T8" s="91" t="n">
        <v>0</v>
      </c>
      <c r="U8" s="93" t="n">
        <v>40000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37009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37010</v>
      </c>
      <c r="B9" s="89" t="n">
        <v>0</v>
      </c>
      <c r="C9" s="90" t="n">
        <v>0</v>
      </c>
      <c r="D9" s="91" t="n">
        <v>4620</v>
      </c>
      <c r="E9" s="91" t="n">
        <v>0</v>
      </c>
      <c r="F9" s="89" t="n">
        <v>0</v>
      </c>
      <c r="G9" s="89" t="n">
        <v>0</v>
      </c>
      <c r="H9" s="92" t="n">
        <v>3617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240000</v>
      </c>
      <c r="Q9" s="50" t="n">
        <f aca="false">P9*0.015</f>
        <v>3600</v>
      </c>
      <c r="R9" s="91" t="n">
        <v>650</v>
      </c>
      <c r="S9" s="91" t="n">
        <v>0</v>
      </c>
      <c r="T9" s="91" t="n">
        <v>0</v>
      </c>
      <c r="U9" s="93" t="n">
        <v>40000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37010</v>
      </c>
      <c r="AN9" s="93"/>
    </row>
    <row r="10" customFormat="false" ht="12.75" hidden="false" customHeight="false" outlineLevel="0" collapsed="false">
      <c r="A10" s="88" t="n">
        <f aca="false">A9+1</f>
        <v>37011</v>
      </c>
      <c r="B10" s="89" t="n">
        <v>0</v>
      </c>
      <c r="C10" s="90" t="n">
        <v>0</v>
      </c>
      <c r="D10" s="91" t="n">
        <v>4620</v>
      </c>
      <c r="E10" s="91" t="n">
        <v>0</v>
      </c>
      <c r="F10" s="89" t="n">
        <v>0</v>
      </c>
      <c r="G10" s="89" t="n">
        <v>0</v>
      </c>
      <c r="H10" s="92" t="n">
        <v>29619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240000</v>
      </c>
      <c r="Q10" s="50" t="n">
        <f aca="false">P10*0.015</f>
        <v>3600</v>
      </c>
      <c r="R10" s="91" t="n">
        <v>650</v>
      </c>
      <c r="S10" s="91" t="n">
        <v>0</v>
      </c>
      <c r="T10" s="91" t="n">
        <v>0</v>
      </c>
      <c r="U10" s="93" t="n">
        <v>40000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37011</v>
      </c>
    </row>
    <row r="11" customFormat="false" ht="12.75" hidden="false" customHeight="false" outlineLevel="0" collapsed="false">
      <c r="A11" s="88" t="n">
        <f aca="false">A10+1</f>
        <v>37012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20390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160000</v>
      </c>
      <c r="Q11" s="50" t="n">
        <f aca="false">P11*0.015</f>
        <v>2400</v>
      </c>
      <c r="R11" s="91" t="n">
        <v>650</v>
      </c>
      <c r="S11" s="91" t="n">
        <v>0</v>
      </c>
      <c r="T11" s="91" t="n">
        <v>0</v>
      </c>
      <c r="U11" s="93" t="n">
        <v>40000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37012</v>
      </c>
    </row>
    <row r="12" customFormat="false" ht="12.75" hidden="false" customHeight="false" outlineLevel="0" collapsed="false">
      <c r="A12" s="88" t="n">
        <f aca="false">A11+1</f>
        <v>37013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160000</v>
      </c>
      <c r="Q12" s="50" t="n">
        <f aca="false">P12*0.015</f>
        <v>2400</v>
      </c>
      <c r="R12" s="91" t="n">
        <v>650</v>
      </c>
      <c r="S12" s="91" t="n">
        <v>0</v>
      </c>
      <c r="T12" s="91" t="n">
        <v>0</v>
      </c>
      <c r="U12" s="93" t="n">
        <v>40000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37013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154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155</v>
      </c>
      <c r="D3" s="97"/>
      <c r="E3" s="97"/>
      <c r="F3" s="97"/>
      <c r="G3" s="97"/>
      <c r="H3" s="71" t="s">
        <v>156</v>
      </c>
      <c r="I3" s="71"/>
      <c r="J3" s="71"/>
      <c r="K3" s="71"/>
      <c r="L3" s="71"/>
      <c r="M3" s="71" t="s">
        <v>157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158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159</v>
      </c>
      <c r="V4" s="36" t="s">
        <v>160</v>
      </c>
      <c r="Y4" s="73"/>
      <c r="Z4" s="74"/>
      <c r="AE4" s="73"/>
    </row>
    <row r="5" customFormat="false" ht="12.75" hidden="false" customHeight="false" outlineLevel="0" collapsed="false">
      <c r="B5" s="36" t="s">
        <v>161</v>
      </c>
      <c r="C5" s="37"/>
      <c r="D5" s="36"/>
      <c r="E5" s="36"/>
      <c r="F5" s="36"/>
      <c r="G5" s="78"/>
      <c r="H5" s="36"/>
      <c r="I5" s="36"/>
      <c r="J5" s="36"/>
      <c r="K5" s="78" t="s">
        <v>62</v>
      </c>
      <c r="L5" s="76" t="s">
        <v>43</v>
      </c>
      <c r="M5" s="37" t="s">
        <v>63</v>
      </c>
      <c r="N5" s="37" t="s">
        <v>0</v>
      </c>
      <c r="O5" s="36" t="s">
        <v>0</v>
      </c>
      <c r="P5" s="36" t="s">
        <v>0</v>
      </c>
      <c r="Q5" s="36" t="s">
        <v>162</v>
      </c>
      <c r="R5" s="33" t="s">
        <v>85</v>
      </c>
      <c r="S5" s="78" t="s">
        <v>0</v>
      </c>
      <c r="T5" s="75" t="s">
        <v>83</v>
      </c>
      <c r="U5" s="33" t="s">
        <v>141</v>
      </c>
      <c r="V5" s="36" t="s">
        <v>163</v>
      </c>
      <c r="W5" s="36"/>
      <c r="X5" s="76" t="s">
        <v>84</v>
      </c>
      <c r="Y5" s="73"/>
      <c r="Z5" s="36"/>
      <c r="AA5" s="36"/>
      <c r="AB5" s="36"/>
      <c r="AE5" s="78" t="s">
        <v>164</v>
      </c>
    </row>
    <row r="6" customFormat="false" ht="12.75" hidden="false" customHeight="false" outlineLevel="0" collapsed="false">
      <c r="B6" s="80" t="s">
        <v>165</v>
      </c>
      <c r="C6" s="99" t="s">
        <v>85</v>
      </c>
      <c r="D6" s="80" t="s">
        <v>138</v>
      </c>
      <c r="E6" s="80" t="s">
        <v>139</v>
      </c>
      <c r="F6" s="80" t="s">
        <v>83</v>
      </c>
      <c r="G6" s="83" t="s">
        <v>145</v>
      </c>
      <c r="H6" s="80" t="s">
        <v>140</v>
      </c>
      <c r="I6" s="80" t="s">
        <v>94</v>
      </c>
      <c r="J6" s="80" t="s">
        <v>75</v>
      </c>
      <c r="K6" s="83" t="s">
        <v>95</v>
      </c>
      <c r="L6" s="80" t="s">
        <v>166</v>
      </c>
      <c r="M6" s="99" t="s">
        <v>74</v>
      </c>
      <c r="N6" s="80" t="s">
        <v>0</v>
      </c>
      <c r="O6" s="80" t="s">
        <v>0</v>
      </c>
      <c r="P6" s="80" t="s">
        <v>0</v>
      </c>
      <c r="Q6" s="100" t="s">
        <v>167</v>
      </c>
      <c r="R6" s="87" t="s">
        <v>149</v>
      </c>
      <c r="S6" s="83" t="s">
        <v>0</v>
      </c>
      <c r="T6" s="85" t="s">
        <v>139</v>
      </c>
      <c r="U6" s="87" t="s">
        <v>147</v>
      </c>
      <c r="V6" s="80" t="s">
        <v>168</v>
      </c>
      <c r="W6" s="80" t="s">
        <v>0</v>
      </c>
      <c r="X6" s="101" t="s">
        <v>169</v>
      </c>
      <c r="Y6" s="83" t="s">
        <v>84</v>
      </c>
      <c r="Z6" s="80" t="s">
        <v>85</v>
      </c>
      <c r="AA6" s="80" t="s">
        <v>138</v>
      </c>
      <c r="AB6" s="80" t="s">
        <v>139</v>
      </c>
      <c r="AC6" s="80" t="s">
        <v>43</v>
      </c>
      <c r="AD6" s="80" t="s">
        <v>145</v>
      </c>
      <c r="AE6" s="83" t="s">
        <v>170</v>
      </c>
    </row>
    <row r="7" customFormat="false" ht="12.75" hidden="false" customHeight="false" outlineLevel="0" collapsed="false">
      <c r="A7" s="88" t="n">
        <f aca="false">Weather_Input!A5</f>
        <v>37008</v>
      </c>
      <c r="B7" s="50" t="n">
        <v>10499</v>
      </c>
      <c r="C7" s="102" t="n">
        <v>0</v>
      </c>
      <c r="D7" s="50" t="n">
        <v>0</v>
      </c>
      <c r="E7" s="50" t="n">
        <v>4000</v>
      </c>
      <c r="F7" s="50" t="n">
        <v>0</v>
      </c>
      <c r="G7" s="89" t="n">
        <v>0</v>
      </c>
      <c r="H7" s="91" t="n">
        <v>209</v>
      </c>
      <c r="I7" s="91" t="n">
        <v>13519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0</v>
      </c>
      <c r="U7" s="91" t="n">
        <v>0</v>
      </c>
      <c r="V7" s="94" t="n">
        <v>225760</v>
      </c>
      <c r="W7" s="94" t="n">
        <v>0</v>
      </c>
      <c r="X7" s="93" t="n">
        <v>0</v>
      </c>
      <c r="Y7" s="103" t="n">
        <v>152629</v>
      </c>
      <c r="Z7" s="94" t="n">
        <v>41160</v>
      </c>
      <c r="AA7" s="29" t="n">
        <v>0</v>
      </c>
      <c r="AB7" s="93" t="n">
        <v>261981</v>
      </c>
      <c r="AC7" s="93" t="n">
        <v>112578</v>
      </c>
      <c r="AD7" s="93" t="n">
        <v>0</v>
      </c>
      <c r="AE7" s="103" t="n">
        <v>0</v>
      </c>
      <c r="AF7" s="106" t="n">
        <f aca="false">Weather_Input!A5</f>
        <v>37008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37009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10000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220760</v>
      </c>
      <c r="W8" s="94" t="n">
        <v>0</v>
      </c>
      <c r="X8" s="93" t="n">
        <v>0</v>
      </c>
      <c r="Y8" s="103" t="n">
        <v>159391</v>
      </c>
      <c r="Z8" s="94" t="n">
        <v>40000</v>
      </c>
      <c r="AA8" s="29" t="n">
        <v>4620</v>
      </c>
      <c r="AB8" s="93" t="n">
        <v>242782</v>
      </c>
      <c r="AC8" s="93" t="n">
        <v>131750</v>
      </c>
      <c r="AD8" s="93" t="n">
        <v>0</v>
      </c>
      <c r="AE8" s="103" t="n">
        <v>0</v>
      </c>
      <c r="AF8" s="88" t="n">
        <f aca="false">AF7+1</f>
        <v>37009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37010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10000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220760</v>
      </c>
      <c r="W9" s="94" t="n">
        <v>0</v>
      </c>
      <c r="X9" s="93" t="n">
        <v>0</v>
      </c>
      <c r="Y9" s="103" t="n">
        <v>159391</v>
      </c>
      <c r="Z9" s="94" t="n">
        <v>40000</v>
      </c>
      <c r="AA9" s="29" t="n">
        <v>4620</v>
      </c>
      <c r="AB9" s="93" t="n">
        <v>242782</v>
      </c>
      <c r="AC9" s="93" t="n">
        <v>131750</v>
      </c>
      <c r="AD9" s="93" t="n">
        <v>0</v>
      </c>
      <c r="AE9" s="103" t="n">
        <v>0</v>
      </c>
      <c r="AF9" s="88" t="n">
        <f aca="false">AF8+1</f>
        <v>37010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37011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10000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220760</v>
      </c>
      <c r="W10" s="94" t="n">
        <v>0</v>
      </c>
      <c r="X10" s="93" t="n">
        <v>0</v>
      </c>
      <c r="Y10" s="103" t="n">
        <v>159391</v>
      </c>
      <c r="Z10" s="94" t="n">
        <v>40000</v>
      </c>
      <c r="AA10" s="29" t="n">
        <v>4620</v>
      </c>
      <c r="AB10" s="93" t="n">
        <v>242782</v>
      </c>
      <c r="AC10" s="93" t="n">
        <v>131750</v>
      </c>
      <c r="AD10" s="93" t="n">
        <v>0</v>
      </c>
      <c r="AE10" s="103" t="n">
        <v>0</v>
      </c>
      <c r="AF10" s="88" t="n">
        <f aca="false">AF9+1</f>
        <v>37011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37012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10000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220760</v>
      </c>
      <c r="W11" s="94" t="n">
        <v>0</v>
      </c>
      <c r="X11" s="93" t="n">
        <v>0</v>
      </c>
      <c r="Y11" s="103" t="n">
        <v>159391</v>
      </c>
      <c r="Z11" s="94" t="n">
        <v>40000</v>
      </c>
      <c r="AA11" s="29" t="n">
        <v>0</v>
      </c>
      <c r="AB11" s="93" t="n">
        <v>242782</v>
      </c>
      <c r="AC11" s="93" t="n">
        <v>131750</v>
      </c>
      <c r="AD11" s="93" t="n">
        <v>0</v>
      </c>
      <c r="AE11" s="103" t="n">
        <v>0</v>
      </c>
      <c r="AF11" s="88" t="n">
        <f aca="false">AF10+1</f>
        <v>37012</v>
      </c>
    </row>
    <row r="12" customFormat="false" ht="12.75" hidden="false" customHeight="false" outlineLevel="0" collapsed="false">
      <c r="A12" s="88" t="n">
        <f aca="false">A11+1</f>
        <v>37013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10000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220760</v>
      </c>
      <c r="W12" s="94" t="n">
        <v>0</v>
      </c>
      <c r="X12" s="93" t="n">
        <v>0</v>
      </c>
      <c r="Y12" s="103" t="n">
        <v>159391</v>
      </c>
      <c r="Z12" s="94" t="n">
        <v>40000</v>
      </c>
      <c r="AA12" s="29" t="n">
        <v>0</v>
      </c>
      <c r="AB12" s="93" t="n">
        <v>242782</v>
      </c>
      <c r="AC12" s="93" t="n">
        <v>131750</v>
      </c>
      <c r="AD12" s="93" t="n">
        <v>0</v>
      </c>
      <c r="AE12" s="103" t="n">
        <v>0</v>
      </c>
      <c r="AF12" s="88" t="n">
        <f aca="false">AF11+1</f>
        <v>37013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171</v>
      </c>
      <c r="C3" s="71" t="s">
        <v>172</v>
      </c>
      <c r="D3" s="71"/>
      <c r="E3" s="71"/>
      <c r="F3" s="71"/>
      <c r="G3" s="72" t="s">
        <v>173</v>
      </c>
      <c r="H3" s="72"/>
      <c r="I3" s="72"/>
      <c r="J3" s="72"/>
      <c r="K3" s="72"/>
      <c r="L3" s="71" t="s">
        <v>92</v>
      </c>
      <c r="M3" s="71"/>
      <c r="N3" s="71"/>
      <c r="O3" s="71"/>
      <c r="P3" s="71"/>
      <c r="Q3" s="71"/>
      <c r="R3" s="71"/>
      <c r="S3" s="72" t="s">
        <v>174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175</v>
      </c>
      <c r="C4" s="29"/>
      <c r="D4" s="29"/>
      <c r="E4" s="29"/>
      <c r="F4" s="29"/>
      <c r="G4" s="37" t="s">
        <v>176</v>
      </c>
      <c r="H4" s="37"/>
      <c r="I4" s="36" t="s">
        <v>177</v>
      </c>
      <c r="J4" s="36"/>
      <c r="K4" s="76" t="s">
        <v>178</v>
      </c>
      <c r="L4" s="76" t="s">
        <v>178</v>
      </c>
      <c r="M4" s="37" t="s">
        <v>178</v>
      </c>
      <c r="N4" s="76" t="s">
        <v>124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179</v>
      </c>
      <c r="H5" s="36" t="s">
        <v>43</v>
      </c>
      <c r="I5" s="109" t="n">
        <v>0.05</v>
      </c>
      <c r="J5" s="109" t="s">
        <v>85</v>
      </c>
      <c r="K5" s="76" t="s">
        <v>74</v>
      </c>
      <c r="L5" s="76" t="s">
        <v>74</v>
      </c>
      <c r="M5" s="76" t="s">
        <v>74</v>
      </c>
      <c r="N5" s="76" t="s">
        <v>74</v>
      </c>
      <c r="O5" s="36" t="s">
        <v>85</v>
      </c>
      <c r="P5" s="36" t="s">
        <v>43</v>
      </c>
      <c r="Q5" s="36" t="s">
        <v>43</v>
      </c>
      <c r="R5" s="109" t="s">
        <v>43</v>
      </c>
      <c r="S5" s="37" t="s">
        <v>85</v>
      </c>
      <c r="T5" s="37"/>
      <c r="U5" s="37"/>
      <c r="V5" s="36" t="s">
        <v>0</v>
      </c>
      <c r="W5" s="36" t="s">
        <v>138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180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83</v>
      </c>
      <c r="C6" s="80" t="s">
        <v>43</v>
      </c>
      <c r="D6" s="80" t="s">
        <v>85</v>
      </c>
      <c r="E6" s="80" t="s">
        <v>138</v>
      </c>
      <c r="F6" s="80" t="s">
        <v>139</v>
      </c>
      <c r="G6" s="99" t="s">
        <v>181</v>
      </c>
      <c r="H6" s="80" t="s">
        <v>166</v>
      </c>
      <c r="I6" s="80" t="s">
        <v>182</v>
      </c>
      <c r="J6" s="80" t="s">
        <v>149</v>
      </c>
      <c r="K6" s="80" t="s">
        <v>183</v>
      </c>
      <c r="L6" s="80" t="s">
        <v>184</v>
      </c>
      <c r="M6" s="80" t="s">
        <v>185</v>
      </c>
      <c r="N6" s="80" t="s">
        <v>186</v>
      </c>
      <c r="O6" s="80" t="n">
        <v>50</v>
      </c>
      <c r="P6" s="80" t="s">
        <v>187</v>
      </c>
      <c r="Q6" s="80" t="s">
        <v>152</v>
      </c>
      <c r="R6" s="80" t="s">
        <v>188</v>
      </c>
      <c r="S6" s="99" t="s">
        <v>189</v>
      </c>
      <c r="T6" s="80" t="s">
        <v>190</v>
      </c>
      <c r="U6" s="80" t="s">
        <v>191</v>
      </c>
      <c r="V6" s="99" t="s">
        <v>189</v>
      </c>
      <c r="W6" s="80" t="s">
        <v>190</v>
      </c>
      <c r="X6" s="80" t="s">
        <v>191</v>
      </c>
      <c r="Y6" s="99" t="s">
        <v>189</v>
      </c>
      <c r="Z6" s="80" t="s">
        <v>190</v>
      </c>
      <c r="AA6" s="80" t="s">
        <v>191</v>
      </c>
      <c r="AB6" s="99" t="s">
        <v>189</v>
      </c>
      <c r="AC6" s="80" t="s">
        <v>190</v>
      </c>
      <c r="AD6" s="80" t="s">
        <v>191</v>
      </c>
      <c r="AE6" s="80" t="s">
        <v>192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37008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20000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37008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37009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37009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37010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37010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37011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37011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37012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37012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37013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37013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171</v>
      </c>
      <c r="C3" s="115" t="s">
        <v>193</v>
      </c>
      <c r="D3" s="115"/>
      <c r="E3" s="115"/>
      <c r="F3" s="115"/>
      <c r="G3" s="115"/>
      <c r="H3" s="71" t="s">
        <v>157</v>
      </c>
      <c r="I3" s="71"/>
      <c r="J3" s="71"/>
      <c r="K3" s="71"/>
      <c r="L3" s="71"/>
      <c r="M3" s="71"/>
      <c r="N3" s="71"/>
      <c r="O3" s="69" t="s">
        <v>194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195</v>
      </c>
      <c r="C4" s="37"/>
      <c r="D4" s="36"/>
      <c r="E4" s="36"/>
      <c r="F4" s="76"/>
      <c r="G4" s="76" t="s">
        <v>177</v>
      </c>
      <c r="H4" s="37"/>
      <c r="M4" s="73"/>
      <c r="N4" s="74"/>
      <c r="P4" s="36" t="s">
        <v>196</v>
      </c>
      <c r="Q4" s="36"/>
      <c r="U4" s="73"/>
    </row>
    <row r="5" customFormat="false" ht="12.75" hidden="false" customHeight="false" outlineLevel="0" collapsed="false">
      <c r="C5" s="37" t="s">
        <v>43</v>
      </c>
      <c r="D5" s="36" t="s">
        <v>197</v>
      </c>
      <c r="E5" s="36" t="s">
        <v>85</v>
      </c>
      <c r="F5" s="76" t="s">
        <v>43</v>
      </c>
      <c r="G5" s="116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8" t="s">
        <v>85</v>
      </c>
      <c r="N5" s="36" t="s">
        <v>139</v>
      </c>
      <c r="O5" s="36"/>
      <c r="P5" s="36" t="s">
        <v>198</v>
      </c>
      <c r="Q5" s="36" t="s">
        <v>198</v>
      </c>
      <c r="R5" s="36" t="s">
        <v>43</v>
      </c>
      <c r="S5" s="29" t="s">
        <v>199</v>
      </c>
      <c r="U5" s="78"/>
    </row>
    <row r="6" customFormat="false" ht="12.75" hidden="false" customHeight="false" outlineLevel="0" collapsed="false">
      <c r="B6" s="80" t="s">
        <v>83</v>
      </c>
      <c r="C6" s="99" t="s">
        <v>179</v>
      </c>
      <c r="D6" s="80" t="s">
        <v>200</v>
      </c>
      <c r="E6" s="80" t="s">
        <v>149</v>
      </c>
      <c r="F6" s="80" t="s">
        <v>166</v>
      </c>
      <c r="G6" s="80" t="s">
        <v>182</v>
      </c>
      <c r="H6" s="99" t="s">
        <v>74</v>
      </c>
      <c r="I6" s="80" t="s">
        <v>187</v>
      </c>
      <c r="J6" s="80" t="s">
        <v>152</v>
      </c>
      <c r="K6" s="80" t="s">
        <v>188</v>
      </c>
      <c r="L6" s="80" t="s">
        <v>201</v>
      </c>
      <c r="M6" s="83" t="s">
        <v>202</v>
      </c>
      <c r="N6" s="80" t="s">
        <v>203</v>
      </c>
      <c r="O6" s="80" t="s">
        <v>138</v>
      </c>
      <c r="P6" s="80" t="s">
        <v>204</v>
      </c>
      <c r="Q6" s="80" t="s">
        <v>205</v>
      </c>
      <c r="R6" s="80" t="s">
        <v>198</v>
      </c>
      <c r="S6" s="87" t="s">
        <v>43</v>
      </c>
      <c r="T6" s="80" t="s">
        <v>139</v>
      </c>
      <c r="U6" s="83" t="s">
        <v>75</v>
      </c>
    </row>
    <row r="7" customFormat="false" ht="12.75" hidden="false" customHeight="false" outlineLevel="0" collapsed="false">
      <c r="A7" s="88" t="n">
        <f aca="false">Weather_Input!A5</f>
        <v>37008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6044</v>
      </c>
      <c r="G7" s="50" t="n">
        <f aca="false">(R7+S7+C7+PGL_Requirements!Y7+PGL_Requirements!Z7-NSG_Requirements!C7)*0.05</f>
        <v>4040.5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52905</v>
      </c>
      <c r="S7" s="50" t="n">
        <v>27905</v>
      </c>
      <c r="T7" s="50" t="n">
        <v>0</v>
      </c>
      <c r="U7" s="50" t="n">
        <v>0</v>
      </c>
      <c r="V7" s="88" t="n">
        <f aca="false">Weather_Input!A5</f>
        <v>37008</v>
      </c>
      <c r="W7" s="93"/>
      <c r="X7" s="93"/>
    </row>
    <row r="8" customFormat="false" ht="12.75" hidden="false" customHeight="false" outlineLevel="0" collapsed="false">
      <c r="A8" s="88" t="n">
        <f aca="false">A7+1</f>
        <v>37009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3250</v>
      </c>
      <c r="G8" s="50" t="n">
        <f aca="false">(R8+S8+C8+PGL_Requirements!Y8+PGL_Requirements!Z8-NSG_Requirements!C8)*0.05</f>
        <v>3725.5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49755</v>
      </c>
      <c r="S8" s="50" t="n">
        <v>24755</v>
      </c>
      <c r="T8" s="50" t="n">
        <v>0</v>
      </c>
      <c r="U8" s="50" t="n">
        <v>0</v>
      </c>
      <c r="V8" s="88" t="n">
        <f aca="false">V7+1</f>
        <v>37009</v>
      </c>
      <c r="W8" s="93"/>
      <c r="X8" s="93"/>
    </row>
    <row r="9" customFormat="false" ht="12.75" hidden="false" customHeight="false" outlineLevel="0" collapsed="false">
      <c r="A9" s="88" t="n">
        <f aca="false">A8+1</f>
        <v>37010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3725.5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49755</v>
      </c>
      <c r="S9" s="50" t="n">
        <v>24755</v>
      </c>
      <c r="T9" s="50" t="n">
        <v>0</v>
      </c>
      <c r="U9" s="50" t="n">
        <v>0</v>
      </c>
      <c r="V9" s="88" t="n">
        <f aca="false">V8+1</f>
        <v>37010</v>
      </c>
      <c r="W9" s="93"/>
      <c r="X9" s="93"/>
    </row>
    <row r="10" customFormat="false" ht="12.75" hidden="false" customHeight="false" outlineLevel="0" collapsed="false">
      <c r="A10" s="88" t="n">
        <f aca="false">A9+1</f>
        <v>37011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3725.5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49755</v>
      </c>
      <c r="S10" s="50" t="n">
        <v>24755</v>
      </c>
      <c r="T10" s="50" t="n">
        <v>0</v>
      </c>
      <c r="U10" s="50" t="n">
        <v>0</v>
      </c>
      <c r="V10" s="88" t="n">
        <f aca="false">V9+1</f>
        <v>37011</v>
      </c>
      <c r="W10" s="93"/>
      <c r="X10" s="93"/>
    </row>
    <row r="11" customFormat="false" ht="12.75" hidden="false" customHeight="false" outlineLevel="0" collapsed="false">
      <c r="A11" s="88" t="n">
        <f aca="false">A10+1</f>
        <v>37012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3725.5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49755</v>
      </c>
      <c r="S11" s="50" t="n">
        <v>24755</v>
      </c>
      <c r="T11" s="50" t="n">
        <v>0</v>
      </c>
      <c r="U11" s="50" t="n">
        <v>0</v>
      </c>
      <c r="V11" s="88" t="n">
        <f aca="false">V10+1</f>
        <v>37012</v>
      </c>
      <c r="W11" s="93"/>
      <c r="X11" s="93"/>
    </row>
    <row r="12" customFormat="false" ht="12.75" hidden="false" customHeight="false" outlineLevel="0" collapsed="false">
      <c r="A12" s="88" t="n">
        <f aca="false">A11+1</f>
        <v>37013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3725.5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49755</v>
      </c>
      <c r="S12" s="50" t="n">
        <v>24755</v>
      </c>
      <c r="T12" s="50" t="n">
        <v>0</v>
      </c>
      <c r="U12" s="50" t="n">
        <v>0</v>
      </c>
      <c r="V12" s="88" t="n">
        <f aca="false">V11+1</f>
        <v>37013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206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207</v>
      </c>
      <c r="B1" s="119"/>
      <c r="C1" s="120"/>
      <c r="D1" s="119"/>
      <c r="E1" s="119"/>
      <c r="F1" s="119" t="s">
        <v>0</v>
      </c>
      <c r="G1" s="119" t="s">
        <v>208</v>
      </c>
      <c r="H1" s="121" t="str">
        <f aca="false">D3</f>
        <v>FRI</v>
      </c>
      <c r="I1" s="122" t="n">
        <f aca="false">D4</f>
        <v>37008</v>
      </c>
    </row>
    <row r="2" customFormat="false" ht="15.75" hidden="false" customHeight="false" outlineLevel="0" collapsed="false">
      <c r="A2" s="123" t="s">
        <v>209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FRI</v>
      </c>
      <c r="E3" s="127" t="str">
        <f aca="false">CHOOSE(WEEKDAY(E4),"SUN","MON","TUE","WED","THU","FRI","SAT")</f>
        <v>SAT</v>
      </c>
      <c r="F3" s="127" t="str">
        <f aca="false">CHOOSE(WEEKDAY(F4),"SUN","MON","TUE","WED","THU","FRI","SAT")</f>
        <v>SUN</v>
      </c>
      <c r="G3" s="127" t="str">
        <f aca="false">CHOOSE(WEEKDAY(G4),"SUN","MON","TUE","WED","THU","FRI","SAT")</f>
        <v>MON</v>
      </c>
      <c r="H3" s="127" t="str">
        <f aca="false">CHOOSE(WEEKDAY(H4),"SUN","MON","TUE","WED","THU","FRI","SAT")</f>
        <v>TUE</v>
      </c>
      <c r="I3" s="128" t="str">
        <f aca="false">CHOOSE(WEEKDAY(I4),"SUN","MON","TUE","WED","THU","FRI","SAT")</f>
        <v>WED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37008</v>
      </c>
      <c r="E4" s="131" t="n">
        <f aca="false">Weather_Input!A6</f>
        <v>37009</v>
      </c>
      <c r="F4" s="131" t="n">
        <f aca="false">Weather_Input!A7</f>
        <v>37010</v>
      </c>
      <c r="G4" s="131" t="n">
        <f aca="false">Weather_Input!A8</f>
        <v>37011</v>
      </c>
      <c r="H4" s="131" t="n">
        <f aca="false">Weather_Input!A9</f>
        <v>37012</v>
      </c>
      <c r="I4" s="132" t="n">
        <f aca="false">Weather_Input!A10</f>
        <v>37013</v>
      </c>
    </row>
    <row r="5" customFormat="false" ht="16.5" hidden="false" customHeight="true" outlineLevel="0" collapsed="false">
      <c r="A5" s="133" t="s">
        <v>210</v>
      </c>
      <c r="B5" s="124"/>
      <c r="C5" s="124" t="s">
        <v>211</v>
      </c>
      <c r="D5" s="134" t="str">
        <f aca="false">TEXT(Weather_Input!B5,"0")&amp;"/"&amp;TEXT(Weather_Input!C5,"0")&amp;"/"&amp;TEXT((Weather_Input!B5+Weather_Input!C5)/2,"0")</f>
        <v>62/42/52</v>
      </c>
      <c r="E5" s="134" t="str">
        <f aca="false">TEXT(Weather_Input!B6,"0")&amp;"/"&amp;TEXT(Weather_Input!C6,"0")&amp;"/"&amp;TEXT((Weather_Input!B6+Weather_Input!C6)/2,"0")</f>
        <v>67/48/58</v>
      </c>
      <c r="F5" s="134" t="str">
        <f aca="false">TEXT(Weather_Input!B7,"0")&amp;"/"&amp;TEXT(Weather_Input!C7,"0")&amp;"/"&amp;TEXT((Weather_Input!B7+Weather_Input!C7)/2,"0")</f>
        <v>78/56/67</v>
      </c>
      <c r="G5" s="134" t="str">
        <f aca="false">TEXT(Weather_Input!B8,"0")&amp;"/"&amp;TEXT(Weather_Input!C8,"0")&amp;"/"&amp;TEXT((Weather_Input!B8+Weather_Input!C8)/2,"0")</f>
        <v>82/58/70</v>
      </c>
      <c r="H5" s="134" t="str">
        <f aca="false">TEXT(Weather_Input!B9,"0")&amp;"/"&amp;TEXT(Weather_Input!C9,"0")&amp;"/"&amp;TEXT((Weather_Input!B9+Weather_Input!C9)/2,"0")</f>
        <v>84/64/74</v>
      </c>
      <c r="I5" s="135" t="str">
        <f aca="false">TEXT(Weather_Input!B10,"0")&amp;"/"&amp;TEXT(Weather_Input!C10,"0")&amp;"/"&amp;TEXT((Weather_Input!B10+Weather_Input!C10)/2,"0")</f>
        <v>84/64/74</v>
      </c>
    </row>
    <row r="6" customFormat="false" ht="15.75" hidden="false" customHeight="false" outlineLevel="0" collapsed="false">
      <c r="A6" s="136" t="s">
        <v>212</v>
      </c>
      <c r="B6" s="124"/>
      <c r="C6" s="124"/>
      <c r="D6" s="134" t="n">
        <f aca="false">PGL_Deliveries!C5/1000</f>
        <v>320</v>
      </c>
      <c r="E6" s="134" t="n">
        <f aca="false">PGL_Deliveries!C6/1000</f>
        <v>270</v>
      </c>
      <c r="F6" s="134" t="n">
        <f aca="false">PGL_Deliveries!C7/1000</f>
        <v>235</v>
      </c>
      <c r="G6" s="134" t="n">
        <f aca="false">PGL_Deliveries!C8/1000</f>
        <v>250</v>
      </c>
      <c r="H6" s="134" t="n">
        <f aca="false">PGL_Deliveries!C9/1000</f>
        <v>240</v>
      </c>
      <c r="I6" s="135" t="n">
        <f aca="false">PGL_Deliveries!C10/1000</f>
        <v>240</v>
      </c>
    </row>
    <row r="7" customFormat="false" ht="15.75" hidden="false" customHeight="false" outlineLevel="0" collapsed="false">
      <c r="A7" s="136" t="s">
        <v>213</v>
      </c>
      <c r="B7" s="124" t="s">
        <v>139</v>
      </c>
      <c r="C7" s="124"/>
      <c r="D7" s="134" t="n">
        <f aca="false">PGL_Requirements!H7/1000*0.5</f>
        <v>10.66</v>
      </c>
      <c r="E7" s="134" t="n">
        <f aca="false">PGL_Requirements!H8/1000*0.5</f>
        <v>10.195</v>
      </c>
      <c r="F7" s="134" t="n">
        <f aca="false">PGL_Requirements!H9/1000*0.5</f>
        <v>1.8085</v>
      </c>
      <c r="G7" s="134" t="n">
        <f aca="false">PGL_Requirements!H10/1000*0.5</f>
        <v>14.8095</v>
      </c>
      <c r="H7" s="134" t="n">
        <f aca="false">PGL_Requirements!H11/1000*0.5</f>
        <v>10.195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214</v>
      </c>
      <c r="B8" s="124"/>
      <c r="C8" s="124"/>
      <c r="D8" s="134" t="n">
        <f aca="false">PGL_Requirements!I7/1000</f>
        <v>0</v>
      </c>
      <c r="E8" s="134" t="n">
        <f aca="false">PGL_Requirements!I8/1000</f>
        <v>0</v>
      </c>
      <c r="F8" s="134" t="n">
        <f aca="false">PGL_Requirements!I9/1000</f>
        <v>0</v>
      </c>
      <c r="G8" s="134" t="n">
        <f aca="false">PGL_Requirements!I10/1000</f>
        <v>0</v>
      </c>
      <c r="H8" s="134" t="n">
        <f aca="false">PGL_Requirements!I11/1000</f>
        <v>0</v>
      </c>
      <c r="I8" s="135" t="n">
        <f aca="false">PGL_Requirements!I12/1000</f>
        <v>0</v>
      </c>
    </row>
    <row r="9" customFormat="false" ht="15.75" hidden="false" customHeight="false" outlineLevel="0" collapsed="false">
      <c r="A9" s="133" t="s">
        <v>215</v>
      </c>
      <c r="B9" s="124" t="s">
        <v>216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217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139</v>
      </c>
      <c r="C11" s="124"/>
      <c r="D11" s="134" t="n">
        <f aca="false">PGL_Requirements!K7/1000</f>
        <v>0</v>
      </c>
      <c r="E11" s="134" t="n">
        <f aca="false">PGL_Requirements!K8/1000</f>
        <v>0</v>
      </c>
      <c r="F11" s="134" t="n">
        <f aca="false">PGL_Requirements!K9/1000</f>
        <v>0</v>
      </c>
      <c r="G11" s="134" t="n">
        <f aca="false">PGL_Requirements!K10/1000</f>
        <v>0</v>
      </c>
      <c r="H11" s="134" t="n">
        <f aca="false">PGL_Requirements!K11/1000</f>
        <v>0</v>
      </c>
      <c r="I11" s="135" t="n">
        <f aca="false">PGL_Requirements!K12/1000</f>
        <v>0</v>
      </c>
    </row>
    <row r="12" customFormat="false" ht="15.75" hidden="false" customHeight="false" outlineLevel="0" collapsed="false">
      <c r="A12" s="133"/>
      <c r="B12" s="124" t="s">
        <v>218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219</v>
      </c>
      <c r="B13" s="124" t="s">
        <v>220</v>
      </c>
      <c r="C13" s="124" t="s">
        <v>74</v>
      </c>
      <c r="D13" s="134" t="n">
        <f aca="false">PGL_Requirements!P7/1000</f>
        <v>155.74</v>
      </c>
      <c r="E13" s="134" t="n">
        <f aca="false">PGL_Requirements!P8/1000</f>
        <v>187</v>
      </c>
      <c r="F13" s="134" t="n">
        <f aca="false">PGL_Requirements!P9/1000</f>
        <v>240</v>
      </c>
      <c r="G13" s="134" t="n">
        <f aca="false">PGL_Requirements!P10/1000</f>
        <v>240</v>
      </c>
      <c r="H13" s="134" t="n">
        <f aca="false">PGL_Requirements!P11/1000</f>
        <v>160</v>
      </c>
      <c r="I13" s="135" t="n">
        <f aca="false">PGL_Requirements!P12/1000</f>
        <v>160</v>
      </c>
    </row>
    <row r="14" customFormat="false" ht="15.75" hidden="false" customHeight="false" outlineLevel="0" collapsed="false">
      <c r="A14" s="133"/>
      <c r="B14" s="124"/>
      <c r="C14" s="124" t="s">
        <v>150</v>
      </c>
      <c r="D14" s="134" t="n">
        <f aca="false">PGL_Requirements!Q7/1000</f>
        <v>2.3361</v>
      </c>
      <c r="E14" s="134" t="n">
        <f aca="false">PGL_Requirements!Q8/1000</f>
        <v>2.805</v>
      </c>
      <c r="F14" s="134" t="n">
        <f aca="false">PGL_Requirements!Q9/1000</f>
        <v>3.6</v>
      </c>
      <c r="G14" s="134" t="n">
        <f aca="false">PGL_Requirements!Q10/1000</f>
        <v>3.6</v>
      </c>
      <c r="H14" s="134" t="n">
        <f aca="false">PGL_Requirements!Q11/1000</f>
        <v>2.4</v>
      </c>
      <c r="I14" s="135" t="n">
        <f aca="false">PGL_Requirements!Q12/1000</f>
        <v>2.4</v>
      </c>
    </row>
    <row r="15" customFormat="false" ht="15.75" hidden="false" customHeight="false" outlineLevel="0" collapsed="false">
      <c r="A15" s="133"/>
      <c r="C15" s="124" t="s">
        <v>151</v>
      </c>
      <c r="D15" s="134" t="n">
        <f aca="false">PGL_Requirements!R7/1000</f>
        <v>0.63</v>
      </c>
      <c r="E15" s="134" t="n">
        <f aca="false">PGL_Requirements!R8/1000</f>
        <v>0.65</v>
      </c>
      <c r="F15" s="134" t="n">
        <f aca="false">PGL_Requirements!R9/1000</f>
        <v>0.65</v>
      </c>
      <c r="G15" s="134" t="n">
        <f aca="false">PGL_Requirements!R10/1000</f>
        <v>0.65</v>
      </c>
      <c r="H15" s="134" t="n">
        <f aca="false">PGL_Requirements!R11/1000</f>
        <v>0.65</v>
      </c>
      <c r="I15" s="135" t="n">
        <f aca="false">PGL_Requirements!R12/1000</f>
        <v>0.65</v>
      </c>
    </row>
    <row r="16" customFormat="false" ht="15.75" hidden="false" customHeight="false" outlineLevel="0" collapsed="false">
      <c r="A16" s="133"/>
      <c r="C16" s="124" t="s">
        <v>221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67</v>
      </c>
      <c r="C17" s="124" t="s">
        <v>153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216</v>
      </c>
      <c r="C18" s="124" t="s">
        <v>149</v>
      </c>
      <c r="D18" s="134" t="n">
        <f aca="false">PGL_Requirements!U7/1000</f>
        <v>40</v>
      </c>
      <c r="E18" s="134" t="n">
        <f aca="false">PGL_Requirements!U8/1000</f>
        <v>40</v>
      </c>
      <c r="F18" s="134" t="n">
        <f aca="false">PGL_Requirements!U9/1000</f>
        <v>40</v>
      </c>
      <c r="G18" s="134" t="n">
        <f aca="false">PGL_Requirements!U10/1000</f>
        <v>40</v>
      </c>
      <c r="H18" s="134" t="n">
        <f aca="false">PGL_Requirements!U11/1000</f>
        <v>40</v>
      </c>
      <c r="I18" s="135" t="n">
        <f aca="false">PGL_Requirements!U12/1000</f>
        <v>40</v>
      </c>
    </row>
    <row r="19" customFormat="false" ht="15.75" hidden="false" customHeight="false" outlineLevel="0" collapsed="false">
      <c r="A19" s="133"/>
      <c r="B19" s="124" t="s">
        <v>218</v>
      </c>
      <c r="C19" s="124" t="s">
        <v>149</v>
      </c>
      <c r="D19" s="134" t="n">
        <f aca="false">PGL_Requirements!O7/1000</f>
        <v>57.782</v>
      </c>
      <c r="E19" s="134" t="n">
        <f aca="false">PGL_Requirements!O8/1000</f>
        <v>54.27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222</v>
      </c>
      <c r="B20" s="138" t="s">
        <v>216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218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139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223</v>
      </c>
      <c r="C23" s="138" t="s">
        <v>190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224</v>
      </c>
      <c r="B24" s="124"/>
      <c r="C24" s="124"/>
      <c r="D24" s="134" t="n">
        <f aca="false">PGL_Requirements!G7/1000</f>
        <v>0</v>
      </c>
      <c r="E24" s="134" t="n">
        <f aca="false">PGL_Requirements!G8/1000</f>
        <v>20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225</v>
      </c>
      <c r="B25" s="124" t="s">
        <v>226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85</v>
      </c>
      <c r="C26" s="124"/>
      <c r="D26" s="134" t="n">
        <f aca="false">PGL_Requirements!C7/1000</f>
        <v>1.16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138</v>
      </c>
      <c r="C27" s="124"/>
      <c r="D27" s="134" t="n">
        <f aca="false">PGL_Requirements!D7/1000</f>
        <v>0</v>
      </c>
      <c r="E27" s="134" t="n">
        <f aca="false">PGL_Requirements!D8/1000</f>
        <v>4.62</v>
      </c>
      <c r="F27" s="134" t="n">
        <f aca="false">PGL_Requirements!D9/1000</f>
        <v>4.62</v>
      </c>
      <c r="G27" s="134" t="n">
        <f aca="false">PGL_Requirements!D10/1000</f>
        <v>4.62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139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145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227</v>
      </c>
      <c r="B30" s="143"/>
      <c r="C30" s="143"/>
      <c r="D30" s="144" t="n">
        <f aca="false">SUM(D6:D29)</f>
        <v>588.3081</v>
      </c>
      <c r="E30" s="144" t="n">
        <f aca="false">SUM(E6:E29)</f>
        <v>589.54</v>
      </c>
      <c r="F30" s="144" t="n">
        <f aca="false">SUM(F6:F29)</f>
        <v>525.6785</v>
      </c>
      <c r="G30" s="144" t="n">
        <f aca="false">SUM(G6:G29)</f>
        <v>553.6795</v>
      </c>
      <c r="H30" s="144" t="n">
        <f aca="false">SUM(H6:H29)</f>
        <v>453.245</v>
      </c>
      <c r="I30" s="145" t="n">
        <f aca="false">SUM(I6:I29)</f>
        <v>443.05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228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229</v>
      </c>
      <c r="B33" s="124" t="s">
        <v>220</v>
      </c>
      <c r="C33" s="124" t="s">
        <v>74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140</v>
      </c>
      <c r="D34" s="134" t="n">
        <f aca="false">PGL_Supplies!H7/1000</f>
        <v>0.209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75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216</v>
      </c>
      <c r="C36" s="124" t="s">
        <v>149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218</v>
      </c>
      <c r="C37" s="124" t="s">
        <v>149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230</v>
      </c>
      <c r="B38" s="124" t="s">
        <v>216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139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218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231</v>
      </c>
      <c r="C41" s="124" t="s">
        <v>232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214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233</v>
      </c>
      <c r="B43" s="124" t="s">
        <v>139</v>
      </c>
      <c r="C43" s="124"/>
      <c r="D43" s="134" t="n">
        <f aca="false">PGL_Supplies!T7/1000*0.5</f>
        <v>0</v>
      </c>
      <c r="E43" s="134" t="n">
        <f aca="false">PGL_Supplies!T8/1000*0.5</f>
        <v>0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217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139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218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234</v>
      </c>
      <c r="B47" s="124" t="s">
        <v>235</v>
      </c>
      <c r="C47" s="124"/>
      <c r="D47" s="134" t="n">
        <f aca="false">PGL_Supplies!Y7/1000</f>
        <v>152.629</v>
      </c>
      <c r="E47" s="134" t="n">
        <f aca="false">PGL_Supplies!Y8/1000</f>
        <v>159.391</v>
      </c>
      <c r="F47" s="134" t="n">
        <f aca="false">PGL_Supplies!Y9/1000</f>
        <v>159.391</v>
      </c>
      <c r="G47" s="134" t="n">
        <f aca="false">PGL_Supplies!Y10/1000</f>
        <v>159.391</v>
      </c>
      <c r="H47" s="134" t="n">
        <f aca="false">PGL_Supplies!Y11/1000</f>
        <v>159.391</v>
      </c>
      <c r="I47" s="135" t="n">
        <f aca="false">PGL_Supplies!Y12/1000</f>
        <v>159.391</v>
      </c>
    </row>
    <row r="48" customFormat="false" ht="15.75" hidden="false" customHeight="false" outlineLevel="0" collapsed="false">
      <c r="A48" s="136"/>
      <c r="B48" s="124" t="s">
        <v>216</v>
      </c>
      <c r="C48" s="137"/>
      <c r="D48" s="134" t="n">
        <f aca="false">PGL_Supplies!Z7/1000</f>
        <v>41.16</v>
      </c>
      <c r="E48" s="134" t="n">
        <f aca="false">PGL_Supplies!Z8/1000</f>
        <v>40</v>
      </c>
      <c r="F48" s="134" t="n">
        <f aca="false">PGL_Supplies!Z9/1000</f>
        <v>40</v>
      </c>
      <c r="G48" s="134" t="n">
        <f aca="false">PGL_Supplies!Z10/1000</f>
        <v>40</v>
      </c>
      <c r="H48" s="134" t="n">
        <f aca="false">PGL_Supplies!Z11/1000</f>
        <v>40</v>
      </c>
      <c r="I48" s="135" t="n">
        <f aca="false">PGL_Supplies!Z12/1000</f>
        <v>40</v>
      </c>
    </row>
    <row r="49" customFormat="false" ht="15.75" hidden="false" customHeight="false" outlineLevel="0" collapsed="false">
      <c r="A49" s="136"/>
      <c r="B49" s="124" t="s">
        <v>217</v>
      </c>
      <c r="C49" s="137"/>
      <c r="D49" s="134" t="n">
        <f aca="false">PGL_Supplies!AA7/1000</f>
        <v>0</v>
      </c>
      <c r="E49" s="134" t="n">
        <f aca="false">PGL_Supplies!AA8/1000</f>
        <v>4.62</v>
      </c>
      <c r="F49" s="134" t="n">
        <f aca="false">PGL_Supplies!AA9/1000</f>
        <v>4.62</v>
      </c>
      <c r="G49" s="134" t="n">
        <f aca="false">PGL_Supplies!AA10/1000</f>
        <v>4.62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139</v>
      </c>
      <c r="C50" s="137"/>
      <c r="D50" s="134" t="n">
        <f aca="false">PGL_Supplies!AB7/1000</f>
        <v>261.981</v>
      </c>
      <c r="E50" s="134" t="n">
        <f aca="false">PGL_Supplies!AB8/1000</f>
        <v>242.782</v>
      </c>
      <c r="F50" s="134" t="n">
        <f aca="false">PGL_Supplies!AB9/1000</f>
        <v>242.782</v>
      </c>
      <c r="G50" s="134" t="n">
        <f aca="false">PGL_Supplies!AB10/1000</f>
        <v>242.782</v>
      </c>
      <c r="H50" s="134" t="n">
        <f aca="false">PGL_Supplies!AB11/1000</f>
        <v>242.782</v>
      </c>
      <c r="I50" s="135" t="n">
        <f aca="false">PGL_Supplies!AB12/1000</f>
        <v>242.782</v>
      </c>
    </row>
    <row r="51" customFormat="false" ht="15.75" hidden="false" customHeight="false" outlineLevel="0" collapsed="false">
      <c r="A51" s="136"/>
      <c r="B51" s="124" t="s">
        <v>218</v>
      </c>
      <c r="C51" s="124"/>
      <c r="D51" s="134" t="n">
        <f aca="false">PGL_Supplies!AC7/1000</f>
        <v>112.578</v>
      </c>
      <c r="E51" s="134" t="n">
        <f aca="false">PGL_Supplies!AC8/1000</f>
        <v>131.75</v>
      </c>
      <c r="F51" s="134" t="n">
        <f aca="false">PGL_Supplies!AC9/1000</f>
        <v>131.75</v>
      </c>
      <c r="G51" s="134" t="n">
        <f aca="false">PGL_Supplies!AC10/1000</f>
        <v>131.75</v>
      </c>
      <c r="H51" s="134" t="n">
        <f aca="false">PGL_Supplies!AC11/1000</f>
        <v>131.75</v>
      </c>
      <c r="I51" s="135" t="n">
        <f aca="false">PGL_Supplies!AC12/1000</f>
        <v>131.75</v>
      </c>
    </row>
    <row r="52" customFormat="false" ht="15.75" hidden="false" customHeight="false" outlineLevel="0" collapsed="false">
      <c r="A52" s="136"/>
      <c r="B52" s="124" t="s">
        <v>236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237</v>
      </c>
      <c r="C53" s="124"/>
      <c r="D53" s="134" t="n">
        <f aca="false">PGL_Supplies!I7/1000</f>
        <v>13.519</v>
      </c>
      <c r="E53" s="134" t="n">
        <f aca="false">PGL_Supplies!I8/1000</f>
        <v>10</v>
      </c>
      <c r="F53" s="134" t="n">
        <f aca="false">PGL_Supplies!I9/1000</f>
        <v>10</v>
      </c>
      <c r="G53" s="134" t="n">
        <f aca="false">PGL_Supplies!I10/1000</f>
        <v>10</v>
      </c>
      <c r="H53" s="134" t="n">
        <f aca="false">PGL_Supplies!I11/1000</f>
        <v>10</v>
      </c>
      <c r="I53" s="135" t="n">
        <f aca="false">PGL_Supplies!I12/1000</f>
        <v>10</v>
      </c>
      <c r="J53" s="117" t="s">
        <v>0</v>
      </c>
    </row>
    <row r="54" customFormat="false" ht="15.75" hidden="false" customHeight="false" outlineLevel="0" collapsed="false">
      <c r="A54" s="133"/>
      <c r="B54" s="124" t="s">
        <v>238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239</v>
      </c>
      <c r="B55" s="124"/>
      <c r="C55" s="124"/>
      <c r="D55" s="134" t="n">
        <f aca="false">PGL_Supplies!B7/1000</f>
        <v>10.499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240</v>
      </c>
      <c r="B56" s="124" t="s">
        <v>235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216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217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139</v>
      </c>
      <c r="C59" s="124"/>
      <c r="D59" s="134" t="n">
        <f aca="false">PGL_Supplies!E7/1000</f>
        <v>4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236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241</v>
      </c>
      <c r="B61" s="158"/>
      <c r="C61" s="158"/>
      <c r="D61" s="159" t="n">
        <f aca="false">SUM(D33:D60)</f>
        <v>596.575</v>
      </c>
      <c r="E61" s="159" t="n">
        <f aca="false">SUM(E33:E60)</f>
        <v>589.543</v>
      </c>
      <c r="F61" s="159" t="n">
        <f aca="false">SUM(F33:F60)</f>
        <v>589.543</v>
      </c>
      <c r="G61" s="159" t="n">
        <f aca="false">SUM(G33:G60)</f>
        <v>589.543</v>
      </c>
      <c r="H61" s="159" t="n">
        <f aca="false">SUM(H33:H60)</f>
        <v>584.923</v>
      </c>
      <c r="I61" s="160" t="n">
        <f aca="false">SUM(I33:I60)</f>
        <v>584.923</v>
      </c>
    </row>
    <row r="62" customFormat="false" ht="15" hidden="false" customHeight="false" outlineLevel="0" collapsed="false">
      <c r="A62" s="161" t="s">
        <v>242</v>
      </c>
      <c r="B62" s="156"/>
      <c r="C62" s="156"/>
      <c r="D62" s="162" t="n">
        <f aca="false">IF(D61-D30&lt;0,0,D61-D30)</f>
        <v>8.26689999999996</v>
      </c>
      <c r="E62" s="162" t="n">
        <f aca="false">IF(E61-E30&lt;0,0,E61-E30)</f>
        <v>0.00300000000004275</v>
      </c>
      <c r="F62" s="162" t="n">
        <f aca="false">IF(F61-F30&lt;0,0,F61-F30)</f>
        <v>63.8645</v>
      </c>
      <c r="G62" s="162" t="n">
        <f aca="false">IF(G61-G30&lt;0,0,G61-G30)</f>
        <v>35.8635</v>
      </c>
      <c r="H62" s="162" t="n">
        <f aca="false">IF(H61-H30&lt;0,0,H61-H30)</f>
        <v>131.678</v>
      </c>
      <c r="I62" s="163" t="n">
        <f aca="false">IF(I61-I30&lt;0,0,I61-I30)</f>
        <v>141.873</v>
      </c>
    </row>
    <row r="63" customFormat="false" ht="15.75" hidden="false" customHeight="false" outlineLevel="0" collapsed="false">
      <c r="A63" s="164" t="s">
        <v>243</v>
      </c>
      <c r="B63" s="143"/>
      <c r="C63" s="165"/>
      <c r="D63" s="166" t="n">
        <f aca="false">IF(D30-D61&lt;0,0,D30-D61)</f>
        <v>0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244</v>
      </c>
      <c r="B64" s="169"/>
      <c r="C64" s="169"/>
      <c r="D64" s="170" t="n">
        <f aca="false">PGL_Supplies!V7/1000</f>
        <v>225.76</v>
      </c>
      <c r="E64" s="170" t="n">
        <f aca="false">PGL_Supplies!V8/1000</f>
        <v>220.76</v>
      </c>
      <c r="F64" s="170" t="n">
        <f aca="false">PGL_Supplies!V9/1000</f>
        <v>220.76</v>
      </c>
      <c r="G64" s="170" t="n">
        <f aca="false">PGL_Supplies!V10/1000</f>
        <v>220.76</v>
      </c>
      <c r="H64" s="170" t="n">
        <f aca="false">PGL_Supplies!V11/1000</f>
        <v>220.76</v>
      </c>
      <c r="I64" s="171" t="n">
        <f aca="false">PGL_Supplies!V12/1000</f>
        <v>220.76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2001-04-28T11:19:13Z</cp:lastPrinted>
  <cp:revision>0</cp:revision>
  <dc:subject/>
  <dc:title/>
</cp:coreProperties>
</file>