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3.wmf" ContentType="image/x-wmf"/>
  <Override PartName="/xl/media/image4.wmf" ContentType="image/x-wmf"/>
  <Override PartName="/xl/media/image9.wmf" ContentType="image/x-wmf"/>
  <Override PartName="/xl/media/image14.wmf" ContentType="image/x-wmf"/>
  <Override PartName="/xl/media/image5.wmf" ContentType="image/x-wmf"/>
  <Override PartName="/xl/media/image15.wmf" ContentType="image/x-wmf"/>
  <Override PartName="/xl/media/image6.wmf" ContentType="image/x-wmf"/>
  <Override PartName="/xl/media/image10.wmf" ContentType="image/x-wmf"/>
  <Override PartName="/xl/media/image1.wmf" ContentType="image/x-wmf"/>
  <Override PartName="/xl/media/image16.wmf" ContentType="image/x-wmf"/>
  <Override PartName="/xl/media/image7.wmf" ContentType="image/x-wmf"/>
  <Override PartName="/xl/media/image11.wmf" ContentType="image/x-wmf"/>
  <Override PartName="/xl/media/image2.wmf" ContentType="image/x-wmf"/>
  <Override PartName="/xl/media/image8.wmf" ContentType="image/x-wmf"/>
  <Override PartName="/xl/media/image12.wmf" ContentType="image/x-wmf"/>
  <Override PartName="/xl/media/image3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NSG_Supplies!$A$3:$S$12</definedName>
    <definedName function="false" hidden="false" localSheetId="4" name="_xlnm.Print_Area" vbProcedure="false">PGL_Requirements!$I$3:$AJ$12</definedName>
    <definedName function="false" hidden="false" localSheetId="5" name="_xlnm.Print_Area" vbProcedure="false">PGL_Supplies!$T$3:$AF$12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Imbalances" vbProcedure="false">Imbalances!$B$7:$S$7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Noms" vbProcedure="false">PGL_Requirements!$A$7:$Z$12</definedName>
    <definedName function="false" hidden="false" name="PGL_Nom_Input" vbProcedure="false">PGL_Requirements!$K$8:$AE$12</definedName>
    <definedName function="false" hidden="false" name="PGL_Sendouts" vbProcedure="false">PGL_Deliveries!$A$5:$S$10</definedName>
    <definedName function="false" hidden="false" name="PGL_Sendout_Input" vbProcedure="false">PGL_Deliveries!$C$6:$C$10</definedName>
    <definedName function="false" hidden="false" name="Print_Area_MI" vbProcedure="false">NSG_6_Day_Report!$A$1:$A$38</definedName>
    <definedName function="false" hidden="false" name="Six_day_NSG_PRANGE" vbProcedure="false">NSG_6_Day_Report!$A$1:$I$42</definedName>
    <definedName function="false" hidden="false" name="Six_Day_PGL_PRANGE" vbProcedure="false">PGL_6_Day_Report!$A$1:$I$64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PGL_Requirements!$I$3:$AJ$12</definedName>
    <definedName function="false" hidden="false" localSheetId="5" name="Z_66C35B70_1DF5_11D4_B46C_0004ACEC7D4A__wvu_PrintArea" vbProcedure="false">PGL_Supplies!$T$3:$AF$12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NSG_Supplies!$A$3:$S$12</definedName>
    <definedName function="false" hidden="false" localSheetId="9" name="Z_66C35B70_1DF5_11D4_B46C_0004ACEC7D4A__wvu_PrintArea" vbProcedure="false">NSG_6_Day_Report!$A$1:$I$35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<sst xmlns="http://schemas.openxmlformats.org/spreadsheetml/2006/main" count="2146" uniqueCount="799">
  <si>
    <t xml:space="preserve"> </t>
  </si>
  <si>
    <t xml:space="preserve">Click on any button to perform the appropriate action.</t>
  </si>
  <si>
    <t xml:space="preserve">  </t>
  </si>
  <si>
    <t xml:space="preserve">  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</si>
  <si>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</si>
  <si>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</si>
  <si>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</si>
  <si>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</si>
  <si>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</si>
  <si>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</si>
  <si>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</si>
  <si>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</si>
  <si>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</si>
  <si>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</si>
  <si>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</si>
  <si>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</si>
  <si>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</si>
  <si>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</si>
  <si>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</si>
  <si>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</si>
  <si>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</si>
  <si>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</si>
  <si>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</si>
  <si>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</si>
  <si>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</si>
  <si>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</si>
  <si>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</si>
  <si>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</si>
  <si>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</si>
  <si>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N/A</t>
  </si>
  <si>
    <t xml:space="preserve">MOSTLY SUNNY AND MILD.  LOWER TEMPS ALONG LAKE MICHIGAN WITH LAKE  </t>
  </si>
  <si>
    <t xml:space="preserve">BREEZES.</t>
  </si>
  <si>
    <t xml:space="preserve">RAIN</t>
  </si>
  <si>
    <t xml:space="preserve">BECOMING MOSTLY CLOUDY WITH CHANCE OF SHOWERS AFTER DARK.</t>
  </si>
  <si>
    <t xml:space="preserve">S</t>
  </si>
  <si>
    <t xml:space="preserve">TSTORM</t>
  </si>
  <si>
    <t xml:space="preserve">MOSTLY CLOUDY WITH A 50% CHANCE OF SHOWERS AND T-STORMS.</t>
  </si>
  <si>
    <t xml:space="preserve">PARTLY CLOUDY WITH A CHANCE OF SHOWERS AND T-STORMS. </t>
  </si>
  <si>
    <t xml:space="preserve">MOSTLY CLOUDY WITH A CHANCE OF SHOWERS AND T-STORMS.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</si>
  <si>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</si>
  <si>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</si>
  <si>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</si>
  <si>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</si>
  <si>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</si>
  <si>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</si>
  <si>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</si>
  <si>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</si>
  <si>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</si>
  <si>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</si>
  <si>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</si>
  <si>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</si>
  <si>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</si>
  <si>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</si>
  <si>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</si>
  <si>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</si>
  <si>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</si>
  <si>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</si>
  <si>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</si>
  <si>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</si>
  <si>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</si>
  <si>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</si>
  <si>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</si>
  <si>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</si>
  <si>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</si>
  <si>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</si>
  <si>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</si>
  <si>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</si>
  <si>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</si>
  <si>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</si>
  <si>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</si>
  <si>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</si>
  <si>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Sendout</t>
  </si>
  <si>
    <t xml:space="preserve">Street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</si>
  <si>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</si>
  <si>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</si>
  <si>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</si>
  <si>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</si>
  <si>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</si>
  <si>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</si>
  <si>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</si>
  <si>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</si>
  <si>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</si>
  <si>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</si>
  <si>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</si>
  <si>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</si>
  <si>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</si>
  <si>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</si>
  <si>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</si>
  <si>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</si>
  <si>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</si>
  <si>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</si>
  <si>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</si>
  <si>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</si>
  <si>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</si>
  <si>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</si>
  <si>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</si>
  <si>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</si>
  <si>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</si>
  <si>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</si>
  <si>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</si>
  <si>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</si>
  <si>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</si>
  <si>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</si>
  <si>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</si>
  <si>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</si>
  <si>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</si>
  <si>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</si>
  <si>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</si>
  <si>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</si>
  <si>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</si>
  <si>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</si>
  <si>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</si>
  <si>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</si>
  <si>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</si>
  <si>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</si>
  <si>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</si>
  <si>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</si>
  <si>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</si>
  <si>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</si>
  <si>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</si>
  <si>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</si>
  <si>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</si>
  <si>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</si>
  <si>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</si>
  <si>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</si>
  <si>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</si>
  <si>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</si>
  <si>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</si>
  <si>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</si>
  <si>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</si>
  <si>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</si>
  <si>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</si>
  <si>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</si>
  <si>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Gas Owed By PGL</t>
  </si>
  <si>
    <t xml:space="preserve">Off-System Sales</t>
  </si>
  <si>
    <t xml:space="preserve">PGL Displacements to NSG</t>
  </si>
  <si>
    <t xml:space="preserve">Elwood burn</t>
  </si>
  <si>
    <t xml:space="preserve">Oani</t>
  </si>
  <si>
    <t xml:space="preserve">Payback</t>
  </si>
  <si>
    <t xml:space="preserve">MGT</t>
  </si>
  <si>
    <t xml:space="preserve">NBDR</t>
  </si>
  <si>
    <t xml:space="preserve">LNG</t>
  </si>
  <si>
    <t xml:space="preserve">HUB</t>
  </si>
  <si>
    <t xml:space="preserve">Anr</t>
  </si>
  <si>
    <t xml:space="preserve">to</t>
  </si>
  <si>
    <t xml:space="preserve">Liquefaction</t>
  </si>
  <si>
    <t xml:space="preserve">TGC</t>
  </si>
  <si>
    <t xml:space="preserve">Linepack In</t>
  </si>
  <si>
    <t xml:space="preserve">Activities</t>
  </si>
  <si>
    <t xml:space="preserve">PGL to Alliance</t>
  </si>
  <si>
    <t xml:space="preserve">No-Notice</t>
  </si>
  <si>
    <t xml:space="preserve">Fuel</t>
  </si>
  <si>
    <t xml:space="preserve">Plant Use</t>
  </si>
  <si>
    <t xml:space="preserve">NSS</t>
  </si>
  <si>
    <t xml:space="preserve">NGPL-DSS</t>
  </si>
  <si>
    <t xml:space="preserve">            </t>
  </si>
  <si>
    <t xml:space="preserve">Gas Owed to PGL</t>
  </si>
  <si>
    <t xml:space="preserve">Other Supplies</t>
  </si>
  <si>
    <t xml:space="preserve">Storage Withdrawals</t>
  </si>
  <si>
    <t xml:space="preserve">System Supply</t>
  </si>
  <si>
    <t xml:space="preserve">Elwood nom</t>
  </si>
  <si>
    <t xml:space="preserve">Pegasys</t>
  </si>
  <si>
    <t xml:space="preserve">Forecasted</t>
  </si>
  <si>
    <t xml:space="preserve">TGC VIA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</si>
  <si>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</si>
  <si>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</si>
  <si>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</si>
  <si>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</si>
  <si>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</si>
  <si>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</si>
  <si>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</si>
  <si>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</si>
  <si>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</si>
  <si>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</si>
  <si>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</si>
  <si>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</si>
  <si>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</si>
  <si>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</si>
  <si>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</si>
  <si>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</si>
  <si>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</si>
  <si>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</si>
  <si>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</si>
  <si>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</si>
  <si>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</si>
  <si>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</si>
  <si>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</si>
  <si>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</si>
  <si>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</si>
  <si>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</si>
  <si>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</si>
  <si>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</si>
  <si>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</si>
  <si>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</si>
  <si>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</si>
  <si>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</si>
  <si>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</si>
  <si>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</si>
  <si>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</si>
  <si>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</si>
  <si>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</si>
  <si>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</si>
  <si>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</si>
  <si>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</si>
  <si>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</si>
  <si>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</si>
  <si>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</si>
  <si>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.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</si>
  <si>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</si>
  <si>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</si>
  <si>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</si>
  <si>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</si>
  <si>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</si>
  <si>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</si>
  <si>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</si>
  <si>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Hub Activities</t>
  </si>
  <si>
    <t xml:space="preserve">Off-System Sales:</t>
  </si>
  <si>
    <t xml:space="preserve">ANR:</t>
  </si>
  <si>
    <t xml:space="preserve">MGT:</t>
  </si>
  <si>
    <t xml:space="preserve">NGPL:</t>
  </si>
  <si>
    <t xml:space="preserve">Injection:</t>
  </si>
  <si>
    <t xml:space="preserve">PGL:</t>
  </si>
  <si>
    <t xml:space="preserve">LNG Liquefaction</t>
  </si>
  <si>
    <t xml:space="preserve">PGL Displacements to NSG:</t>
  </si>
  <si>
    <t xml:space="preserve">PGL(Manlove):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</si>
  <si>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</si>
  <si>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</si>
  <si>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</si>
  <si>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</si>
  <si>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</si>
  <si>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</si>
  <si>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NSG Displacement to PGL:</t>
  </si>
  <si>
    <t xml:space="preserve">NSG:</t>
  </si>
  <si>
    <t xml:space="preserve">to PGL (Manlove disp)</t>
  </si>
  <si>
    <t xml:space="preserve">Elwood / NICOR</t>
  </si>
  <si>
    <t xml:space="preserve">System Supply &amp; Transportation</t>
  </si>
  <si>
    <t xml:space="preserve">ALLI:</t>
  </si>
  <si>
    <t xml:space="preserve">TGC:</t>
  </si>
  <si>
    <t xml:space="preserve">RFG:</t>
  </si>
  <si>
    <t xml:space="preserve">PERC Peaking:</t>
  </si>
  <si>
    <t xml:space="preserve">Line Pack Out: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</si>
  <si>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</si>
  <si>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</si>
  <si>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</si>
  <si>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</si>
  <si>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</si>
  <si>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</si>
  <si>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</si>
  <si>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</si>
  <si>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</si>
  <si>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</si>
  <si>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</si>
  <si>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</si>
  <si>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</si>
  <si>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Somers Rd No-Notice</t>
  </si>
  <si>
    <t xml:space="preserve">LP</t>
  </si>
  <si>
    <t xml:space="preserve">PGL Displacement to NSG:</t>
  </si>
  <si>
    <t xml:space="preserve">Flowing Supply:</t>
  </si>
  <si>
    <t xml:space="preserve">System Supply @ E.J.</t>
  </si>
  <si>
    <t xml:space="preserve">System Supply @ NGPL</t>
  </si>
  <si>
    <t xml:space="preserve">System Supply @ Som.</t>
  </si>
  <si>
    <t xml:space="preserve">System Supply @ U.H.</t>
  </si>
  <si>
    <t xml:space="preserve">System Supply </t>
  </si>
  <si>
    <t xml:space="preserve">NSG Transportation (RIDER)</t>
  </si>
  <si>
    <t xml:space="preserve">Average Wind Speed MPH (From 4am WSC Weather)</t>
  </si>
  <si>
    <t xml:space="preserve">Gas Date:</t>
  </si>
  <si>
    <t xml:space="preserve">BTU</t>
  </si>
  <si>
    <t xml:space="preserve">Morning Avg.       </t>
  </si>
  <si>
    <t xml:space="preserve">Evening Avg.</t>
  </si>
  <si>
    <t xml:space="preserve">Nights Avg. </t>
  </si>
  <si>
    <t xml:space="preserve">                     FINAL</t>
  </si>
  <si>
    <t xml:space="preserve">        Temperatures</t>
  </si>
  <si>
    <t xml:space="preserve">High    </t>
  </si>
  <si>
    <t xml:space="preserve">Low:</t>
  </si>
  <si>
    <t xml:space="preserve">       Elwood Usage</t>
  </si>
  <si>
    <t xml:space="preserve">SENDOUT:</t>
  </si>
  <si>
    <t xml:space="preserve">Oakton NICOR</t>
  </si>
  <si>
    <t xml:space="preserve">131st &amp; Bell Rd.</t>
  </si>
  <si>
    <t xml:space="preserve">ANR total delivery</t>
  </si>
  <si>
    <t xml:space="preserve">Manlove Lng/Injection (-)</t>
  </si>
  <si>
    <t xml:space="preserve">Midwestern total delivery</t>
  </si>
  <si>
    <t xml:space="preserve">Northern Border total del.</t>
  </si>
  <si>
    <t xml:space="preserve">RFG/Dilution Gas</t>
  </si>
  <si>
    <t xml:space="preserve">Trunkline total delivery</t>
  </si>
  <si>
    <t xml:space="preserve">Linepack Out   (+)</t>
  </si>
  <si>
    <t xml:space="preserve">Linepack In      (-)</t>
  </si>
  <si>
    <t xml:space="preserve">Total Mahomet</t>
  </si>
  <si>
    <t xml:space="preserve">                  Minimum take :</t>
  </si>
  <si>
    <t xml:space="preserve">Crawford LPG</t>
  </si>
  <si>
    <t xml:space="preserve">Chicago District (NGPL)</t>
  </si>
  <si>
    <t xml:space="preserve">Elwood Tap</t>
  </si>
  <si>
    <t xml:space="preserve">Manlove Tap</t>
  </si>
  <si>
    <t xml:space="preserve">NGPL Takes</t>
  </si>
  <si>
    <t xml:space="preserve">NGPL / Manlove</t>
  </si>
  <si>
    <t xml:space="preserve">No-Notice In</t>
  </si>
  <si>
    <t xml:space="preserve">No-Notice Out</t>
  </si>
  <si>
    <t xml:space="preserve">NGPL FTS</t>
  </si>
  <si>
    <t xml:space="preserve">NGPL CHICAGO DISTRICT</t>
  </si>
  <si>
    <t xml:space="preserve">Payback PGL to Alliance</t>
  </si>
  <si>
    <t xml:space="preserve">112th Street</t>
  </si>
  <si>
    <t xml:space="preserve">Payback Alliance to PGL</t>
  </si>
  <si>
    <t xml:space="preserve">138th Street</t>
  </si>
  <si>
    <t xml:space="preserve">System Supply Alliance</t>
  </si>
  <si>
    <t xml:space="preserve">Republic (LTV) 2</t>
  </si>
  <si>
    <t xml:space="preserve">Nominated to Pipeline</t>
  </si>
  <si>
    <t xml:space="preserve">Calumet 2</t>
  </si>
  <si>
    <t xml:space="preserve">US Steel</t>
  </si>
  <si>
    <t xml:space="preserve">US/ACME</t>
  </si>
  <si>
    <t xml:space="preserve">ANR No-Notice Injection</t>
  </si>
  <si>
    <t xml:space="preserve">Acme Steel</t>
  </si>
  <si>
    <t xml:space="preserve">ANR No-Notice Withdraw</t>
  </si>
  <si>
    <t xml:space="preserve">LTV Steel</t>
  </si>
  <si>
    <t xml:space="preserve">Payback PGL to ANR</t>
  </si>
  <si>
    <t xml:space="preserve">Nonmetered</t>
  </si>
  <si>
    <t xml:space="preserve">Payback ANR to PGL</t>
  </si>
  <si>
    <t xml:space="preserve">126th &amp; Saginaw ( Ford)</t>
  </si>
  <si>
    <t xml:space="preserve">System Supply ANR</t>
  </si>
  <si>
    <t xml:space="preserve">Calumet Edison</t>
  </si>
  <si>
    <t xml:space="preserve">Calumet 3</t>
  </si>
  <si>
    <t xml:space="preserve">Crawford NGPL</t>
  </si>
  <si>
    <t xml:space="preserve">System Supply NSG &amp; PGL</t>
  </si>
  <si>
    <t xml:space="preserve">TGL-30 @ Midwestern</t>
  </si>
  <si>
    <t xml:space="preserve">Ohare 1</t>
  </si>
  <si>
    <t xml:space="preserve">Payback PGL to Midw.</t>
  </si>
  <si>
    <t xml:space="preserve">Ohare 2 </t>
  </si>
  <si>
    <t xml:space="preserve">Payback Midw. to PGL</t>
  </si>
  <si>
    <t xml:space="preserve">NGPL TOTALS</t>
  </si>
  <si>
    <t xml:space="preserve">                                 </t>
  </si>
  <si>
    <t xml:space="preserve">Union ( Citgo) RFG</t>
  </si>
  <si>
    <t xml:space="preserve">Withdrawal</t>
  </si>
  <si>
    <t xml:space="preserve">Mobil RFG</t>
  </si>
  <si>
    <t xml:space="preserve">LNG In </t>
  </si>
  <si>
    <t xml:space="preserve">Deliveries to Pipeline</t>
  </si>
  <si>
    <t xml:space="preserve">LNG Out</t>
  </si>
  <si>
    <t xml:space="preserve">131st &amp; Bell Road</t>
  </si>
  <si>
    <t xml:space="preserve">Plant &amp; Field Gas Use</t>
  </si>
  <si>
    <t xml:space="preserve">PERK Peaking</t>
  </si>
  <si>
    <t xml:space="preserve">Manlove Compressor Fuel</t>
  </si>
  <si>
    <t xml:space="preserve">Northern Border</t>
  </si>
  <si>
    <t xml:space="preserve">Payback PGL- NBDR</t>
  </si>
  <si>
    <t xml:space="preserve">NGPL 10"</t>
  </si>
  <si>
    <t xml:space="preserve">Payback NBDR - PGL</t>
  </si>
  <si>
    <t xml:space="preserve">NGPL 16"</t>
  </si>
  <si>
    <t xml:space="preserve">Elwood/NICOR Nom</t>
  </si>
  <si>
    <t xml:space="preserve">QNT</t>
  </si>
  <si>
    <t xml:space="preserve">Elwood Gas Usage</t>
  </si>
  <si>
    <t xml:space="preserve">Payback PGL to TRNK</t>
  </si>
  <si>
    <t xml:space="preserve">TOTAL Northern Border</t>
  </si>
  <si>
    <t xml:space="preserve">Payback TRNK to PGL</t>
  </si>
  <si>
    <t xml:space="preserve">Deliveries to Manhattan North</t>
  </si>
  <si>
    <t xml:space="preserve">Deliveries to Manhattan South</t>
  </si>
  <si>
    <t xml:space="preserve">Deliveries to Manlove</t>
  </si>
  <si>
    <t xml:space="preserve">Deliveries to Sharp Rd.</t>
  </si>
  <si>
    <t xml:space="preserve">Calumet Edison       (NGPL)</t>
  </si>
  <si>
    <t xml:space="preserve">Del to Elwood NICOR 100%</t>
  </si>
  <si>
    <t xml:space="preserve">Crawford Edison     (Daniel)</t>
  </si>
  <si>
    <t xml:space="preserve">N. Border Deliveries to PGL</t>
  </si>
  <si>
    <t xml:space="preserve">Fisk Edison             (Daniel)</t>
  </si>
  <si>
    <t xml:space="preserve">73rd &amp; Crawford </t>
  </si>
  <si>
    <t xml:space="preserve">Edison Misson Total</t>
  </si>
  <si>
    <t xml:space="preserve">73rd Totals</t>
  </si>
  <si>
    <t xml:space="preserve">Elwood 100% (NBDR)</t>
  </si>
  <si>
    <t xml:space="preserve">Crawford Mahomet</t>
  </si>
  <si>
    <t xml:space="preserve">Lincoln Energy     (SCADA)</t>
  </si>
  <si>
    <t xml:space="preserve">Unicom                  (SCADA)</t>
  </si>
  <si>
    <t xml:space="preserve">Ave. Temp.</t>
  </si>
  <si>
    <t xml:space="preserve">Ave. Wind</t>
  </si>
  <si>
    <t xml:space="preserve">Morning Avg.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</si>
  <si>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</si>
  <si>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</si>
  <si>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</si>
  <si>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</si>
  <si>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</si>
  <si>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</si>
  <si>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</si>
  <si>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</si>
  <si>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Off System Sales</t>
  </si>
  <si>
    <t xml:space="preserve">BESS Injection</t>
  </si>
  <si>
    <t xml:space="preserve">BESS Withdrawal</t>
  </si>
  <si>
    <t xml:space="preserve">NGPL Displacement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</si>
  <si>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</si>
  <si>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</si>
  <si>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</si>
  <si>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</si>
  <si>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</si>
  <si>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</si>
  <si>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</si>
  <si>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</si>
  <si>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</si>
  <si>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</si>
  <si>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</si>
  <si>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</si>
  <si>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</si>
  <si>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</si>
  <si>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</si>
  <si>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</si>
  <si>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</si>
  <si>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</si>
  <si>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</si>
  <si>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</si>
  <si>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</si>
  <si>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</si>
  <si>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</si>
  <si>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</si>
  <si>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</si>
  <si>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</si>
  <si>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</si>
  <si>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</si>
  <si>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</si>
  <si>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</si>
  <si>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</si>
  <si>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</si>
  <si>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</si>
  <si>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</si>
  <si>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</si>
  <si>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</si>
  <si>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</si>
  <si>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</si>
  <si>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</si>
  <si>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</si>
  <si>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</si>
  <si>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</si>
  <si>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</si>
  <si>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</si>
  <si>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</si>
  <si>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</si>
  <si>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</si>
  <si>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</si>
  <si>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</si>
  <si>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</si>
  <si>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</si>
  <si>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</si>
  <si>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</si>
  <si>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</si>
  <si>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</si>
  <si>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</si>
  <si>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</si>
  <si>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</si>
  <si>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</si>
  <si>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</si>
  <si>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</si>
  <si>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</si>
  <si>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</si>
  <si>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</si>
  <si>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</si>
  <si>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</si>
  <si>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</si>
  <si>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</si>
  <si>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</si>
  <si>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</si>
  <si>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</si>
  <si>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</si>
  <si>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</si>
  <si>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</si>
  <si>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</si>
  <si>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</si>
  <si>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</si>
  <si>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</si>
  <si>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</si>
  <si>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</si>
  <si>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</si>
  <si>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</si>
  <si>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</si>
  <si>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</si>
  <si>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</si>
  <si>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</si>
  <si>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</si>
  <si>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</si>
  <si>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</si>
  <si>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</si>
  <si>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</si>
  <si>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</si>
  <si>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</si>
  <si>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</si>
  <si>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</si>
  <si>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</si>
  <si>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</si>
  <si>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</si>
  <si>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</si>
  <si>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</si>
  <si>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</si>
  <si>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</si>
  <si>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</si>
  <si>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</si>
  <si>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</si>
  <si>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</si>
  <si>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</si>
  <si>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</si>
  <si>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</si>
  <si>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</si>
  <si>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</si>
  <si>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</si>
  <si>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</si>
  <si>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</si>
  <si>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</si>
  <si>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</si>
  <si>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</si>
  <si>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</si>
  <si>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</si>
  <si>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</si>
  <si>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</si>
  <si>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</si>
  <si>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</si>
  <si>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</si>
  <si>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</si>
  <si>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</si>
  <si>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System Supply NSG</t>
  </si>
  <si>
    <t xml:space="preserve">System Supply PGL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</si>
  <si>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</si>
  <si>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</si>
  <si>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</si>
  <si>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</si>
  <si>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</si>
  <si>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</si>
  <si>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</si>
  <si>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</si>
  <si>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MIDCON GAS SERVICES CORP.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</si>
  <si>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</si>
  <si>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</si>
  <si>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</si>
  <si>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</si>
  <si>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</si>
  <si>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</si>
  <si>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</si>
  <si>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</si>
  <si>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</si>
  <si>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</si>
  <si>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</si>
  <si>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</si>
  <si>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NOMINATION FORM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</si>
  <si>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</si>
  <si>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</si>
  <si>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</si>
  <si>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THE PEOPLES GAS LIGHT AND COKE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</si>
  <si>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</si>
  <si>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</si>
  <si>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</si>
  <si>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</si>
  <si>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</si>
  <si>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</si>
  <si>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</si>
  <si>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</si>
  <si>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</si>
  <si>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</si>
  <si>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</si>
  <si>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</si>
  <si>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</si>
  <si>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</si>
  <si>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</si>
  <si>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</si>
  <si>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</si>
  <si>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DOES NOT INCLUDE A 35,000 BASELOAD NOMINATION TO PGL</t>
  </si>
  <si>
    <t xml:space="preserve">AT NSG THAT MIDCON IS DELIVERING ON A SECONDARY FIRM BASIS</t>
  </si>
  <si>
    <t xml:space="preserve">1) Contact names:  Tommy Crowder @ (713) 963-3124 or Lynn Kimball @ (713) 963-3027.)</t>
  </si>
  <si>
    <t xml:space="preserve">2) Please fax all nominations forms to the attention of the above listed indivduals.</t>
  </si>
  <si>
    <t xml:space="preserve">3) All Terms and Conditions are per the above refernced Agreement.</t>
  </si>
  <si>
    <t xml:space="preserve">Nominations for:  NORTH SHORE GAS COMPANY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</si>
  <si>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</si>
  <si>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</si>
  <si>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      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</si>
  <si>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</si>
  <si>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</si>
  <si>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</si>
  <si>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</si>
  <si>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</si>
  <si>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</si>
  <si>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</si>
  <si>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</si>
  <si>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</si>
  <si>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</si>
  <si>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</si>
  <si>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</si>
  <si>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</si>
  <si>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</si>
  <si>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</si>
  <si>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</si>
  <si>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</si>
  <si>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</si>
  <si>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</si>
  <si>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</si>
  <si>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</si>
  <si>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</si>
  <si>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</si>
  <si>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</si>
  <si>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</si>
  <si>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</si>
  <si>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</si>
  <si>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</si>
  <si>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</si>
  <si>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</si>
  <si>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</si>
  <si>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</si>
  <si>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</si>
  <si>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</si>
  <si>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</si>
  <si>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</si>
  <si>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</si>
  <si>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OAKTON 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</si>
  <si>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</si>
  <si>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</si>
  <si>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</si>
  <si>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</si>
  <si>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</si>
  <si>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</si>
  <si>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</si>
  <si>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</si>
  <si>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</si>
  <si>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No - Notice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</si>
  <si>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</si>
  <si>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</si>
  <si>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</si>
  <si>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</si>
  <si>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</si>
  <si>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</si>
  <si>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</si>
  <si>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</si>
  <si>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</si>
  <si>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</si>
  <si>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</si>
  <si>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</si>
  <si>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</si>
  <si>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</si>
  <si>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</si>
  <si>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</si>
  <si>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</si>
  <si>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</si>
  <si>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</si>
  <si>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</si>
  <si>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ANR N0-Notice</t>
  </si>
  <si>
    <t xml:space="preserve">Deliveries @ Elwood Energy</t>
  </si>
  <si>
    <t xml:space="preserve">Deliveries @ Lincoln Energy</t>
  </si>
  <si>
    <t xml:space="preserve">Payback ANR-PGL</t>
  </si>
  <si>
    <t xml:space="preserve">Oakton to NICOR</t>
  </si>
  <si>
    <t xml:space="preserve">Payback PGL-ANR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</si>
  <si>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</si>
  <si>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</si>
  <si>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</si>
  <si>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</si>
  <si>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</si>
  <si>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</si>
  <si>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</si>
  <si>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</si>
  <si>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</si>
  <si>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</si>
  <si>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</si>
  <si>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</si>
  <si>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</si>
  <si>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</si>
  <si>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</si>
  <si>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</si>
  <si>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</si>
  <si>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</si>
  <si>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</si>
  <si>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</si>
  <si>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</si>
  <si>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</si>
  <si>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</si>
  <si>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</si>
  <si>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</si>
  <si>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</si>
  <si>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</si>
  <si>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</si>
  <si>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</si>
  <si>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</si>
  <si>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</si>
  <si>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</si>
  <si>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</si>
  <si>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</si>
  <si>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</si>
  <si>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</si>
  <si>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</si>
  <si>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</si>
  <si>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</si>
  <si>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</si>
  <si>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</si>
  <si>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</si>
  <si>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</si>
  <si>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</si>
  <si>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</si>
  <si>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</si>
  <si>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</si>
  <si>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</si>
  <si>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</si>
  <si>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</si>
  <si>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</si>
  <si>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</si>
  <si>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</si>
  <si>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</si>
  <si>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</si>
  <si>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</si>
  <si>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</si>
  <si>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</si>
  <si>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</si>
  <si>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</si>
  <si>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</si>
  <si>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112 TH &amp; 138 TH STREET</t>
  </si>
  <si>
    <t xml:space="preserve">REPUBLIC (LTV)2</t>
  </si>
  <si>
    <t xml:space="preserve">MAHOMET TOTALS</t>
  </si>
  <si>
    <t xml:space="preserve">US STEEL &amp; ACME STEEL</t>
  </si>
  <si>
    <t xml:space="preserve">126th &amp; SAGINAW (FORD)</t>
  </si>
  <si>
    <t xml:space="preserve">131 ST &amp; BELL RD.  (PERC)</t>
  </si>
  <si>
    <t xml:space="preserve">NORTHERN BORDER</t>
  </si>
  <si>
    <t xml:space="preserve">LINEPACK IN 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</si>
  <si>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</si>
  <si>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</si>
  <si>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</si>
  <si>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</si>
  <si>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</si>
  <si>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</si>
  <si>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DSS (INJ)</t>
  </si>
  <si>
    <t xml:space="preserve">ANR NO-NOTICE (W/D)</t>
  </si>
  <si>
    <t xml:space="preserve">NSS (INJ)</t>
  </si>
  <si>
    <t xml:space="preserve">BESS (INJ)</t>
  </si>
  <si>
    <t xml:space="preserve">MW SYSTEM SUPPLY</t>
  </si>
  <si>
    <t xml:space="preserve">TGL-30 @ MIDWESTERN</t>
  </si>
  <si>
    <t xml:space="preserve">MW DISPLACEMENT</t>
  </si>
  <si>
    <t xml:space="preserve">MW Off-System Sales</t>
  </si>
  <si>
    <t xml:space="preserve">TL SYSTEM SUPPLY</t>
  </si>
  <si>
    <t xml:space="preserve">ANR DISPLACEMENT</t>
  </si>
  <si>
    <t xml:space="preserve">TEJAS/QNT</t>
  </si>
  <si>
    <t xml:space="preserve">NO-NOTICE  (INJ)</t>
  </si>
  <si>
    <t xml:space="preserve">TGL via PANHANDLE (INJ)</t>
  </si>
  <si>
    <t xml:space="preserve">NO-NOTICE  (W/D)</t>
  </si>
  <si>
    <t xml:space="preserve">TGL via PANHANDLE (WD)</t>
  </si>
  <si>
    <t xml:space="preserve">*NGPL / Manlove</t>
  </si>
  <si>
    <t xml:space="preserve">TOTAL DELIVERIES</t>
  </si>
  <si>
    <t xml:space="preserve">DELIVERY TO LNG</t>
  </si>
  <si>
    <t xml:space="preserve">BESS (W/D)</t>
  </si>
  <si>
    <t xml:space="preserve">DELIVERY TO INJ.</t>
  </si>
  <si>
    <t xml:space="preserve">DSS (W/D)</t>
  </si>
  <si>
    <t xml:space="preserve">MANLOVE INJ. TOTAL</t>
  </si>
  <si>
    <t xml:space="preserve">NSS (W/D)</t>
  </si>
  <si>
    <t xml:space="preserve">MANLOVE WITHDRAWAL</t>
  </si>
  <si>
    <t xml:space="preserve">LNG (IN)</t>
  </si>
  <si>
    <t xml:space="preserve">Northern Border Off-System Sales</t>
  </si>
  <si>
    <t xml:space="preserve">NGPL 1O"</t>
  </si>
  <si>
    <t xml:space="preserve">INJ. FUEL</t>
  </si>
  <si>
    <t xml:space="preserve">Plant &amp; Field Use</t>
  </si>
  <si>
    <t xml:space="preserve">HIGH TEMPERATURE</t>
  </si>
  <si>
    <t xml:space="preserve">NSG-PGL Displacement</t>
  </si>
  <si>
    <t xml:space="preserve">LOW TEMPERATURE</t>
  </si>
  <si>
    <t xml:space="preserve">AVERAGE TEMPERATURE</t>
  </si>
  <si>
    <t xml:space="preserve">AVERAGE WIND</t>
  </si>
  <si>
    <t xml:space="preserve">AVERAGE BTU </t>
  </si>
  <si>
    <t xml:space="preserve">UNION (CITGO) RFG</t>
  </si>
  <si>
    <t xml:space="preserve">* Transportation Gas - Estimated Nominations</t>
  </si>
  <si>
    <t xml:space="preserve">MOBIL RFG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</si>
  <si>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</si>
  <si>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</si>
  <si>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</si>
  <si>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</si>
  <si>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</si>
  <si>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</si>
  <si>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</si>
  <si>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</si>
  <si>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</si>
  <si>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</si>
  <si>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</si>
  <si>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</si>
  <si>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</si>
  <si>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</si>
  <si>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</si>
  <si>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</si>
  <si>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</si>
  <si>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</si>
  <si>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</si>
  <si>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</si>
  <si>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</si>
  <si>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PGL TO NSG  PGL-NGPL</t>
  </si>
  <si>
    <t xml:space="preserve">NSG-PGL ANR-ANR DISP.</t>
  </si>
  <si>
    <t xml:space="preserve">PGL TO NSG  NGPL-ANR</t>
  </si>
  <si>
    <t xml:space="preserve">ANR-50 INJECTION</t>
  </si>
  <si>
    <t xml:space="preserve">PGL TO NSG  NGPL-MGT</t>
  </si>
  <si>
    <t xml:space="preserve">ANR-50 W\DRAWAL @ BUSSE  RD.</t>
  </si>
  <si>
    <t xml:space="preserve">OFF-SYSTEM SALES</t>
  </si>
  <si>
    <t xml:space="preserve">ANR-50 W\DRAWAL @ E. JOLIET</t>
  </si>
  <si>
    <t xml:space="preserve">BESS INJECTION</t>
  </si>
  <si>
    <t xml:space="preserve">ANR-50 PGL W/D @ BUSSE RD.</t>
  </si>
  <si>
    <t xml:space="preserve">BESS WITHDRAWAL</t>
  </si>
  <si>
    <t xml:space="preserve">ANR SYSTEM SUPPLY @ E. JOLIET</t>
  </si>
  <si>
    <t xml:space="preserve">NSS INJECTION</t>
  </si>
  <si>
    <t xml:space="preserve">PGL-NSG ANR-ANR DISPLACEMENT</t>
  </si>
  <si>
    <t xml:space="preserve">NSS WITHDRAWAL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</si>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</sst>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0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0.00"/>
    <numFmt numFmtId="173" formatCode="mm/dd/yy"/>
    <numFmt numFmtId="174" formatCode="0.000"/>
    <numFmt numFmtId="175" formatCode="0.0_)"/>
    <numFmt numFmtId="176" formatCode="#,##0.0_);\(#,##0.0\)"/>
    <numFmt numFmtId="177" formatCode="0.000_)"/>
    <numFmt numFmtId="178" formatCode="hh:mm:ss\ AM/PM_)"/>
    <numFmt numFmtId="179" formatCode="#,##0"/>
    <numFmt numFmtId="180" formatCode="#,##0.0"/>
    <numFmt numFmtId="181" formatCode="[$-409]#,##0.00_);[RED]\(#,##0.00\)"/>
    <numFmt numFmtId="182" formatCode="0.000;[RED]0.000"/>
    <numFmt numFmtId="183" formatCode="[$-409]h:mm\ AM/PM"/>
  </numFmts>
  <fonts count="68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sz val="12"/>
      <name val=" "/>
      <family val="0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12"/>
      <name val=" "/>
      <family val="0"/>
    </font>
    <font>
      <sz val="8"/>
      <name val=" "/>
      <family val="0"/>
    </font>
    <font>
      <sz val="9"/>
      <name val=" "/>
      <family val="0"/>
    </font>
    <font>
      <b val="true"/>
      <i val="true"/>
      <sz val="9"/>
      <name val=" "/>
      <family val="0"/>
    </font>
    <font>
      <b val="true"/>
      <sz val="9"/>
      <name val=" "/>
      <family val="0"/>
    </font>
    <font>
      <b val="true"/>
      <sz val="12"/>
      <name val="Arial"/>
      <family val="2"/>
    </font>
    <font>
      <sz val="10"/>
      <name val=" "/>
      <family val="0"/>
    </font>
    <font>
      <b val="true"/>
      <sz val="12"/>
      <name val="Arial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b val="true"/>
      <sz val="10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2"/>
      <name val="Arial"/>
      <family val="2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62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/>
      <right/>
      <top style="thick"/>
      <bottom style="thin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ck"/>
      <top/>
      <bottom style="thin"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ck"/>
      <right style="thin"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/>
      <right style="thick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thin"/>
      <top style="medium"/>
      <bottom style="thick"/>
      <diagonal/>
    </border>
    <border diagonalUp="false" diagonalDown="false">
      <left style="thin"/>
      <right style="thick"/>
      <top style="medium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12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4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8" fillId="3" borderId="5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5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5" fillId="4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4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6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5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5" fillId="0" borderId="1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32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8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9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0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4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3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4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3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7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9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3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9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4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10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0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1" fillId="0" borderId="8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7" fillId="3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1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4" borderId="5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0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7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4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42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9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2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8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8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3" borderId="7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12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5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25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4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2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5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4" borderId="8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8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5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0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6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2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5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8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79" fontId="5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0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1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137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3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3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3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56" fillId="0" borderId="6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56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1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3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6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33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59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36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3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2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6" fillId="7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5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36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6" fillId="7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9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9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5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5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2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3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3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4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6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3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1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5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1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3.wmf"/><Relationship Id="rId27" Type="http://schemas.openxmlformats.org/officeDocument/2006/relationships/image" Target="../media/image14.wmf"/><Relationship Id="rId28" Type="http://schemas.openxmlformats.org/officeDocument/2006/relationships/image" Target="../media/image15.wmf"/><Relationship Id="rId29" Type="http://schemas.openxmlformats.org/officeDocument/2006/relationships/image" Target="../media/image16.wmf"/><Relationship Id="rId30" Type="http://schemas.openxmlformats.org/officeDocument/2006/relationships/image" Target="../media/image14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75960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75960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28440</xdr:rowOff></xdr:from><xdr:to><xdr:col>6</xdr:col><xdr:colOff>536760</xdr:colOff><xdr:row>21</xdr:row><xdr:rowOff>105120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28440</xdr:rowOff></xdr:from><xdr:to><xdr:col>4</xdr:col><xdr:colOff>535320</xdr:colOff><xdr:row>21</xdr:row><xdr:rowOff>105120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180720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4</xdr:col>
      <xdr:colOff>122040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132840</xdr:rowOff>
    </xdr:from>
    <xdr:to>
      <xdr:col>5</xdr:col>
      <xdr:colOff>2520</xdr:colOff>
      <xdr:row>19</xdr:row>
      <xdr:rowOff>219240</xdr:rowOff>
    </xdr:to>
    <xdr:sp>
      <xdr:nvSpPr>
        <xdr:cNvPr id="61" name="Line 117"/>
        <xdr:cNvSpPr/>
      </xdr:nvSpPr>
      <xdr:spPr>
        <a:xfrm flipH="1" flipV="1">
          <a:off x="2950200" y="445140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337680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37440</xdr:colOff>
      <xdr:row>10</xdr:row>
      <xdr:rowOff>9360</xdr:rowOff>
    </xdr:from>
    <xdr:to>
      <xdr:col>3</xdr:col>
      <xdr:colOff>28800</xdr:colOff>
      <xdr:row>10</xdr:row>
      <xdr:rowOff>9360</xdr:rowOff>
    </xdr:to>
    <xdr:sp>
      <xdr:nvSpPr>
        <xdr:cNvPr id="112" name="Line 242"/>
        <xdr:cNvSpPr/>
      </xdr:nvSpPr>
      <xdr:spPr>
        <a:xfrm>
          <a:off x="768240" y="217656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554040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205920</xdr:colOff>
      <xdr:row>17</xdr:row>
      <xdr:rowOff>182520</xdr:rowOff>
    </xdr:from>
    <xdr:to>
      <xdr:col>5</xdr:col>
      <xdr:colOff>178560</xdr:colOff>
      <xdr:row>17</xdr:row>
      <xdr:rowOff>187920</xdr:rowOff>
    </xdr:to>
    <xdr:sp>
      <xdr:nvSpPr>
        <xdr:cNvPr id="130" name="Line 342"/>
        <xdr:cNvSpPr/>
      </xdr:nvSpPr>
      <xdr:spPr>
        <a:xfrm>
          <a:off x="2783520" y="4310640"/>
          <a:ext cx="347040" cy="5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731160</xdr:colOff>
      <xdr:row>9</xdr:row>
      <xdr:rowOff>85680</xdr:rowOff>
    </xdr:from>
    <xdr:to>
      <xdr:col>8</xdr:col>
      <xdr:colOff>722880</xdr:colOff>
      <xdr:row>10</xdr:row>
      <xdr:rowOff>104760</xdr:rowOff>
    </xdr:to>
    <xdr:sp>
      <xdr:nvSpPr>
        <xdr:cNvPr id="146" name="Line 401"/>
        <xdr:cNvSpPr/>
      </xdr:nvSpPr>
      <xdr:spPr>
        <a:xfrm flipV="1">
          <a:off x="4882680" y="2024280"/>
          <a:ext cx="74160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 t="s">
        <v>0</v>
      </c>
      <c r="B1" s="2"/>
    </row>
    <row r="2" customFormat="false" ht="15" hidden="false" customHeight="false" outlineLevel="0" collapsed="false">
      <c r="A2" s="1" t="s">
        <v>0</v>
      </c>
      <c r="B2" s="0" t="s">
        <v>0</v>
      </c>
    </row>
    <row r="3" customFormat="false" ht="15.75" hidden="false" customHeight="false" outlineLevel="0" collapsed="false">
      <c r="A3" s="3"/>
      <c r="B3" s="0" t="s">
        <v>0</v>
      </c>
      <c r="C3" s="4" t="s">
        <v>1</v>
      </c>
      <c r="D3" s="4"/>
      <c r="E3" s="4"/>
      <c r="F3" s="4"/>
      <c r="G3" s="4"/>
      <c r="H3" s="4"/>
      <c r="I3" s="0" t="s">
        <v>0</v>
      </c>
      <c r="K3" s="0" t="s">
        <v>0</v>
      </c>
    </row>
    <row r="4" customFormat="false" ht="15.75" hidden="false" customHeight="false" outlineLevel="0" collapsed="false">
      <c r="A4" s="5"/>
      <c r="B4" s="2" t="s">
        <v>2</v>
      </c>
      <c r="H4" s="0" t="s">
        <v>0</v>
      </c>
      <c r="I4" s="0" t="s">
        <v>0</v>
      </c>
      <c r="J4" s="0" t="s">
        <v>0</v>
      </c>
      <c r="CJ4" s="6" t="s">
        <v>0</v>
      </c>
    </row>
    <row r="5" customFormat="false" ht="15" hidden="false" customHeight="false" outlineLevel="0" collapsed="false">
      <c r="A5" s="0" t="s">
        <v>3</v>
      </c>
      <c r="B5" s="7" t="s">
        <v>0</v>
      </c>
      <c r="C5" s="0" t="s">
        <v>0</v>
      </c>
      <c r="I5" s="0" t="s">
        <v>0</v>
      </c>
      <c r="J5" s="0" t="s">
        <v>0</v>
      </c>
      <c r="K5" s="0" t="s">
        <v>0</v>
      </c>
    </row>
    <row r="6" customFormat="false" ht="15" hidden="false" customHeight="false" outlineLevel="0" collapsed="false">
      <c r="A6" s="0" t="s">
        <v>0</v>
      </c>
      <c r="C6" s="0" t="s">
        <v>2</v>
      </c>
      <c r="H6" s="0" t="s">
        <v>0</v>
      </c>
      <c r="J6" s="0" t="s">
        <v>2</v>
      </c>
      <c r="K6" s="0" t="s">
        <v>4</v>
      </c>
    </row>
    <row r="7" customFormat="false" ht="15" hidden="false" customHeight="false" outlineLevel="0" collapsed="false">
      <c r="A7" s="0" t="s">
        <v>0</v>
      </c>
      <c r="B7" s="0" t="s">
        <v>0</v>
      </c>
      <c r="H7" s="0" t="s">
        <v>2</v>
      </c>
      <c r="I7" s="0" t="s">
        <v>0</v>
      </c>
      <c r="J7" s="0" t="s">
        <v>0</v>
      </c>
      <c r="K7" s="0" t="s">
        <v>0</v>
      </c>
    </row>
    <row r="8" customFormat="false" ht="15" hidden="false" customHeight="false" outlineLevel="0" collapsed="false">
      <c r="A8" s="0" t="s">
        <v>0</v>
      </c>
      <c r="B8" s="0" t="s">
        <v>0</v>
      </c>
      <c r="C8" s="0" t="s">
        <v>0</v>
      </c>
      <c r="H8" s="0" t="s">
        <v>0</v>
      </c>
      <c r="I8" s="0" t="s">
        <v>0</v>
      </c>
      <c r="J8" s="0" t="s">
        <v>0</v>
      </c>
      <c r="K8" s="7"/>
      <c r="L8" s="0" t="s">
        <v>0</v>
      </c>
      <c r="M8" s="0" t="s">
        <v>0</v>
      </c>
    </row>
    <row r="9" customFormat="false" ht="15" hidden="false" customHeight="false" outlineLevel="0" collapsed="false">
      <c r="A9" s="0" t="s">
        <v>0</v>
      </c>
      <c r="B9" s="0" t="s">
        <v>0</v>
      </c>
      <c r="H9" s="0" t="s">
        <v>0</v>
      </c>
      <c r="I9" s="0" t="s">
        <v>0</v>
      </c>
      <c r="J9" s="0" t="s">
        <v>2</v>
      </c>
      <c r="K9" s="0" t="s">
        <v>0</v>
      </c>
      <c r="L9" s="0" t="s">
        <v>0</v>
      </c>
      <c r="M9" s="0" t="s">
        <v>0</v>
      </c>
    </row>
    <row r="10" customFormat="false" ht="15" hidden="false" customHeight="false" outlineLevel="0" collapsed="false">
      <c r="A10" s="0" t="s">
        <v>0</v>
      </c>
      <c r="B10" s="0" t="s">
        <v>0</v>
      </c>
      <c r="C10" s="0" t="s">
        <v>0</v>
      </c>
      <c r="D10" s="0" t="s">
        <v>2</v>
      </c>
      <c r="I10" s="0" t="s">
        <v>0</v>
      </c>
      <c r="J10" s="0" t="s">
        <v>2</v>
      </c>
      <c r="K10" s="0" t="s">
        <v>0</v>
      </c>
      <c r="L10" s="0" t="s">
        <v>5</v>
      </c>
    </row>
    <row r="11" customFormat="false" ht="15" hidden="false" customHeight="false" outlineLevel="0" collapsed="false">
      <c r="A11" s="0" t="s">
        <v>0</v>
      </c>
      <c r="B11" s="2" t="s">
        <v>0</v>
      </c>
      <c r="C11" s="8"/>
      <c r="H11" s="0" t="s">
        <v>0</v>
      </c>
      <c r="I11" s="0" t="s">
        <v>0</v>
      </c>
      <c r="J11" s="0" t="s">
        <v>0</v>
      </c>
      <c r="K11" s="0" t="s">
        <v>0</v>
      </c>
      <c r="L11" s="0" t="s">
        <v>0</v>
      </c>
    </row>
    <row r="12" customFormat="false" ht="15" hidden="false" customHeight="false" outlineLevel="0" collapsed="false">
      <c r="A12" s="0" t="s">
        <v>0</v>
      </c>
      <c r="B12" s="0" t="s">
        <v>0</v>
      </c>
      <c r="I12" s="0" t="s">
        <v>0</v>
      </c>
      <c r="J12" s="0" t="s">
        <v>0</v>
      </c>
      <c r="K12" s="0" t="s">
        <v>0</v>
      </c>
      <c r="L12" s="0" t="s">
        <v>0</v>
      </c>
    </row>
    <row r="13" customFormat="false" ht="15" hidden="false" customHeight="false" outlineLevel="0" collapsed="false">
      <c r="A13" s="0" t="s">
        <v>0</v>
      </c>
      <c r="B13" s="9" t="s">
        <v>0</v>
      </c>
      <c r="H13" s="0" t="s">
        <v>0</v>
      </c>
      <c r="I13" s="0" t="s">
        <v>0</v>
      </c>
      <c r="J13" s="0" t="s">
        <v>0</v>
      </c>
      <c r="K13" s="0" t="s">
        <v>0</v>
      </c>
      <c r="L13" s="0" t="s">
        <v>5</v>
      </c>
    </row>
    <row r="14" customFormat="false" ht="15" hidden="false" customHeight="false" outlineLevel="0" collapsed="false">
      <c r="A14" s="0" t="s">
        <v>0</v>
      </c>
      <c r="B14" s="0" t="s">
        <v>0</v>
      </c>
      <c r="H14" s="0" t="s">
        <v>0</v>
      </c>
      <c r="I14" s="0" t="s">
        <v>0</v>
      </c>
      <c r="J14" s="0" t="s">
        <v>0</v>
      </c>
      <c r="K14" s="0" t="s">
        <v>2</v>
      </c>
      <c r="L14" s="0" t="s">
        <v>0</v>
      </c>
    </row>
    <row r="15" customFormat="false" ht="15" hidden="false" customHeight="false" outlineLevel="0" collapsed="false">
      <c r="A15" s="10" t="s">
        <v>0</v>
      </c>
      <c r="B15" s="0" t="s">
        <v>2</v>
      </c>
      <c r="I15" s="0" t="s">
        <v>0</v>
      </c>
      <c r="J15" s="0" t="s">
        <v>0</v>
      </c>
      <c r="K15" s="0" t="s">
        <v>0</v>
      </c>
      <c r="L15" s="0" t="s">
        <v>0</v>
      </c>
    </row>
    <row r="16" customFormat="false" ht="15" hidden="false" customHeight="false" outlineLevel="0" collapsed="false">
      <c r="A16" s="0" t="s">
        <v>0</v>
      </c>
      <c r="B16" s="0" t="s">
        <v>0</v>
      </c>
      <c r="C16" s="0" t="s">
        <v>0</v>
      </c>
      <c r="G16" s="0" t="s">
        <v>0</v>
      </c>
      <c r="H16" s="0" t="s">
        <v>2</v>
      </c>
      <c r="J16" s="0" t="s">
        <v>0</v>
      </c>
      <c r="K16" s="0" t="s">
        <v>0</v>
      </c>
      <c r="L16" s="0" t="s">
        <v>0</v>
      </c>
    </row>
    <row r="17" customFormat="false" ht="15" hidden="false" customHeight="false" outlineLevel="0" collapsed="false">
      <c r="A17" s="0" t="s">
        <v>0</v>
      </c>
      <c r="B17" s="0" t="s">
        <v>0</v>
      </c>
      <c r="E17" s="0" t="s">
        <v>0</v>
      </c>
      <c r="H17" s="0" t="s">
        <v>0</v>
      </c>
      <c r="I17" s="0" t="s">
        <v>0</v>
      </c>
      <c r="J17" s="0" t="s">
        <v>0</v>
      </c>
      <c r="K17" s="0" t="s">
        <v>6</v>
      </c>
      <c r="L17" s="0" t="s">
        <v>0</v>
      </c>
    </row>
    <row r="18" customFormat="false" ht="15" hidden="false" customHeight="false" outlineLevel="0" collapsed="false">
      <c r="A18" s="0" t="s">
        <v>2</v>
      </c>
      <c r="B18" s="0" t="s">
        <v>0</v>
      </c>
      <c r="C18" s="0" t="s">
        <v>0</v>
      </c>
      <c r="E18" s="9" t="s">
        <v>0</v>
      </c>
      <c r="F18" s="0" t="s">
        <v>0</v>
      </c>
      <c r="H18" s="0" t="s">
        <v>0</v>
      </c>
      <c r="I18" s="0" t="s">
        <v>0</v>
      </c>
      <c r="J18" s="0" t="s">
        <v>0</v>
      </c>
      <c r="K18" s="0" t="s">
        <v>0</v>
      </c>
    </row>
    <row r="19" customFormat="false" ht="15" hidden="false" customHeight="false" outlineLevel="0" collapsed="false">
      <c r="B19" s="0" t="s">
        <v>0</v>
      </c>
      <c r="C19" s="0" t="s">
        <v>0</v>
      </c>
      <c r="G19" s="0" t="s">
        <v>0</v>
      </c>
      <c r="H19" s="0" t="s">
        <v>0</v>
      </c>
      <c r="I19" s="0" t="s">
        <v>0</v>
      </c>
      <c r="J19" s="0" t="s">
        <v>0</v>
      </c>
      <c r="K19" s="0" t="s">
        <v>0</v>
      </c>
      <c r="L19" s="0" t="s">
        <v>7</v>
      </c>
    </row>
    <row r="20" customFormat="false" ht="15" hidden="false" customHeight="false" outlineLevel="0" collapsed="false">
      <c r="A20" s="0" t="s">
        <v>0</v>
      </c>
      <c r="B20" s="0" t="s">
        <v>0</v>
      </c>
      <c r="C20" s="0" t="s">
        <v>0</v>
      </c>
      <c r="H20" s="0" t="s">
        <v>0</v>
      </c>
      <c r="I20" s="0" t="s">
        <v>0</v>
      </c>
      <c r="J20" s="0" t="s">
        <v>0</v>
      </c>
      <c r="K20" s="0" t="s">
        <v>0</v>
      </c>
      <c r="L20" s="0" t="s">
        <v>0</v>
      </c>
    </row>
    <row r="21" customFormat="false" ht="15" hidden="false" customHeight="false" outlineLevel="0" collapsed="false">
      <c r="B21" s="0" t="s">
        <v>0</v>
      </c>
      <c r="D21" s="0" t="s">
        <v>0</v>
      </c>
      <c r="F21" s="0" t="s">
        <v>0</v>
      </c>
      <c r="H21" s="0" t="s">
        <v>0</v>
      </c>
      <c r="I21" s="0" t="s">
        <v>0</v>
      </c>
      <c r="J21" s="0" t="s">
        <v>7</v>
      </c>
      <c r="K21" s="0" t="s">
        <v>0</v>
      </c>
      <c r="L21" s="0" t="s">
        <v>0</v>
      </c>
    </row>
    <row r="22" customFormat="false" ht="15" hidden="false" customHeight="false" outlineLevel="0" collapsed="false">
      <c r="C22" s="0" t="s">
        <v>0</v>
      </c>
      <c r="H22" s="0" t="s">
        <v>0</v>
      </c>
      <c r="I22" s="0" t="s">
        <v>0</v>
      </c>
      <c r="J22" s="0" t="s">
        <v>0</v>
      </c>
      <c r="K22" s="0" t="s">
        <v>0</v>
      </c>
    </row>
    <row r="23" customFormat="false" ht="15" hidden="false" customHeight="false" outlineLevel="0" collapsed="false">
      <c r="A23" s="0" t="s">
        <v>0</v>
      </c>
      <c r="B23" s="0" t="s">
        <v>0</v>
      </c>
      <c r="C23" s="0" t="s">
        <v>0</v>
      </c>
      <c r="D23" s="11" t="s">
        <v>0</v>
      </c>
      <c r="G23" s="0" t="s">
        <v>0</v>
      </c>
      <c r="H23" s="0" t="s">
        <v>0</v>
      </c>
      <c r="I23" s="0" t="s">
        <v>0</v>
      </c>
      <c r="J23" s="0" t="s">
        <v>0</v>
      </c>
      <c r="K23" s="0" t="s">
        <v>0</v>
      </c>
      <c r="L23" s="0" t="s">
        <v>0</v>
      </c>
    </row>
    <row r="24" customFormat="false" ht="15" hidden="false" customHeight="false" outlineLevel="0" collapsed="false">
      <c r="A24" s="0" t="s">
        <v>0</v>
      </c>
      <c r="B24" s="0" t="s">
        <v>0</v>
      </c>
      <c r="C24" s="0" t="s">
        <v>0</v>
      </c>
      <c r="E24" s="0" t="s">
        <v>0</v>
      </c>
      <c r="G24" s="0" t="s">
        <v>0</v>
      </c>
      <c r="H24" s="0" t="s">
        <v>0</v>
      </c>
      <c r="I24" s="0" t="s">
        <v>0</v>
      </c>
      <c r="J24" s="0" t="s">
        <v>0</v>
      </c>
      <c r="K24" s="0" t="s">
        <v>0</v>
      </c>
    </row>
    <row r="25" customFormat="false" ht="15" hidden="false" customHeight="false" outlineLevel="0" collapsed="false">
      <c r="B25" s="7" t="s">
        <v>2</v>
      </c>
      <c r="C25" s="0" t="s">
        <v>0</v>
      </c>
      <c r="E25" s="0" t="s">
        <v>0</v>
      </c>
      <c r="G25" s="12"/>
      <c r="H25" s="0" t="s">
        <v>0</v>
      </c>
      <c r="I25" s="0" t="s">
        <v>0</v>
      </c>
      <c r="J25" s="0" t="s">
        <v>0</v>
      </c>
      <c r="K25" s="0" t="s">
        <v>5</v>
      </c>
    </row>
    <row r="26" customFormat="false" ht="15" hidden="false" customHeight="false" outlineLevel="0" collapsed="false">
      <c r="A26" s="0" t="s">
        <v>0</v>
      </c>
      <c r="B26" s="0" t="s">
        <v>0</v>
      </c>
      <c r="C26" s="0" t="s">
        <v>2</v>
      </c>
      <c r="G26" s="12"/>
      <c r="H26" s="0" t="s">
        <v>0</v>
      </c>
      <c r="I26" s="0" t="s">
        <v>0</v>
      </c>
      <c r="J26" s="0" t="s">
        <v>0</v>
      </c>
      <c r="K26" s="0" t="s">
        <v>0</v>
      </c>
    </row>
    <row r="27" customFormat="false" ht="15" hidden="false" customHeight="false" outlineLevel="0" collapsed="false">
      <c r="A27" s="0" t="s">
        <v>0</v>
      </c>
      <c r="B27" s="0" t="s">
        <v>0</v>
      </c>
      <c r="C27" s="0" t="s">
        <v>5</v>
      </c>
      <c r="D27" s="0" t="s">
        <v>0</v>
      </c>
      <c r="G27" s="12"/>
      <c r="H27" s="0" t="s">
        <v>0</v>
      </c>
      <c r="I27" s="0" t="s">
        <v>0</v>
      </c>
      <c r="J27" s="9" t="s">
        <v>0</v>
      </c>
      <c r="K27" s="0" t="s">
        <v>0</v>
      </c>
      <c r="L27" s="0" t="s">
        <v>2</v>
      </c>
    </row>
    <row r="28" customFormat="false" ht="15" hidden="false" customHeight="false" outlineLevel="0" collapsed="false">
      <c r="G28" s="12"/>
      <c r="H28" s="0" t="s">
        <v>0</v>
      </c>
      <c r="I28" s="0" t="s">
        <v>0</v>
      </c>
      <c r="J28" s="0" t="s">
        <v>0</v>
      </c>
      <c r="K28" s="0" t="s">
        <v>0</v>
      </c>
      <c r="L28" s="0" t="s">
        <v>0</v>
      </c>
      <c r="M28" s="0" t="s">
        <v>0</v>
      </c>
    </row>
    <row r="29" customFormat="false" ht="15" hidden="false" customHeight="false" outlineLevel="0" collapsed="false">
      <c r="G29" s="12"/>
      <c r="H29" s="0" t="s">
        <v>0</v>
      </c>
      <c r="I29" s="0" t="s">
        <v>0</v>
      </c>
      <c r="J29" s="0" t="s">
        <v>0</v>
      </c>
      <c r="K29" s="0" t="s">
        <v>0</v>
      </c>
    </row>
    <row r="30" customFormat="false" ht="15" hidden="false" customHeight="false" outlineLevel="0" collapsed="false">
      <c r="H30" s="0" t="s">
        <v>0</v>
      </c>
      <c r="I30" s="0" t="s">
        <v>0</v>
      </c>
      <c r="J30" s="0" t="s">
        <v>0</v>
      </c>
      <c r="K30" s="0" t="s">
        <v>0</v>
      </c>
    </row>
    <row r="31" customFormat="false" ht="15" hidden="false" customHeight="false" outlineLevel="0" collapsed="false">
      <c r="H31" s="0" t="s">
        <v>0</v>
      </c>
      <c r="I31" s="0" t="s">
        <v>0</v>
      </c>
      <c r="J31" s="0" t="s">
        <v>0</v>
      </c>
      <c r="K31" s="0" t="s">
        <v>0</v>
      </c>
    </row>
    <row r="32" customFormat="false" ht="15" hidden="false" customHeight="false" outlineLevel="0" collapsed="false">
      <c r="A32" s="0" t="s">
        <v>0</v>
      </c>
      <c r="H32" s="0" t="s">
        <v>0</v>
      </c>
      <c r="I32" s="0" t="s">
        <v>0</v>
      </c>
      <c r="J32" s="0" t="s">
        <v>0</v>
      </c>
      <c r="K32" s="0" t="s">
        <v>0</v>
      </c>
    </row>
    <row r="33" customFormat="false" ht="15" hidden="false" customHeight="false" outlineLevel="0" collapsed="false">
      <c r="C33" s="0" t="s">
        <v>0</v>
      </c>
      <c r="H33" s="0" t="s">
        <v>0</v>
      </c>
      <c r="I33" s="0" t="s">
        <v>0</v>
      </c>
      <c r="J33" s="0" t="s">
        <v>0</v>
      </c>
      <c r="K33" s="0" t="s">
        <v>0</v>
      </c>
    </row>
    <row r="34" customFormat="false" ht="15" hidden="false" customHeight="false" outlineLevel="0" collapsed="false">
      <c r="H34" s="0" t="s">
        <v>0</v>
      </c>
      <c r="I34" s="0" t="s">
        <v>0</v>
      </c>
      <c r="J34" s="0" t="s">
        <v>0</v>
      </c>
      <c r="K34" s="0" t="s">
        <v>0</v>
      </c>
    </row>
    <row r="35" customFormat="false" ht="15" hidden="false" customHeight="false" outlineLevel="0" collapsed="false">
      <c r="H35" s="0" t="s">
        <v>0</v>
      </c>
      <c r="I35" s="0" t="s">
        <v>0</v>
      </c>
      <c r="J35" s="0" t="s">
        <v>0</v>
      </c>
      <c r="K35" s="0" t="s">
        <v>0</v>
      </c>
    </row>
    <row r="83" customFormat="false" ht="15" hidden="false" customHeight="false" outlineLevel="0" collapsed="false">
      <c r="A83" s="0" t="s">
        <v>0</v>
      </c>
    </row>
    <row r="86" customFormat="false" ht="15" hidden="false" customHeight="false" outlineLevel="0" collapsed="false">
      <c r="I86" s="0" t="s">
        <v>0</v>
      </c>
    </row>
    <row r="90" customFormat="false" ht="15" hidden="false" customHeight="false" outlineLevel="0" collapsed="false">
      <c r="A90" s="0" t="s">
        <v>2</v>
      </c>
    </row>
    <row r="142" customFormat="false" ht="15" hidden="false" customHeight="false" outlineLevel="0" collapsed="false">
      <c r="B142" s="0" t="s">
        <v>0</v>
      </c>
    </row>
    <row r="293" customFormat="false" ht="15" hidden="false" customHeight="false" outlineLevel="0" collapsed="false">
      <c r="A293" s="0" t="s">
        <v>0</v>
      </c>
    </row>
    <row r="958" customFormat="false" ht="15" hidden="false" customHeight="false" outlineLevel="0" collapsed="false">
      <c r="A958" s="0" t="s">
        <v>2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28440</xdr:rowOff>
                  </from>
                  <to>
                    <xdr:col>6</xdr:col>
                    <xdr:colOff>536760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28440</xdr:rowOff>
                  </from>
                  <to>
                    <xdr:col>4</xdr:col>
                    <xdr:colOff>535320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180720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9"/>
  <sheetViews>
    <sheetView showFormulas="false" showGridLines="true" showRowColHeaders="true" showZeros="true" rightToLeft="false" tabSelected="false" showOutlineSymbols="true" defaultGridColor="true" view="normal" topLeftCell="A36" colorId="64" zoomScale="75" zoomScaleNormal="75" zoomScalePageLayoutView="100" workbookViewId="0">
      <selection pane="topLeft" activeCell="A36" activeCellId="0" sqref="A36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2" width="23.21"/>
    <col collapsed="false" customWidth="false" hidden="false" outlineLevel="0" max="2" min="2" style="172" width="8.88"/>
    <col collapsed="false" customWidth="true" hidden="false" outlineLevel="0" max="3" min="3" style="172" width="16.99"/>
    <col collapsed="false" customWidth="true" hidden="false" outlineLevel="0" max="4" min="4" style="172" width="8.65"/>
    <col collapsed="false" customWidth="true" hidden="false" outlineLevel="0" max="5" min="5" style="172" width="8.55"/>
    <col collapsed="false" customWidth="true" hidden="false" outlineLevel="0" max="6" min="6" style="172" width="8.65"/>
    <col collapsed="false" customWidth="true" hidden="false" outlineLevel="0" max="7" min="7" style="172" width="8.55"/>
    <col collapsed="false" customWidth="true" hidden="false" outlineLevel="0" max="9" min="8" style="172" width="8.65"/>
    <col collapsed="false" customWidth="false" hidden="false" outlineLevel="0" max="257" min="10" style="172" width="8.88"/>
  </cols>
  <sheetData>
    <row r="1" customFormat="false" ht="20.1" hidden="false" customHeight="true" outlineLevel="0" collapsed="false">
      <c r="A1" s="118" t="s">
        <v>246</v>
      </c>
      <c r="B1" s="119"/>
      <c r="C1" s="119"/>
      <c r="D1" s="119"/>
      <c r="E1" s="119"/>
      <c r="F1" s="119"/>
      <c r="G1" s="119" t="s">
        <v>209</v>
      </c>
      <c r="H1" s="173" t="str">
        <f aca="false">D3</f>
        <v>WED</v>
      </c>
      <c r="I1" s="174" t="n">
        <f aca="false">D4</f>
        <v>36999</v>
      </c>
      <c r="J1" s="175"/>
    </row>
    <row r="2" customFormat="false" ht="20.1" hidden="false" customHeight="true" outlineLevel="0" collapsed="false">
      <c r="A2" s="123" t="s">
        <v>247</v>
      </c>
      <c r="B2" s="124"/>
      <c r="C2" s="124"/>
      <c r="D2" s="124"/>
      <c r="E2" s="124"/>
      <c r="F2" s="124"/>
      <c r="G2" s="124"/>
      <c r="H2" s="124"/>
      <c r="I2" s="125"/>
      <c r="J2" s="175"/>
    </row>
    <row r="3" customFormat="false" ht="20.1" hidden="false" customHeight="true" outlineLevel="0" collapsed="false">
      <c r="A3" s="126"/>
      <c r="B3" s="124"/>
      <c r="C3" s="124"/>
      <c r="D3" s="127" t="str">
        <f aca="false">CHOOSE(WEEKDAY(D4),"SUN","MON","TUE","WED","THU","FRI","SAT")</f>
        <v>WED</v>
      </c>
      <c r="E3" s="127" t="str">
        <f aca="false">CHOOSE(WEEKDAY(E4),"SUN","MON","TUE","WED","THU","FRI","SAT")</f>
        <v>THU</v>
      </c>
      <c r="F3" s="127" t="str">
        <f aca="false">CHOOSE(WEEKDAY(F4),"SUN","MON","TUE","WED","THU","FRI","SAT")</f>
        <v>FRI</v>
      </c>
      <c r="G3" s="127" t="str">
        <f aca="false">CHOOSE(WEEKDAY(G4),"SUN","MON","TUE","WED","THU","FRI","SAT")</f>
        <v>SAT</v>
      </c>
      <c r="H3" s="127" t="str">
        <f aca="false">CHOOSE(WEEKDAY(H4),"SUN","MON","TUE","WED","THU","FRI","SAT")</f>
        <v>SUN</v>
      </c>
      <c r="I3" s="128" t="str">
        <f aca="false">CHOOSE(WEEKDAY(I4),"SUN","MON","TUE","WED","THU","FRI","SAT")</f>
        <v>MON</v>
      </c>
      <c r="J3" s="175"/>
    </row>
    <row r="4" customFormat="false" ht="20.1" hidden="false" customHeight="true" outlineLevel="0" collapsed="false">
      <c r="A4" s="129" t="s">
        <v>248</v>
      </c>
      <c r="B4" s="130"/>
      <c r="C4" s="130"/>
      <c r="D4" s="176" t="n">
        <f aca="false">Weather_Input!A5</f>
        <v>36999</v>
      </c>
      <c r="E4" s="176" t="n">
        <f aca="false">Weather_Input!A6</f>
        <v>37000</v>
      </c>
      <c r="F4" s="176" t="n">
        <f aca="false">Weather_Input!A7</f>
        <v>37001</v>
      </c>
      <c r="G4" s="176" t="n">
        <f aca="false">Weather_Input!A8</f>
        <v>37002</v>
      </c>
      <c r="H4" s="176" t="n">
        <f aca="false">Weather_Input!A9</f>
        <v>37003</v>
      </c>
      <c r="I4" s="177" t="n">
        <f aca="false">Weather_Input!A10</f>
        <v>37004</v>
      </c>
      <c r="J4" s="175"/>
    </row>
    <row r="5" customFormat="false" ht="20.1" hidden="false" customHeight="true" outlineLevel="0" collapsed="false">
      <c r="A5" s="133" t="s">
        <v>211</v>
      </c>
      <c r="B5" s="124"/>
      <c r="C5" s="124" t="s">
        <v>212</v>
      </c>
      <c r="D5" s="178" t="str">
        <f aca="false">TEXT(Weather_Input!B5,"0")&amp;"/"&amp;TEXT(Weather_Input!C5,"0")&amp;"/"&amp;TEXT((Weather_Input!B5+Weather_Input!C5)/2,"0")</f>
        <v>54/35/45</v>
      </c>
      <c r="E5" s="178" t="str">
        <f aca="false">TEXT(Weather_Input!B6,"0")&amp;"/"&amp;TEXT(Weather_Input!C6,"0")&amp;"/"&amp;TEXT((Weather_Input!B6+Weather_Input!C6)/2,"0")</f>
        <v>67/50/59</v>
      </c>
      <c r="F5" s="178" t="str">
        <f aca="false">TEXT(Weather_Input!B7,"0")&amp;"/"&amp;TEXT(Weather_Input!C7,"0")&amp;"/"&amp;TEXT((Weather_Input!B7+Weather_Input!C7)/2,"0")</f>
        <v>76/56/66</v>
      </c>
      <c r="G5" s="178" t="str">
        <f aca="false">TEXT(Weather_Input!B8,"0")&amp;"/"&amp;TEXT(Weather_Input!C8,"0")&amp;"/"&amp;TEXT((Weather_Input!B8+Weather_Input!C8)/2,"0")</f>
        <v>80/55/68</v>
      </c>
      <c r="H5" s="178" t="str">
        <f aca="false">TEXT(Weather_Input!B9,"0")&amp;"/"&amp;TEXT(Weather_Input!C9,"0")&amp;"/"&amp;TEXT((Weather_Input!B9+Weather_Input!C9)/2,"0")</f>
        <v>70/49/60</v>
      </c>
      <c r="I5" s="179" t="str">
        <f aca="false">TEXT(Weather_Input!B10,"0")&amp;"/"&amp;TEXT(Weather_Input!C10,"0")&amp;"/"&amp;TEXT((Weather_Input!B10+Weather_Input!C10)/2,"0")</f>
        <v>70/49/60</v>
      </c>
      <c r="J5" s="175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  <c r="EK5" s="117"/>
      <c r="EL5" s="117"/>
      <c r="EM5" s="117"/>
      <c r="EN5" s="117"/>
      <c r="EO5" s="117"/>
      <c r="EP5" s="117"/>
      <c r="EQ5" s="117"/>
      <c r="ER5" s="117"/>
      <c r="ES5" s="117"/>
      <c r="ET5" s="117"/>
      <c r="EU5" s="117"/>
      <c r="EV5" s="117"/>
      <c r="EW5" s="117"/>
      <c r="EX5" s="117"/>
      <c r="EY5" s="117"/>
      <c r="EZ5" s="117"/>
      <c r="FA5" s="117"/>
      <c r="FB5" s="117"/>
      <c r="FC5" s="117"/>
      <c r="FD5" s="117"/>
      <c r="FE5" s="117"/>
      <c r="FF5" s="117"/>
      <c r="FG5" s="117"/>
      <c r="FH5" s="117"/>
      <c r="FI5" s="117"/>
      <c r="FJ5" s="117"/>
      <c r="FK5" s="117"/>
      <c r="FL5" s="117"/>
      <c r="FM5" s="117"/>
      <c r="FN5" s="117"/>
      <c r="FO5" s="117"/>
      <c r="FP5" s="117"/>
      <c r="FQ5" s="117"/>
      <c r="FR5" s="117"/>
      <c r="FS5" s="117"/>
      <c r="FT5" s="117"/>
      <c r="FU5" s="117"/>
      <c r="FV5" s="117"/>
      <c r="FW5" s="117"/>
      <c r="FX5" s="117"/>
      <c r="FY5" s="117"/>
      <c r="FZ5" s="117"/>
      <c r="GA5" s="117"/>
      <c r="GB5" s="117"/>
      <c r="GC5" s="117"/>
      <c r="GD5" s="117"/>
      <c r="GE5" s="117"/>
      <c r="GF5" s="117"/>
      <c r="GG5" s="117"/>
      <c r="GH5" s="117"/>
      <c r="GI5" s="117"/>
      <c r="GJ5" s="117"/>
      <c r="GK5" s="117"/>
      <c r="GL5" s="117"/>
      <c r="GM5" s="117"/>
      <c r="GN5" s="117"/>
      <c r="GO5" s="117"/>
      <c r="GP5" s="117"/>
      <c r="GQ5" s="117"/>
      <c r="GR5" s="117"/>
      <c r="GS5" s="117"/>
      <c r="GT5" s="117"/>
      <c r="GU5" s="117"/>
      <c r="GV5" s="117"/>
      <c r="GW5" s="117"/>
      <c r="GX5" s="117"/>
      <c r="GY5" s="117"/>
      <c r="GZ5" s="117"/>
      <c r="HA5" s="117"/>
      <c r="HB5" s="117"/>
      <c r="HC5" s="117"/>
      <c r="HD5" s="117"/>
      <c r="HE5" s="117"/>
      <c r="HF5" s="117"/>
      <c r="HG5" s="117"/>
      <c r="HH5" s="117"/>
      <c r="HI5" s="117"/>
      <c r="HJ5" s="117"/>
      <c r="HK5" s="117"/>
      <c r="HL5" s="117"/>
      <c r="HM5" s="117"/>
      <c r="HN5" s="117"/>
      <c r="HO5" s="117"/>
      <c r="HP5" s="117"/>
      <c r="HQ5" s="117"/>
      <c r="HR5" s="117"/>
      <c r="HS5" s="117"/>
      <c r="HT5" s="117"/>
      <c r="HU5" s="117"/>
      <c r="HV5" s="117"/>
      <c r="HW5" s="117"/>
      <c r="HX5" s="117"/>
      <c r="HY5" s="117"/>
      <c r="HZ5" s="117"/>
      <c r="IA5" s="117"/>
      <c r="IB5" s="117"/>
      <c r="IC5" s="117"/>
      <c r="ID5" s="117"/>
      <c r="IE5" s="117"/>
      <c r="IF5" s="117"/>
      <c r="IG5" s="117"/>
      <c r="IH5" s="117"/>
      <c r="II5" s="117"/>
      <c r="IJ5" s="117"/>
      <c r="IK5" s="117"/>
      <c r="IL5" s="117"/>
      <c r="IM5" s="117"/>
      <c r="IN5" s="117"/>
      <c r="IO5" s="117"/>
      <c r="IP5" s="117"/>
      <c r="IQ5" s="117"/>
      <c r="IR5" s="117"/>
      <c r="IS5" s="117"/>
      <c r="IT5" s="117"/>
      <c r="IU5" s="117"/>
      <c r="IV5" s="117"/>
      <c r="IW5" s="117"/>
    </row>
    <row r="6" customFormat="false" ht="20.1" hidden="false" customHeight="true" outlineLevel="0" collapsed="false">
      <c r="A6" s="136" t="s">
        <v>213</v>
      </c>
      <c r="B6" s="124"/>
      <c r="C6" s="124"/>
      <c r="D6" s="180" t="n">
        <f aca="true">VLOOKUP(D4,NSG_Sendouts,CELL("Col",NSG_Deliveries!C5),FALSE())/1000</f>
        <v>101</v>
      </c>
      <c r="E6" s="180" t="n">
        <f aca="true">VLOOKUP(E4,NSG_Sendouts,CELL("Col",NSG_Deliveries!C6),FALSE())/1000</f>
        <v>52</v>
      </c>
      <c r="F6" s="180" t="n">
        <f aca="true">VLOOKUP(F4,NSG_Sendouts,CELL("Col",NSG_Deliveries!C7),FALSE())/1000</f>
        <v>45</v>
      </c>
      <c r="G6" s="180" t="n">
        <f aca="true">VLOOKUP(G4,NSG_Sendouts,CELL("Col",NSG_Deliveries!C8),FALSE())/1000</f>
        <v>39</v>
      </c>
      <c r="H6" s="180" t="n">
        <f aca="true">VLOOKUP(H4,NSG_Sendouts,CELL("Col",NSG_Deliveries!C9),FALSE())/1000</f>
        <v>51</v>
      </c>
      <c r="I6" s="181" t="n">
        <f aca="true">VLOOKUP(I4,NSG_Sendouts,CELL("Col",NSG_Deliveries!C10),FALSE())/1000</f>
        <v>53</v>
      </c>
      <c r="J6" s="117"/>
    </row>
    <row r="7" customFormat="false" ht="20.1" hidden="false" customHeight="true" outlineLevel="0" collapsed="false">
      <c r="A7" s="133" t="s">
        <v>216</v>
      </c>
      <c r="B7" s="124" t="s">
        <v>219</v>
      </c>
      <c r="C7" s="124"/>
      <c r="D7" s="180" t="n">
        <f aca="false">NSG_Requirements!C7/1000</f>
        <v>0</v>
      </c>
      <c r="E7" s="180" t="n">
        <f aca="false">NSG_Requirements!C8/1000</f>
        <v>0</v>
      </c>
      <c r="F7" s="180" t="n">
        <f aca="false">NSG_Requirements!C9/1000</f>
        <v>0</v>
      </c>
      <c r="G7" s="180" t="n">
        <f aca="false">NSG_Requirements!C10/1000</f>
        <v>0</v>
      </c>
      <c r="H7" s="180" t="n">
        <f aca="false">NSG_Requirements!C11/1000</f>
        <v>0</v>
      </c>
      <c r="I7" s="181" t="n">
        <f aca="false">NSG_Requirements!C12/1000</f>
        <v>0</v>
      </c>
      <c r="J7" s="175"/>
    </row>
    <row r="8" customFormat="false" ht="20.1" hidden="false" customHeight="true" outlineLevel="0" collapsed="false">
      <c r="A8" s="133"/>
      <c r="B8" s="124" t="s">
        <v>217</v>
      </c>
      <c r="C8" s="124"/>
      <c r="D8" s="180" t="n">
        <f aca="false">NSG_Requirements!D7/1000</f>
        <v>0</v>
      </c>
      <c r="E8" s="180" t="n">
        <f aca="false">NSG_Requirements!D8/1000</f>
        <v>0</v>
      </c>
      <c r="F8" s="180" t="n">
        <f aca="false">NSG_Requirements!D9/1000</f>
        <v>0</v>
      </c>
      <c r="G8" s="180" t="n">
        <f aca="false">NSG_Requirements!D10/1000</f>
        <v>0</v>
      </c>
      <c r="H8" s="180" t="n">
        <f aca="false">NSG_Requirements!D11/1000</f>
        <v>0</v>
      </c>
      <c r="I8" s="181" t="n">
        <f aca="false">NSG_Requirements!D11/1000</f>
        <v>0</v>
      </c>
      <c r="J8" s="117"/>
    </row>
    <row r="9" customFormat="false" ht="20.1" hidden="false" customHeight="true" outlineLevel="0" collapsed="false">
      <c r="A9" s="133"/>
      <c r="B9" s="124" t="s">
        <v>218</v>
      </c>
      <c r="C9" s="124"/>
      <c r="D9" s="180" t="n">
        <f aca="false">NSG_Requirements!E7/1000</f>
        <v>0</v>
      </c>
      <c r="E9" s="180" t="n">
        <f aca="false">NSG_Requirements!E8/1000</f>
        <v>0</v>
      </c>
      <c r="F9" s="180" t="n">
        <f aca="false">NSG_Requirements!E9/1000</f>
        <v>0</v>
      </c>
      <c r="G9" s="180" t="n">
        <f aca="false">NSG_Requirements!E10/1000</f>
        <v>0</v>
      </c>
      <c r="H9" s="180" t="n">
        <f aca="false">NSG_Requirements!E11/1000</f>
        <v>0</v>
      </c>
      <c r="I9" s="181" t="n">
        <f aca="false">NSG_Requirements!E12/1000</f>
        <v>0</v>
      </c>
      <c r="J9" s="117"/>
    </row>
    <row r="10" customFormat="false" ht="20.1" hidden="false" customHeight="true" outlineLevel="0" collapsed="false">
      <c r="A10" s="133"/>
      <c r="B10" s="124" t="s">
        <v>140</v>
      </c>
      <c r="C10" s="124"/>
      <c r="D10" s="180" t="n">
        <f aca="false">NSG_Requirements!F7/1000</f>
        <v>0</v>
      </c>
      <c r="E10" s="180" t="n">
        <f aca="false">NSG_Requirements!F8/1000</f>
        <v>0</v>
      </c>
      <c r="F10" s="180" t="n">
        <f aca="false">NSG_Requirements!F9/1000</f>
        <v>0</v>
      </c>
      <c r="G10" s="180" t="n">
        <f aca="false">NSG_Requirements!F10/1000</f>
        <v>0</v>
      </c>
      <c r="H10" s="180" t="n">
        <f aca="false">NSG_Requirements!F11/1000</f>
        <v>0</v>
      </c>
      <c r="I10" s="181" t="n">
        <f aca="false">NSG_Requirements!F12/1000</f>
        <v>0</v>
      </c>
      <c r="J10" s="117"/>
    </row>
    <row r="11" customFormat="false" ht="20.1" hidden="false" customHeight="true" outlineLevel="0" collapsed="false">
      <c r="A11" s="133" t="s">
        <v>220</v>
      </c>
      <c r="B11" s="124" t="s">
        <v>221</v>
      </c>
      <c r="C11" s="124" t="s">
        <v>75</v>
      </c>
      <c r="D11" s="180" t="n">
        <f aca="false">(NSG_Requirements!$K$7+NSG_Requirements!$L$7+NSG_Requirements!$M$7+NSG_Requirements!$N$7)/1000</f>
        <v>0</v>
      </c>
      <c r="E11" s="180" t="n">
        <f aca="false">(NSG_Requirements!$K$8+NSG_Requirements!$L$8+NSG_Requirements!$M$8+NSG_Requirements!$N$8)/1000</f>
        <v>0</v>
      </c>
      <c r="F11" s="180" t="n">
        <f aca="false">(NSG_Requirements!$K$9+NSG_Requirements!$L$9+NSG_Requirements!$M$9+NSG_Requirements!$N$9)/1000</f>
        <v>0</v>
      </c>
      <c r="G11" s="180" t="n">
        <f aca="false">(NSG_Requirements!$K$10+NSG_Requirements!$L$10+NSG_Requirements!$M$10+NSG_Requirements!$N$10)/1000</f>
        <v>0</v>
      </c>
      <c r="H11" s="180" t="n">
        <f aca="false">(NSG_Requirements!$K$11+NSG_Requirements!$L$11+NSG_Requirements!$M$11+NSG_Requirements!$N$11)/1000</f>
        <v>0</v>
      </c>
      <c r="I11" s="181" t="n">
        <f aca="false">(NSG_Requirements!$K$12+NSG_Requirements!$L$12+NSG_Requirements!$M$12+NSG_Requirements!$N$12)/1000</f>
        <v>0</v>
      </c>
      <c r="J11" s="117"/>
    </row>
    <row r="12" customFormat="false" ht="20.1" hidden="false" customHeight="true" outlineLevel="0" collapsed="false">
      <c r="A12" s="133"/>
      <c r="B12" s="124" t="s">
        <v>217</v>
      </c>
      <c r="C12" s="138" t="s">
        <v>150</v>
      </c>
      <c r="D12" s="180" t="n">
        <f aca="false">NSG_Requirements!J7/1000</f>
        <v>20</v>
      </c>
      <c r="E12" s="180" t="n">
        <f aca="false">NSG_Requirements!J8/1000</f>
        <v>0</v>
      </c>
      <c r="F12" s="180" t="n">
        <f aca="false">NSG_Requirements!J9/1000</f>
        <v>0</v>
      </c>
      <c r="G12" s="180" t="n">
        <f aca="false">NSG_Requirements!J10/1000</f>
        <v>0</v>
      </c>
      <c r="H12" s="180" t="n">
        <f aca="false">NSG_Requirements!J11/1000</f>
        <v>0</v>
      </c>
      <c r="I12" s="181" t="n">
        <f aca="false">NSG_Requirements!J12/1000</f>
        <v>0</v>
      </c>
      <c r="J12" s="175"/>
    </row>
    <row r="13" customFormat="false" ht="20.1" hidden="false" customHeight="true" outlineLevel="0" collapsed="false">
      <c r="A13" s="133"/>
      <c r="B13" s="124" t="s">
        <v>219</v>
      </c>
      <c r="C13" s="138" t="s">
        <v>150</v>
      </c>
      <c r="D13" s="180" t="n">
        <f aca="false">NSG_Requirements!H7/1000</f>
        <v>0</v>
      </c>
      <c r="E13" s="180" t="n">
        <f aca="false">NSG_Requirements!H8/1000</f>
        <v>0</v>
      </c>
      <c r="F13" s="180" t="n">
        <f aca="false">NSG_Requirements!H9/1000</f>
        <v>0</v>
      </c>
      <c r="G13" s="180" t="n">
        <f aca="false">NSG_Requirements!H10/1000</f>
        <v>0</v>
      </c>
      <c r="H13" s="180" t="n">
        <f aca="false">NSG_Requirements!H11/1000</f>
        <v>0</v>
      </c>
      <c r="I13" s="181" t="n">
        <f aca="false">NSG_Requirements!H12/1000</f>
        <v>0</v>
      </c>
      <c r="J13" s="175"/>
    </row>
    <row r="14" customFormat="false" ht="20.1" hidden="false" customHeight="true" outlineLevel="0" collapsed="false">
      <c r="A14" s="133"/>
      <c r="B14" s="124" t="s">
        <v>217</v>
      </c>
      <c r="C14" s="124"/>
      <c r="D14" s="180" t="n">
        <f aca="false">(NSG_Requirements!$S$7+NSG_Requirements!$T$7+NSG_Requirements!$U$7)/1000</f>
        <v>0</v>
      </c>
      <c r="E14" s="180" t="n">
        <f aca="false">(NSG_Requirements!$S$8+NSG_Requirements!$T$8+NSG_Requirements!$U$8)/1000</f>
        <v>0</v>
      </c>
      <c r="F14" s="180" t="n">
        <f aca="false">(NSG_Requirements!$S$9+NSG_Requirements!$T$9+NSG_Requirements!$U$9)/1000</f>
        <v>0</v>
      </c>
      <c r="G14" s="180" t="n">
        <f aca="false">(NSG_Requirements!$S$10+NSG_Requirements!$T$10+NSG_Requirements!$U$10)/1000</f>
        <v>0</v>
      </c>
      <c r="H14" s="180" t="n">
        <f aca="false">(NSG_Requirements!$S$11+NSG_Requirements!$T$11+NSG_Requirements!$U$11)/1000</f>
        <v>0</v>
      </c>
      <c r="I14" s="181" t="n">
        <f aca="false">(NSG_Requirements!$S$12+NSG_Requirements!$T$12+NSG_Requirements!$U$12)/1000</f>
        <v>0</v>
      </c>
      <c r="J14" s="175"/>
    </row>
    <row r="15" customFormat="false" ht="20.1" hidden="false" customHeight="true" outlineLevel="0" collapsed="false">
      <c r="A15" s="133"/>
      <c r="B15" s="124" t="s">
        <v>219</v>
      </c>
      <c r="C15" s="124"/>
      <c r="D15" s="180" t="n">
        <f aca="false">(NSG_Requirements!$Y$7+NSG_Requirements!$Z$7+NSG_Requirements!$AA$7)/1000</f>
        <v>0</v>
      </c>
      <c r="E15" s="180" t="n">
        <f aca="false">(NSG_Requirements!$Y$8+NSG_Requirements!$Z$8+NSG_Requirements!$AA$8)/1000</f>
        <v>0</v>
      </c>
      <c r="F15" s="180" t="n">
        <f aca="false">(NSG_Requirements!$Y$9+NSG_Requirements!$Z$9+NSG_Requirements!$AA$9)/1000</f>
        <v>0</v>
      </c>
      <c r="G15" s="180" t="n">
        <f aca="false">(NSG_Requirements!$Y$10+NSG_Requirements!$Z$10+NSG_Requirements!$AA$10)/1000</f>
        <v>0</v>
      </c>
      <c r="H15" s="180" t="n">
        <f aca="false">(NSG_Requirements!$Y$11+NSG_Requirements!$Z$11+NSG_Requirements!$AA$11)/1000</f>
        <v>0</v>
      </c>
      <c r="I15" s="181" t="n">
        <f aca="false">(NSG_Requirements!$Y$12+NSG_Requirements!$Z$12+NSG_Requirements!$AA$12)/1000</f>
        <v>0</v>
      </c>
      <c r="J15" s="117"/>
    </row>
    <row r="16" customFormat="false" ht="20.1" hidden="false" customHeight="true" outlineLevel="0" collapsed="false">
      <c r="A16" s="133"/>
      <c r="B16" s="124" t="s">
        <v>218</v>
      </c>
      <c r="C16" s="138"/>
      <c r="D16" s="180" t="n">
        <f aca="false">(NSG_Requirements!$V$7+NSG_Requirements!$W$7+NSG_Requirements!$X$7)/1000</f>
        <v>0</v>
      </c>
      <c r="E16" s="180" t="n">
        <f aca="false">(NSG_Requirements!$V$8+NSG_Requirements!$W$8+NSG_Requirements!$X$8)/1000</f>
        <v>0</v>
      </c>
      <c r="F16" s="180" t="n">
        <f aca="false">(NSG_Requirements!$V$9+NSG_Requirements!$W$9+NSG_Requirements!$X$9)/1000</f>
        <v>0</v>
      </c>
      <c r="G16" s="180" t="n">
        <f aca="false">(NSG_Requirements!$V$10+NSG_Requirements!$W$10+NSG_Requirements!$X$10)/1000</f>
        <v>0</v>
      </c>
      <c r="H16" s="180" t="n">
        <f aca="false">(NSG_Requirements!$V$11+NSG_Requirements!$W$11+NSG_Requirements!$X$11)/1000</f>
        <v>0</v>
      </c>
      <c r="I16" s="181" t="n">
        <f aca="false">(NSG_Requirements!$V$12+NSG_Requirements!$W$12+NSG_Requirements!$X$12)/1000</f>
        <v>0</v>
      </c>
      <c r="J16" s="117"/>
    </row>
    <row r="17" customFormat="false" ht="20.1" hidden="false" customHeight="true" outlineLevel="0" collapsed="false">
      <c r="A17" s="133"/>
      <c r="B17" s="124" t="s">
        <v>140</v>
      </c>
      <c r="C17" s="124"/>
      <c r="D17" s="180" t="n">
        <f aca="false">(NSG_Requirements!$AB$7+NSG_Requirements!$AC$7+NSG_Requirements!$AD$7+NSG_Requirements!$AE$7)/1000</f>
        <v>0</v>
      </c>
      <c r="E17" s="180" t="n">
        <f aca="false">(NSG_Requirements!$AB$8+NSG_Requirements!$AC$8+NSG_Requirements!$AD$8+NSG_Requirements!$AE$8)/1000</f>
        <v>0</v>
      </c>
      <c r="F17" s="180" t="n">
        <f aca="false">(NSG_Requirements!$AB$9+NSG_Requirements!$AC9+NSG_Requirements!$AD$9+NSG_Requirements!$AE$9)/1000</f>
        <v>0</v>
      </c>
      <c r="G17" s="180" t="n">
        <f aca="false">(NSG_Requirements!$AB$10+NSG_Requirements!$AC$10+NSG_Requirements!$AD$10+NSG_Requirements!$AE$10)/1000</f>
        <v>0</v>
      </c>
      <c r="H17" s="180" t="n">
        <f aca="false">(NSG_Requirements!$Y$11+NSG_Requirements!$Z$11+NSG_Requirements!$AA$11+NSG_Requirements!$AE$11)/1000</f>
        <v>0</v>
      </c>
      <c r="I17" s="181" t="n">
        <f aca="false">(NSG_Requirements!$Y$12+NSG_Requirements!$Z$12+NSG_Requirements!$AA$12+NSG_Requirements!$AE$12)/1000</f>
        <v>0</v>
      </c>
      <c r="J17" s="117"/>
    </row>
    <row r="18" customFormat="false" ht="20.1" hidden="false" customHeight="true" outlineLevel="0" collapsed="false">
      <c r="A18" s="155" t="s">
        <v>249</v>
      </c>
      <c r="B18" s="156" t="s">
        <v>250</v>
      </c>
      <c r="C18" s="156"/>
      <c r="D18" s="182" t="n">
        <f aca="false">NSG_Requirements!B7/1000</f>
        <v>0</v>
      </c>
      <c r="E18" s="182" t="n">
        <f aca="false">NSG_Requirements!B8/1000</f>
        <v>0</v>
      </c>
      <c r="F18" s="182" t="n">
        <f aca="false">NSG_Requirements!B9/1000</f>
        <v>0</v>
      </c>
      <c r="G18" s="182" t="n">
        <f aca="false">NSG_Requirements!B10/1000</f>
        <v>0</v>
      </c>
      <c r="H18" s="182" t="n">
        <f aca="false">NSG_Requirements!B11/1000</f>
        <v>0</v>
      </c>
      <c r="I18" s="183" t="n">
        <f aca="false">NSG_Requirements!B12/1000</f>
        <v>0</v>
      </c>
      <c r="J18" s="175"/>
    </row>
    <row r="19" customFormat="false" ht="20.1" hidden="false" customHeight="true" outlineLevel="0" collapsed="false">
      <c r="A19" s="184" t="s">
        <v>228</v>
      </c>
      <c r="B19" s="165"/>
      <c r="C19" s="165"/>
      <c r="D19" s="185" t="n">
        <f aca="false">SUM(D6:D18)</f>
        <v>121</v>
      </c>
      <c r="E19" s="185" t="n">
        <f aca="false">SUM(E6:E18)</f>
        <v>52</v>
      </c>
      <c r="F19" s="185" t="n">
        <f aca="false">SUM(F6:F18)</f>
        <v>45</v>
      </c>
      <c r="G19" s="185" t="n">
        <f aca="false">SUM(G6:G18)</f>
        <v>39</v>
      </c>
      <c r="H19" s="185" t="n">
        <f aca="false">SUM(H6:H18)</f>
        <v>51</v>
      </c>
      <c r="I19" s="186" t="n">
        <f aca="false">SUM(I6:I18)</f>
        <v>53</v>
      </c>
      <c r="J19" s="175"/>
    </row>
    <row r="20" customFormat="false" ht="20.1" hidden="false" customHeight="true" outlineLevel="0" collapsed="false">
      <c r="A20" s="187"/>
      <c r="B20" s="188"/>
      <c r="C20" s="188"/>
      <c r="D20" s="189"/>
      <c r="E20" s="189"/>
      <c r="F20" s="189"/>
      <c r="G20" s="189"/>
      <c r="H20" s="189"/>
      <c r="I20" s="189"/>
      <c r="J20" s="117"/>
    </row>
    <row r="21" customFormat="false" ht="20.1" hidden="false" customHeight="true" outlineLevel="0" collapsed="false">
      <c r="A21" s="190" t="s">
        <v>229</v>
      </c>
      <c r="B21" s="151"/>
      <c r="C21" s="151"/>
      <c r="D21" s="191"/>
      <c r="E21" s="191"/>
      <c r="F21" s="191"/>
      <c r="G21" s="191"/>
      <c r="H21" s="191"/>
      <c r="I21" s="192"/>
      <c r="J21" s="175"/>
    </row>
    <row r="22" customFormat="false" ht="20.1" hidden="false" customHeight="true" outlineLevel="0" collapsed="false">
      <c r="A22" s="133" t="s">
        <v>251</v>
      </c>
      <c r="B22" s="124" t="s">
        <v>221</v>
      </c>
      <c r="C22" s="124" t="s">
        <v>252</v>
      </c>
      <c r="D22" s="180" t="n">
        <f aca="false">NSG_Supplies!H7/1000</f>
        <v>0</v>
      </c>
      <c r="E22" s="180" t="n">
        <f aca="false">NSG_Supplies!H8/1000</f>
        <v>0</v>
      </c>
      <c r="F22" s="180" t="n">
        <f aca="false">NSG_Supplies!H9/1000</f>
        <v>0</v>
      </c>
      <c r="G22" s="180" t="n">
        <f aca="false">NSG_Supplies!H10/1000</f>
        <v>0</v>
      </c>
      <c r="H22" s="180" t="n">
        <f aca="false">NSG_Supplies!H11/1000</f>
        <v>0</v>
      </c>
      <c r="I22" s="181" t="n">
        <f aca="false">NSG_Supplies!H12/1000</f>
        <v>0</v>
      </c>
      <c r="J22" s="175"/>
    </row>
    <row r="23" customFormat="false" ht="20.1" hidden="false" customHeight="true" outlineLevel="0" collapsed="false">
      <c r="A23" s="133"/>
      <c r="B23" s="124" t="s">
        <v>217</v>
      </c>
      <c r="C23" s="124" t="s">
        <v>253</v>
      </c>
      <c r="D23" s="180" t="n">
        <f aca="false">NSG_Supplies!L7/1000</f>
        <v>15</v>
      </c>
      <c r="E23" s="180" t="n">
        <f aca="false">NSG_Supplies!L8/1000</f>
        <v>0</v>
      </c>
      <c r="F23" s="180" t="n">
        <f aca="false">NSG_Supplies!L9/1000</f>
        <v>0</v>
      </c>
      <c r="G23" s="180" t="n">
        <f aca="false">NSG_Supplies!L10/1000</f>
        <v>0</v>
      </c>
      <c r="H23" s="180" t="n">
        <f aca="false">NSG_Supplies!L11/1000</f>
        <v>0</v>
      </c>
      <c r="I23" s="181" t="n">
        <f aca="false">NSG_Supplies!L12/1000</f>
        <v>0</v>
      </c>
      <c r="J23" s="175"/>
    </row>
    <row r="24" customFormat="false" ht="20.1" hidden="false" customHeight="true" outlineLevel="0" collapsed="false">
      <c r="A24" s="133"/>
      <c r="B24" s="124"/>
      <c r="C24" s="124" t="s">
        <v>254</v>
      </c>
      <c r="D24" s="180" t="n">
        <f aca="false">NSG_Supplies!E7/1000</f>
        <v>0</v>
      </c>
      <c r="E24" s="180" t="n">
        <f aca="false">NSG_Supplies!E8/1000</f>
        <v>0</v>
      </c>
      <c r="F24" s="180" t="n">
        <f aca="false">NSG_Supplies!E9/1000</f>
        <v>0</v>
      </c>
      <c r="G24" s="180" t="n">
        <f aca="false">NSG_Supplies!E10/1000</f>
        <v>0</v>
      </c>
      <c r="H24" s="180" t="n">
        <f aca="false">NSG_Supplies!E11/1000</f>
        <v>0</v>
      </c>
      <c r="I24" s="181" t="n">
        <f aca="false">NSG_Supplies!E12/1000</f>
        <v>0</v>
      </c>
      <c r="J24" s="117"/>
    </row>
    <row r="25" customFormat="false" ht="20.1" hidden="false" customHeight="true" outlineLevel="0" collapsed="false">
      <c r="A25" s="133"/>
      <c r="B25" s="124" t="s">
        <v>219</v>
      </c>
      <c r="C25" s="138" t="s">
        <v>150</v>
      </c>
      <c r="D25" s="180" t="n">
        <f aca="false">NSG_Supplies!F7/1000</f>
        <v>5.54</v>
      </c>
      <c r="E25" s="180" t="n">
        <f aca="false">NSG_Supplies!F8/1000</f>
        <v>0</v>
      </c>
      <c r="F25" s="180" t="n">
        <f aca="false">NSG_Supplies!F9/1000</f>
        <v>0</v>
      </c>
      <c r="G25" s="180" t="n">
        <f aca="false">NSG_Supplies!F10/1000</f>
        <v>0</v>
      </c>
      <c r="H25" s="180" t="n">
        <f aca="false">NSG_Supplies!F11/1000</f>
        <v>0</v>
      </c>
      <c r="I25" s="181" t="n">
        <f aca="false">NSG_Supplies!F12/1000</f>
        <v>0</v>
      </c>
      <c r="J25" s="117"/>
    </row>
    <row r="26" customFormat="false" ht="20.1" hidden="false" customHeight="true" outlineLevel="0" collapsed="false">
      <c r="A26" s="133"/>
      <c r="B26" s="124" t="s">
        <v>125</v>
      </c>
      <c r="C26" s="124" t="s">
        <v>255</v>
      </c>
      <c r="D26" s="180" t="n">
        <f aca="false">NSG_Supplies!U7/1000</f>
        <v>0</v>
      </c>
      <c r="E26" s="180" t="n">
        <f aca="false">NSG_Supplies!U8/1000</f>
        <v>0</v>
      </c>
      <c r="F26" s="180" t="n">
        <f aca="false">NSG_Supplies!U9/1000</f>
        <v>0</v>
      </c>
      <c r="G26" s="180" t="n">
        <f aca="false">NSG_Supplies!U10/1000</f>
        <v>0</v>
      </c>
      <c r="H26" s="180" t="n">
        <f aca="false">NSG_Supplies!U11/1000</f>
        <v>0</v>
      </c>
      <c r="I26" s="181" t="n">
        <f aca="false">NSG_Supplies!U12/1000</f>
        <v>0</v>
      </c>
      <c r="J26" s="117"/>
    </row>
    <row r="27" customFormat="false" ht="20.1" hidden="false" customHeight="true" outlineLevel="0" collapsed="false">
      <c r="A27" s="136" t="s">
        <v>256</v>
      </c>
      <c r="B27" s="138" t="s">
        <v>217</v>
      </c>
      <c r="C27" s="138"/>
      <c r="D27" s="180" t="n">
        <f aca="false">(PGL_Requirements!$V$7+PGL_Requirements!$W$7+PGL_Requirements!$X$7)/1000</f>
        <v>0</v>
      </c>
      <c r="E27" s="180" t="n">
        <f aca="false">(PGL_Requirements!$V$8+PGL_Requirements!$W$8+PGL_Requirements!$X$8)/1000</f>
        <v>0</v>
      </c>
      <c r="F27" s="180" t="n">
        <f aca="false">(PGL_Requirements!$V$9+PGL_Requirements!$W$9+PGL_Requirements!$X$9)/1000</f>
        <v>0</v>
      </c>
      <c r="G27" s="180" t="n">
        <f aca="false">(PGL_Requirements!$V$10+PGL_Requirements!$W$10+PGL_Requirements!$X$10)/1000</f>
        <v>0</v>
      </c>
      <c r="H27" s="180" t="n">
        <f aca="false">(PGL_Requirements!$V$11+PGL_Requirements!$W$11+PGL_Requirements!$X$11)/1000</f>
        <v>0</v>
      </c>
      <c r="I27" s="181" t="n">
        <f aca="false">(PGL_Requirements!$V$12+PGL_Requirements!$W$12+PGL_Requirements!$X$12)/1000</f>
        <v>0</v>
      </c>
      <c r="J27" s="175"/>
    </row>
    <row r="28" customFormat="false" ht="20.1" hidden="false" customHeight="true" outlineLevel="0" collapsed="false">
      <c r="A28" s="133"/>
      <c r="B28" s="138" t="s">
        <v>219</v>
      </c>
      <c r="C28" s="138"/>
      <c r="D28" s="180" t="n">
        <f aca="false">(PGL_Requirements!$Y$7+PGL_Requirements!$AA$7+PGL_Requirements!$Z$7+PGL_Requirements!$AB$7)/1000</f>
        <v>0</v>
      </c>
      <c r="E28" s="180" t="n">
        <f aca="false">(PGL_Requirements!$Y$8+PGL_Requirements!$AA$8+PGL_Requirements!$Z$8+PGL_Requirements!$AB$8)/1000</f>
        <v>0</v>
      </c>
      <c r="F28" s="180" t="n">
        <f aca="false">(PGL_Requirements!$Y$9+PGL_Requirements!$AA$9+PGL_Requirements!$Z$9+PGL_Requirements!$AB$9)/1000</f>
        <v>0</v>
      </c>
      <c r="G28" s="180" t="n">
        <f aca="false">(PGL_Requirements!$Y$10+PGL_Requirements!$AA$10+PGL_Requirements!$Z$10+PGL_Requirements!$AB$10)/1000</f>
        <v>0</v>
      </c>
      <c r="H28" s="180" t="n">
        <f aca="false">(PGL_Requirements!$Y$11+PGL_Requirements!$AA$11+PGL_Requirements!$Z$11+PGL_Requirements!$AB$11)/1000</f>
        <v>0</v>
      </c>
      <c r="I28" s="181" t="n">
        <f aca="false">(PGL_Requirements!$Y$12+PGL_Requirements!$AA$12+PGL_Requirements!$Z$12+PGL_Requirements!$AB$12)/1000</f>
        <v>0</v>
      </c>
      <c r="J28" s="175"/>
    </row>
    <row r="29" customFormat="false" ht="20.1" hidden="false" customHeight="true" outlineLevel="0" collapsed="false">
      <c r="A29" s="133"/>
      <c r="B29" s="138" t="s">
        <v>218</v>
      </c>
      <c r="C29" s="124"/>
      <c r="D29" s="180" t="n">
        <f aca="false">(PGL_Requirements!$AC$7+PGL_Requirements!$AD$7+PGL_Requirements!$AE$7)/1000</f>
        <v>0</v>
      </c>
      <c r="E29" s="180" t="n">
        <f aca="false">(PGL_Requirements!$AC$8+PGL_Requirements!$AD$8+PGL_Requirements!$AE$8)/1000</f>
        <v>0</v>
      </c>
      <c r="F29" s="180" t="n">
        <f aca="false">(PGL_Requirements!$AC$9+PGL_Requirements!$AD$9+PGL_Requirements!$AE$9)/1000</f>
        <v>0</v>
      </c>
      <c r="G29" s="180" t="n">
        <f aca="false">(PGL_Requirements!$AC$10+PGL_Requirements!$AD$10+PGL_Requirements!$AE$10)/1000</f>
        <v>0</v>
      </c>
      <c r="H29" s="180" t="n">
        <f aca="false">(PGL_Requirements!$AC$11+PGL_Requirements!$AD$11+PGL_Requirements!$AE$11)/1000</f>
        <v>0</v>
      </c>
      <c r="I29" s="181" t="n">
        <f aca="false">(PGL_Requirements!$AC$12+PGL_Requirements!$AD$12+PGL_Requirements!$AE$12)/1000</f>
        <v>0</v>
      </c>
      <c r="J29" s="175"/>
    </row>
    <row r="30" customFormat="false" ht="20.1" hidden="false" customHeight="true" outlineLevel="0" collapsed="false">
      <c r="A30" s="133"/>
      <c r="B30" s="124" t="s">
        <v>140</v>
      </c>
      <c r="C30" s="124"/>
      <c r="D30" s="180" t="n">
        <v>0</v>
      </c>
      <c r="E30" s="180" t="n">
        <v>0</v>
      </c>
      <c r="F30" s="180" t="n">
        <v>0</v>
      </c>
      <c r="G30" s="180" t="n">
        <v>0</v>
      </c>
      <c r="H30" s="180" t="n">
        <v>0</v>
      </c>
      <c r="I30" s="181" t="n">
        <v>0</v>
      </c>
      <c r="J30" s="175"/>
    </row>
    <row r="31" customFormat="false" ht="20.1" hidden="false" customHeight="true" outlineLevel="0" collapsed="false">
      <c r="A31" s="133" t="s">
        <v>257</v>
      </c>
      <c r="B31" s="124" t="s">
        <v>217</v>
      </c>
      <c r="C31" s="124" t="s">
        <v>258</v>
      </c>
      <c r="D31" s="180" t="n">
        <f aca="false">NSG_Supplies!P7/1000</f>
        <v>0</v>
      </c>
      <c r="E31" s="180" t="n">
        <f aca="false">NSG_Supplies!P8/1000</f>
        <v>0</v>
      </c>
      <c r="F31" s="180" t="n">
        <f aca="false">NSG_Supplies!P9/1000</f>
        <v>0</v>
      </c>
      <c r="G31" s="180" t="n">
        <f aca="false">NSG_Supplies!P10/1000</f>
        <v>0</v>
      </c>
      <c r="H31" s="180" t="n">
        <f aca="false">NSG_Supplies!P11/1000</f>
        <v>0</v>
      </c>
      <c r="I31" s="181" t="n">
        <f aca="false">NSG_Supplies!P12/1000</f>
        <v>0</v>
      </c>
      <c r="J31" s="175"/>
    </row>
    <row r="32" customFormat="false" ht="20.1" hidden="false" customHeight="true" outlineLevel="0" collapsed="false">
      <c r="A32" s="133"/>
      <c r="B32" s="124" t="s">
        <v>219</v>
      </c>
      <c r="C32" s="193" t="s">
        <v>259</v>
      </c>
      <c r="D32" s="180" t="n">
        <f aca="false">NSG_Supplies!R7/1000</f>
        <v>80.464</v>
      </c>
      <c r="E32" s="180" t="n">
        <f aca="false">NSG_Supplies!R8/1000</f>
        <v>61.203</v>
      </c>
      <c r="F32" s="180" t="n">
        <f aca="false">NSG_Supplies!R9/1000</f>
        <v>61.118</v>
      </c>
      <c r="G32" s="180" t="n">
        <f aca="false">NSG_Supplies!R10/1000</f>
        <v>61.118</v>
      </c>
      <c r="H32" s="180" t="n">
        <f aca="false">NSG_Supplies!R11/1000</f>
        <v>61.118</v>
      </c>
      <c r="I32" s="181" t="n">
        <f aca="false">NSG_Supplies!R12/1000</f>
        <v>61.118</v>
      </c>
      <c r="J32" s="175"/>
    </row>
    <row r="33" customFormat="false" ht="20.1" hidden="false" customHeight="true" outlineLevel="0" collapsed="false">
      <c r="A33" s="133"/>
      <c r="B33" s="124" t="s">
        <v>217</v>
      </c>
      <c r="C33" s="124" t="s">
        <v>260</v>
      </c>
      <c r="D33" s="180" t="n">
        <f aca="false">NSG_Supplies!Q7/1000</f>
        <v>20</v>
      </c>
      <c r="E33" s="180" t="n">
        <f aca="false">NSG_Supplies!Q8/1000</f>
        <v>20</v>
      </c>
      <c r="F33" s="180" t="n">
        <f aca="false">NSG_Supplies!Q9/1000</f>
        <v>20</v>
      </c>
      <c r="G33" s="180" t="n">
        <f aca="false">NSG_Supplies!Q10/1000</f>
        <v>20</v>
      </c>
      <c r="H33" s="180" t="n">
        <f aca="false">NSG_Supplies!Q11/1000</f>
        <v>20</v>
      </c>
      <c r="I33" s="181" t="n">
        <f aca="false">NSG_Supplies!Q12/1000</f>
        <v>20</v>
      </c>
      <c r="J33" s="175"/>
    </row>
    <row r="34" customFormat="false" ht="20.1" hidden="false" customHeight="true" outlineLevel="0" collapsed="false">
      <c r="A34" s="133" t="s">
        <v>242</v>
      </c>
      <c r="B34" s="124" t="s">
        <v>218</v>
      </c>
      <c r="C34" s="124" t="s">
        <v>261</v>
      </c>
      <c r="D34" s="180" t="n">
        <f aca="false">NSG_Supplies!O7/1000</f>
        <v>0</v>
      </c>
      <c r="E34" s="180" t="n">
        <f aca="false">NSG_Supplies!O8/1000</f>
        <v>0</v>
      </c>
      <c r="F34" s="180" t="n">
        <f aca="false">NSG_Supplies!O9/1000</f>
        <v>0</v>
      </c>
      <c r="G34" s="180" t="n">
        <f aca="false">NSG_Supplies!O10/1000</f>
        <v>0</v>
      </c>
      <c r="H34" s="180" t="n">
        <f aca="false">NSG_Supplies!O11/1000</f>
        <v>0</v>
      </c>
      <c r="I34" s="181" t="n">
        <f aca="false">NSG_Supplies!O12/1000</f>
        <v>0</v>
      </c>
      <c r="J34" s="175"/>
    </row>
    <row r="35" customFormat="false" ht="20.1" hidden="false" customHeight="true" outlineLevel="0" collapsed="false">
      <c r="A35" s="133"/>
      <c r="B35" s="124" t="s">
        <v>140</v>
      </c>
      <c r="C35" s="138" t="s">
        <v>262</v>
      </c>
      <c r="D35" s="180" t="n">
        <f aca="false">NSG_Supplies!N7/1000</f>
        <v>0</v>
      </c>
      <c r="E35" s="180" t="n">
        <f aca="false">NSG_Supplies!N8/1000</f>
        <v>0</v>
      </c>
      <c r="F35" s="180" t="n">
        <f aca="false">NSG_Supplies!N9/1000</f>
        <v>0</v>
      </c>
      <c r="G35" s="180" t="n">
        <f aca="false">NSG_Supplies!N10/1000</f>
        <v>0</v>
      </c>
      <c r="H35" s="180" t="n">
        <f aca="false">NSG_Supplies!N11/1000</f>
        <v>0</v>
      </c>
      <c r="I35" s="181" t="n">
        <f aca="false">NSG_Supplies!N12/1000</f>
        <v>0</v>
      </c>
      <c r="J35" s="175"/>
    </row>
    <row r="36" customFormat="false" ht="20.1" hidden="false" customHeight="true" outlineLevel="0" collapsed="false">
      <c r="A36" s="155"/>
      <c r="B36" s="156" t="s">
        <v>250</v>
      </c>
      <c r="C36" s="156"/>
      <c r="D36" s="182" t="n">
        <f aca="false">NSG_Supplies!B7/1000</f>
        <v>0</v>
      </c>
      <c r="E36" s="182" t="n">
        <f aca="false">NSG_Supplies!B8/1000</f>
        <v>0</v>
      </c>
      <c r="F36" s="182" t="n">
        <f aca="false">NSG_Supplies!B9/1000</f>
        <v>0</v>
      </c>
      <c r="G36" s="182" t="n">
        <f aca="false">NSG_Supplies!B10/1000</f>
        <v>0</v>
      </c>
      <c r="H36" s="182" t="n">
        <f aca="false">NSG_Supplies!B11/1000</f>
        <v>0</v>
      </c>
      <c r="I36" s="183" t="n">
        <f aca="false">NSG_Supplies!B12/1000</f>
        <v>0</v>
      </c>
      <c r="J36" s="175"/>
      <c r="K36" s="117"/>
      <c r="L36" s="194"/>
      <c r="M36" s="117"/>
    </row>
    <row r="37" customFormat="false" ht="20.1" hidden="false" customHeight="true" outlineLevel="0" collapsed="false">
      <c r="A37" s="157" t="s">
        <v>242</v>
      </c>
      <c r="B37" s="158"/>
      <c r="C37" s="158"/>
      <c r="D37" s="195" t="n">
        <f aca="false">SUM(D22:D36)</f>
        <v>121.004</v>
      </c>
      <c r="E37" s="195" t="n">
        <f aca="false">SUM(E22:E36)</f>
        <v>81.203</v>
      </c>
      <c r="F37" s="195" t="n">
        <f aca="false">SUM(F22:F36)</f>
        <v>81.118</v>
      </c>
      <c r="G37" s="195" t="n">
        <f aca="false">SUM(G22:G36)</f>
        <v>81.118</v>
      </c>
      <c r="H37" s="195" t="n">
        <f aca="false">SUM(H22:H36)</f>
        <v>81.118</v>
      </c>
      <c r="I37" s="196" t="n">
        <f aca="false">SUM(I22:I36)</f>
        <v>81.118</v>
      </c>
      <c r="J37" s="175"/>
      <c r="K37" s="117"/>
      <c r="L37" s="194"/>
      <c r="M37" s="117"/>
    </row>
    <row r="38" customFormat="false" ht="20.1" hidden="false" customHeight="true" outlineLevel="0" collapsed="false">
      <c r="A38" s="197" t="s">
        <v>243</v>
      </c>
      <c r="B38" s="198"/>
      <c r="C38" s="198"/>
      <c r="D38" s="199" t="n">
        <f aca="false">IF(D37-D19&lt;0,0,D37-D19)</f>
        <v>0.00400000000000489</v>
      </c>
      <c r="E38" s="199" t="n">
        <f aca="false">IF(E37-E19&lt;0,0,E37-E19)</f>
        <v>29.203</v>
      </c>
      <c r="F38" s="199" t="n">
        <f aca="false">IF(F37-F19&lt;0,0,F37-F19)</f>
        <v>36.118</v>
      </c>
      <c r="G38" s="199" t="n">
        <f aca="false">IF(G37-G19&lt;0,0,G37-G19)</f>
        <v>42.118</v>
      </c>
      <c r="H38" s="199" t="n">
        <f aca="false">IF(H37-H19&lt;0,0,H37-H19)</f>
        <v>30.118</v>
      </c>
      <c r="I38" s="200" t="n">
        <f aca="false">IF(I37-I19&lt;0,0,I37-I19)</f>
        <v>28.118</v>
      </c>
      <c r="J38" s="175"/>
      <c r="K38" s="117"/>
      <c r="L38" s="194"/>
      <c r="M38" s="117"/>
    </row>
    <row r="39" customFormat="false" ht="20.1" hidden="false" customHeight="true" outlineLevel="0" collapsed="false">
      <c r="A39" s="201" t="s">
        <v>244</v>
      </c>
      <c r="B39" s="165"/>
      <c r="C39" s="165"/>
      <c r="D39" s="202" t="n">
        <f aca="false">IF(D19-D37&lt;0,0,D19-D37)</f>
        <v>0</v>
      </c>
      <c r="E39" s="202" t="n">
        <f aca="false">IF(E19-E37&lt;0,0,E19-E37)</f>
        <v>0</v>
      </c>
      <c r="F39" s="202" t="n">
        <f aca="false">IF(F19-F37&lt;0,0,F19-F37)</f>
        <v>0</v>
      </c>
      <c r="G39" s="202" t="n">
        <f aca="false">IF(G19-G37&lt;0,0,G19-G37)</f>
        <v>0</v>
      </c>
      <c r="H39" s="202" t="n">
        <f aca="false">IF(H19-H37&lt;0,0,H19-H37)</f>
        <v>0</v>
      </c>
      <c r="I39" s="203" t="n">
        <f aca="false">IF(I19-I37&lt;0,0,I19-I37)</f>
        <v>0</v>
      </c>
      <c r="J39" s="175"/>
      <c r="K39" s="117"/>
      <c r="L39" s="117"/>
      <c r="M39" s="117"/>
    </row>
    <row r="40" customFormat="false" ht="20.1" hidden="false" customHeight="true" outlineLevel="0" collapsed="false">
      <c r="A40" s="204" t="s">
        <v>263</v>
      </c>
      <c r="B40" s="205"/>
      <c r="C40" s="205"/>
      <c r="D40" s="206" t="n">
        <f aca="false">NSG_Supplies!S7/1000</f>
        <v>29.503</v>
      </c>
      <c r="E40" s="206" t="n">
        <f aca="false">NSG_Supplies!S8/1000</f>
        <v>29.503</v>
      </c>
      <c r="F40" s="206" t="n">
        <f aca="false">NSG_Supplies!S9/1000</f>
        <v>29.503</v>
      </c>
      <c r="G40" s="206" t="n">
        <f aca="false">NSG_Supplies!S10/1000</f>
        <v>29.503</v>
      </c>
      <c r="H40" s="206" t="n">
        <f aca="false">NSG_Supplies!S11/1000</f>
        <v>29.503</v>
      </c>
      <c r="I40" s="207" t="n">
        <f aca="false">NSG_Supplies!S12/1000</f>
        <v>29.503</v>
      </c>
    </row>
    <row r="41" customFormat="false" ht="20.1" hidden="false" customHeight="true" outlineLevel="0" collapsed="false">
      <c r="B41" s="31"/>
      <c r="C41" s="31"/>
      <c r="D41" s="31"/>
      <c r="E41" s="31"/>
      <c r="F41" s="31"/>
      <c r="G41" s="208"/>
      <c r="H41" s="208"/>
      <c r="I41" s="208"/>
    </row>
    <row r="42" customFormat="false" ht="20.1" hidden="false" customHeight="true" outlineLevel="0" collapsed="false">
      <c r="A42" s="209" t="s">
        <v>264</v>
      </c>
      <c r="B42" s="210"/>
      <c r="C42" s="210"/>
      <c r="D42" s="211" t="n">
        <f aca="false">Weather_Input!D5</f>
        <v>6</v>
      </c>
      <c r="E42" s="211" t="n">
        <f aca="false">Weather_Input!D6</f>
        <v>14</v>
      </c>
      <c r="F42" s="211" t="n">
        <f aca="false">Weather_Input!D7</f>
        <v>15</v>
      </c>
      <c r="G42" s="212"/>
      <c r="H42" s="208"/>
      <c r="I42" s="208"/>
    </row>
    <row r="43" customFormat="false" ht="15.75" hidden="false" customHeight="false" outlineLevel="0" collapsed="false">
      <c r="D43" s="172" t="s">
        <v>2</v>
      </c>
    </row>
    <row r="44" customFormat="false" ht="15" hidden="false" customHeight="false" outlineLevel="0" collapsed="false">
      <c r="D44" s="172" t="s">
        <v>0</v>
      </c>
    </row>
    <row r="49" customFormat="false" ht="15" hidden="false" customHeight="false" outlineLevel="0" collapsed="false">
      <c r="D49" s="172" t="s">
        <v>0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71"/>
  <sheetViews>
    <sheetView showFormulas="false" showGridLines="true" showRowColHeaders="true" showZeros="true" rightToLeft="false" tabSelected="false" showOutlineSymbols="true" defaultGridColor="true" view="normal" topLeftCell="A22" colorId="64" zoomScale="75" zoomScaleNormal="75" zoomScalePageLayoutView="100" workbookViewId="0">
      <selection pane="topLeft" activeCell="A30" activeCellId="0" sqref="A30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2.77"/>
    <col collapsed="false" customWidth="true" hidden="false" outlineLevel="0" max="9" min="2" style="0" width="10.77"/>
  </cols>
  <sheetData>
    <row r="1" customFormat="false" ht="18.75" hidden="false" customHeight="false" outlineLevel="0" collapsed="false">
      <c r="A1" s="213" t="s">
        <v>2</v>
      </c>
      <c r="B1" s="214"/>
      <c r="C1" s="214"/>
      <c r="D1" s="214"/>
      <c r="E1" s="215" t="s">
        <v>265</v>
      </c>
      <c r="F1" s="216" t="n">
        <f aca="false">Weather_Input!A5</f>
        <v>36999</v>
      </c>
      <c r="G1" s="217" t="str">
        <f aca="false">CHOOSE(WEEKDAY(F1),"SUN","MON","TUE","WED","THU","FRI","SAT")</f>
        <v>WED</v>
      </c>
      <c r="H1" s="218" t="s">
        <v>266</v>
      </c>
      <c r="I1" s="219"/>
    </row>
    <row r="2" customFormat="false" ht="15.75" hidden="false" customHeight="false" outlineLevel="0" collapsed="false">
      <c r="A2" s="220" t="s">
        <v>0</v>
      </c>
      <c r="B2" s="221" t="s">
        <v>267</v>
      </c>
      <c r="C2" s="222" t="n">
        <v>45</v>
      </c>
      <c r="D2" s="223" t="s">
        <v>268</v>
      </c>
      <c r="E2" s="224"/>
      <c r="F2" s="225" t="s">
        <v>269</v>
      </c>
      <c r="G2" s="224" t="s">
        <v>0</v>
      </c>
      <c r="H2" s="225" t="s">
        <v>270</v>
      </c>
      <c r="I2" s="226"/>
    </row>
    <row r="3" customFormat="false" ht="15" hidden="false" customHeight="false" outlineLevel="0" collapsed="false">
      <c r="A3" s="227" t="s">
        <v>271</v>
      </c>
      <c r="B3" s="223" t="s">
        <v>272</v>
      </c>
      <c r="C3" s="228" t="s">
        <v>0</v>
      </c>
      <c r="D3" s="223" t="s">
        <v>18</v>
      </c>
      <c r="E3" s="228" t="s">
        <v>273</v>
      </c>
      <c r="F3" s="223" t="s">
        <v>18</v>
      </c>
      <c r="G3" s="228" t="s">
        <v>273</v>
      </c>
      <c r="H3" s="223" t="s">
        <v>18</v>
      </c>
      <c r="I3" s="226" t="s">
        <v>273</v>
      </c>
    </row>
    <row r="4" customFormat="false" ht="15.75" hidden="false" customHeight="false" outlineLevel="0" collapsed="false">
      <c r="A4" s="220" t="s">
        <v>0</v>
      </c>
      <c r="B4" s="229" t="n">
        <f aca="false">Weather_Input!B5</f>
        <v>54</v>
      </c>
      <c r="C4" s="230" t="n">
        <f aca="false">Weather_Input!C5</f>
        <v>35</v>
      </c>
      <c r="D4" s="231"/>
      <c r="E4" s="231"/>
      <c r="F4" s="232" t="s">
        <v>0</v>
      </c>
      <c r="G4" s="233" t="s">
        <v>0</v>
      </c>
      <c r="H4" s="233"/>
      <c r="I4" s="234"/>
    </row>
    <row r="5" customFormat="false" ht="15.75" hidden="false" customHeight="false" outlineLevel="0" collapsed="false">
      <c r="A5" s="220" t="s">
        <v>274</v>
      </c>
      <c r="B5" s="235"/>
      <c r="C5" s="236" t="n">
        <f aca="false">PGL_Requirements!H7/1000</f>
        <v>0</v>
      </c>
      <c r="D5" s="237"/>
      <c r="E5" s="238"/>
      <c r="F5" s="237"/>
      <c r="G5" s="224"/>
      <c r="H5" s="238"/>
      <c r="I5" s="239"/>
    </row>
    <row r="6" customFormat="false" ht="15.75" hidden="false" customHeight="false" outlineLevel="0" collapsed="false">
      <c r="A6" s="240" t="s">
        <v>275</v>
      </c>
      <c r="B6" s="241" t="s">
        <v>0</v>
      </c>
      <c r="C6" s="242" t="n">
        <f aca="false">PGL_Deliveries!C5/1000</f>
        <v>605</v>
      </c>
      <c r="D6" s="241" t="s">
        <v>0</v>
      </c>
      <c r="E6" s="233"/>
      <c r="F6" s="231"/>
      <c r="G6" s="233"/>
      <c r="H6" s="231"/>
      <c r="I6" s="234"/>
    </row>
    <row r="7" customFormat="false" ht="15.75" hidden="false" customHeight="false" outlineLevel="0" collapsed="false">
      <c r="A7" s="243" t="s">
        <v>276</v>
      </c>
      <c r="B7" s="244"/>
      <c r="C7" s="245" t="n">
        <f aca="false">PGL_Requirements!I7/1000</f>
        <v>0</v>
      </c>
      <c r="D7" s="40"/>
      <c r="E7" s="40"/>
      <c r="F7" s="244"/>
      <c r="G7" s="246"/>
      <c r="H7" s="40"/>
      <c r="I7" s="247"/>
    </row>
    <row r="8" customFormat="false" ht="16.5" hidden="false" customHeight="false" outlineLevel="0" collapsed="false">
      <c r="A8" s="248"/>
      <c r="B8" s="249" t="s">
        <v>0</v>
      </c>
      <c r="C8" s="249" t="s">
        <v>0</v>
      </c>
      <c r="D8" s="250"/>
      <c r="E8" s="250"/>
      <c r="F8" s="250"/>
      <c r="G8" s="250"/>
      <c r="H8" s="250"/>
      <c r="I8" s="251"/>
    </row>
    <row r="9" customFormat="false" ht="15" hidden="false" customHeight="false" outlineLevel="0" collapsed="false">
      <c r="A9" s="252" t="s">
        <v>277</v>
      </c>
      <c r="B9" s="253" t="s">
        <v>0</v>
      </c>
      <c r="C9" s="254" t="n">
        <f aca="false">I53</f>
        <v>0</v>
      </c>
      <c r="D9" s="255"/>
      <c r="E9" s="233"/>
      <c r="F9" s="255"/>
      <c r="G9" s="233"/>
      <c r="H9" s="255"/>
      <c r="I9" s="234" t="s">
        <v>0</v>
      </c>
    </row>
    <row r="10" customFormat="false" ht="15" hidden="false" customHeight="false" outlineLevel="0" collapsed="false">
      <c r="A10" s="243" t="s">
        <v>85</v>
      </c>
      <c r="B10" s="256"/>
      <c r="C10" s="257" t="n">
        <f aca="false">+B34</f>
        <v>212.088</v>
      </c>
      <c r="D10" s="256"/>
      <c r="E10" s="258"/>
      <c r="F10" s="256"/>
      <c r="G10" s="259"/>
      <c r="H10" s="258"/>
      <c r="I10" s="260" t="s">
        <v>0</v>
      </c>
    </row>
    <row r="11" customFormat="false" ht="15" hidden="false" customHeight="false" outlineLevel="0" collapsed="false">
      <c r="A11" s="252" t="s">
        <v>278</v>
      </c>
      <c r="B11" s="261" t="s">
        <v>0</v>
      </c>
      <c r="C11" s="254" t="n">
        <f aca="false">B41</f>
        <v>71.56</v>
      </c>
      <c r="D11" s="231"/>
      <c r="E11" s="254" t="s">
        <v>0</v>
      </c>
      <c r="F11" s="231"/>
      <c r="G11" s="254" t="s">
        <v>0</v>
      </c>
      <c r="H11" s="231"/>
      <c r="I11" s="260" t="s">
        <v>0</v>
      </c>
    </row>
    <row r="12" customFormat="false" ht="15" hidden="false" customHeight="false" outlineLevel="0" collapsed="false">
      <c r="A12" s="252" t="s">
        <v>279</v>
      </c>
      <c r="B12" s="261" t="s">
        <v>0</v>
      </c>
      <c r="C12" s="254" t="n">
        <f aca="false">B55</f>
        <v>-149.64</v>
      </c>
      <c r="D12" s="231"/>
      <c r="E12" s="233"/>
      <c r="F12" s="231"/>
      <c r="G12" s="233" t="s">
        <v>0</v>
      </c>
      <c r="H12" s="231"/>
      <c r="I12" s="234"/>
    </row>
    <row r="13" customFormat="false" ht="15" hidden="false" customHeight="false" outlineLevel="0" collapsed="false">
      <c r="A13" s="252" t="s">
        <v>280</v>
      </c>
      <c r="B13" s="261" t="s">
        <v>0</v>
      </c>
      <c r="C13" s="254" t="n">
        <f aca="false">B47</f>
        <v>0</v>
      </c>
      <c r="D13" s="237"/>
      <c r="E13" s="233"/>
      <c r="F13" s="231"/>
      <c r="G13" s="233" t="s">
        <v>0</v>
      </c>
      <c r="H13" s="231"/>
      <c r="I13" s="234"/>
    </row>
    <row r="14" customFormat="false" ht="15" hidden="false" customHeight="false" outlineLevel="0" collapsed="false">
      <c r="A14" s="252" t="s">
        <v>281</v>
      </c>
      <c r="B14" s="262" t="s">
        <v>0</v>
      </c>
      <c r="C14" s="254" t="n">
        <f aca="false">I60</f>
        <v>370.314</v>
      </c>
      <c r="D14" s="231"/>
      <c r="E14" s="233"/>
      <c r="F14" s="231"/>
      <c r="G14" s="233" t="s">
        <v>0</v>
      </c>
      <c r="H14" s="231"/>
      <c r="I14" s="234"/>
    </row>
    <row r="15" customFormat="false" ht="15" hidden="false" customHeight="false" outlineLevel="0" collapsed="false">
      <c r="A15" s="252" t="s">
        <v>282</v>
      </c>
      <c r="B15" s="261" t="s">
        <v>0</v>
      </c>
      <c r="C15" s="263" t="n">
        <f aca="false">PGL_Supplies!I7/1000</f>
        <v>10</v>
      </c>
      <c r="D15" s="231" t="s">
        <v>0</v>
      </c>
      <c r="E15" s="233"/>
      <c r="F15" s="231"/>
      <c r="G15" s="233" t="s">
        <v>0</v>
      </c>
      <c r="H15" s="231"/>
      <c r="I15" s="234"/>
    </row>
    <row r="16" customFormat="false" ht="15" hidden="false" customHeight="false" outlineLevel="0" collapsed="false">
      <c r="A16" s="252" t="s">
        <v>283</v>
      </c>
      <c r="B16" s="261" t="s">
        <v>2</v>
      </c>
      <c r="C16" s="254" t="n">
        <f aca="false">+B63</f>
        <v>0</v>
      </c>
      <c r="D16" s="231"/>
      <c r="E16" s="233"/>
      <c r="F16" s="231"/>
      <c r="G16" s="233" t="s">
        <v>0</v>
      </c>
      <c r="H16" s="231"/>
      <c r="I16" s="234"/>
    </row>
    <row r="17" customFormat="false" ht="15" hidden="false" customHeight="true" outlineLevel="0" collapsed="false">
      <c r="A17" s="252" t="s">
        <v>284</v>
      </c>
      <c r="B17" s="261" t="s">
        <v>2</v>
      </c>
      <c r="C17" s="263" t="n">
        <f aca="false">PGL_Supplies!B7/1000</f>
        <v>0</v>
      </c>
      <c r="D17" s="237"/>
      <c r="E17" s="233"/>
      <c r="F17" s="231"/>
      <c r="G17" s="233" t="s">
        <v>0</v>
      </c>
      <c r="H17" s="231"/>
      <c r="I17" s="234"/>
    </row>
    <row r="18" customFormat="false" ht="15.75" hidden="false" customHeight="false" outlineLevel="0" collapsed="false">
      <c r="A18" s="252" t="s">
        <v>285</v>
      </c>
      <c r="B18" s="264" t="s">
        <v>0</v>
      </c>
      <c r="C18" s="245" t="n">
        <f aca="false">PGL_Requirements!G7/1000</f>
        <v>0</v>
      </c>
      <c r="D18" s="223"/>
      <c r="E18" s="233"/>
      <c r="F18" s="231"/>
      <c r="G18" s="233"/>
      <c r="H18" s="231"/>
      <c r="I18" s="234"/>
    </row>
    <row r="19" customFormat="false" ht="16.5" hidden="false" customHeight="false" outlineLevel="0" collapsed="false">
      <c r="A19" s="265" t="s">
        <v>286</v>
      </c>
      <c r="B19" s="266" t="s">
        <v>0</v>
      </c>
      <c r="C19" s="267" t="n">
        <f aca="false">SUM(C9:C17)-C18</f>
        <v>514.322</v>
      </c>
      <c r="D19" s="268" t="s">
        <v>0</v>
      </c>
      <c r="E19" s="269" t="s">
        <v>0</v>
      </c>
      <c r="F19" s="268" t="s">
        <v>0</v>
      </c>
      <c r="G19" s="267" t="s">
        <v>0</v>
      </c>
      <c r="H19" s="268" t="s">
        <v>0</v>
      </c>
      <c r="I19" s="270"/>
    </row>
    <row r="20" customFormat="false" ht="16.5" hidden="false" customHeight="false" outlineLevel="0" collapsed="false">
      <c r="A20" s="271" t="s">
        <v>44</v>
      </c>
      <c r="B20" s="272" t="s">
        <v>0</v>
      </c>
      <c r="C20" s="273"/>
      <c r="D20" s="274"/>
      <c r="E20" s="275"/>
      <c r="F20" s="274"/>
      <c r="G20" s="274" t="s">
        <v>287</v>
      </c>
      <c r="H20" s="274"/>
      <c r="I20" s="251"/>
    </row>
    <row r="21" customFormat="false" ht="15" hidden="false" customHeight="false" outlineLevel="0" collapsed="false">
      <c r="A21" s="252" t="s">
        <v>288</v>
      </c>
      <c r="B21" s="261" t="s">
        <v>0</v>
      </c>
      <c r="C21" s="276" t="n">
        <f aca="false">-PGL_Supplies!J7/1000</f>
        <v>-0</v>
      </c>
      <c r="D21" s="277"/>
      <c r="E21" s="233"/>
      <c r="F21" s="277"/>
      <c r="G21" s="233"/>
      <c r="H21" s="277"/>
      <c r="I21" s="226"/>
    </row>
    <row r="22" customFormat="false" ht="15" hidden="false" customHeight="false" outlineLevel="0" collapsed="false">
      <c r="A22" s="252" t="s">
        <v>289</v>
      </c>
      <c r="B22" s="261" t="s">
        <v>0</v>
      </c>
      <c r="C22" s="254" t="n">
        <f aca="false">C6+C7-C19</f>
        <v>90.678</v>
      </c>
      <c r="D22" s="277"/>
      <c r="E22" s="233"/>
      <c r="F22" s="277"/>
      <c r="G22" s="254" t="s">
        <v>0</v>
      </c>
      <c r="H22" s="277"/>
      <c r="I22" s="239"/>
    </row>
    <row r="23" customFormat="false" ht="18" hidden="false" customHeight="true" outlineLevel="0" collapsed="false">
      <c r="A23" s="278" t="s">
        <v>290</v>
      </c>
      <c r="B23" s="261" t="s">
        <v>0</v>
      </c>
      <c r="C23" s="254"/>
      <c r="D23" s="277"/>
      <c r="E23" s="233"/>
      <c r="F23" s="279" t="s">
        <v>0</v>
      </c>
      <c r="G23" s="280"/>
      <c r="H23" s="279" t="s">
        <v>0</v>
      </c>
      <c r="I23" s="226"/>
    </row>
    <row r="24" customFormat="false" ht="16.5" hidden="false" customHeight="false" outlineLevel="0" collapsed="false">
      <c r="A24" s="252" t="s">
        <v>291</v>
      </c>
      <c r="B24" s="281" t="s">
        <v>0</v>
      </c>
      <c r="C24" s="282" t="n">
        <f aca="false">SUM(B54+B56+B57)</f>
        <v>2.25</v>
      </c>
      <c r="D24" s="228"/>
      <c r="E24" s="283"/>
      <c r="F24" s="284"/>
      <c r="G24" s="283"/>
      <c r="H24" s="285" t="s">
        <v>0</v>
      </c>
      <c r="I24" s="286" t="s">
        <v>0</v>
      </c>
      <c r="K24" s="0" t="s">
        <v>0</v>
      </c>
    </row>
    <row r="25" customFormat="false" ht="17.25" hidden="false" customHeight="false" outlineLevel="0" collapsed="false">
      <c r="A25" s="287" t="s">
        <v>292</v>
      </c>
      <c r="B25" s="288" t="s">
        <v>0</v>
      </c>
      <c r="C25" s="289" t="n">
        <f aca="false">SUM(C22:C24)</f>
        <v>92.928</v>
      </c>
      <c r="D25" s="288" t="str">
        <f aca="false">B25</f>
        <v> </v>
      </c>
      <c r="E25" s="289" t="s">
        <v>0</v>
      </c>
      <c r="F25" s="288" t="s">
        <v>0</v>
      </c>
      <c r="G25" s="289" t="s">
        <v>0</v>
      </c>
      <c r="H25" s="290" t="s">
        <v>0</v>
      </c>
      <c r="I25" s="291" t="s">
        <v>0</v>
      </c>
    </row>
    <row r="26" customFormat="false" ht="15.75" hidden="false" customHeight="false" outlineLevel="0" collapsed="false">
      <c r="A26" s="292" t="s">
        <v>293</v>
      </c>
      <c r="B26" s="293"/>
      <c r="C26" s="276" t="n">
        <f aca="false">SUM(-PGL_Supplies!M7/1000)</f>
        <v>0</v>
      </c>
      <c r="D26" s="294" t="s">
        <v>0</v>
      </c>
      <c r="E26" s="295" t="s">
        <v>0</v>
      </c>
      <c r="F26" s="296"/>
      <c r="G26" s="297"/>
      <c r="H26" s="298"/>
      <c r="I26" s="299"/>
    </row>
    <row r="27" customFormat="false" ht="15" hidden="false" customHeight="true" outlineLevel="0" collapsed="false">
      <c r="A27" s="252" t="s">
        <v>294</v>
      </c>
      <c r="B27" s="300"/>
      <c r="C27" s="301" t="n">
        <f aca="false">PGL_Requirements!O7/1000</f>
        <v>0</v>
      </c>
      <c r="D27" s="302" t="s">
        <v>0</v>
      </c>
      <c r="E27" s="236" t="s">
        <v>0</v>
      </c>
      <c r="F27" s="303"/>
      <c r="G27" s="236" t="s">
        <v>0</v>
      </c>
      <c r="H27" s="298"/>
      <c r="I27" s="304" t="s">
        <v>0</v>
      </c>
      <c r="L27" s="40"/>
    </row>
    <row r="28" customFormat="false" ht="15" hidden="false" customHeight="false" outlineLevel="0" collapsed="false">
      <c r="A28" s="252" t="s">
        <v>295</v>
      </c>
      <c r="B28" s="305"/>
      <c r="C28" s="306" t="n">
        <f aca="false">-PGL_Supplies!L7/1000</f>
        <v>-11.08</v>
      </c>
      <c r="D28" s="307" t="s">
        <v>0</v>
      </c>
      <c r="E28" s="306" t="s">
        <v>0</v>
      </c>
      <c r="F28" s="303"/>
      <c r="G28" s="306" t="s">
        <v>0</v>
      </c>
      <c r="H28" s="298"/>
      <c r="I28" s="308" t="s">
        <v>0</v>
      </c>
      <c r="L28" s="309"/>
    </row>
    <row r="29" customFormat="false" ht="15" hidden="false" customHeight="false" outlineLevel="0" collapsed="false">
      <c r="A29" s="292" t="s">
        <v>296</v>
      </c>
      <c r="B29" s="310"/>
      <c r="C29" s="306" t="n">
        <f aca="false">-PGL_Supplies!AC7/1000</f>
        <v>-81.846</v>
      </c>
      <c r="D29" s="307" t="s">
        <v>0</v>
      </c>
      <c r="E29" s="306" t="n">
        <f aca="false">-PGL_Supplies!AC7/1000</f>
        <v>-81.846</v>
      </c>
      <c r="F29" s="303"/>
      <c r="G29" s="306" t="n">
        <f aca="false">-PGL_Supplies!AC7/1000</f>
        <v>-81.846</v>
      </c>
      <c r="H29" s="298"/>
      <c r="I29" s="299" t="n">
        <f aca="false">-PGL_Supplies!AC7/1000</f>
        <v>-81.846</v>
      </c>
      <c r="L29" s="309"/>
    </row>
    <row r="30" customFormat="false" ht="16.5" hidden="false" customHeight="false" outlineLevel="0" collapsed="false">
      <c r="A30" s="311" t="s">
        <v>0</v>
      </c>
      <c r="B30" s="312" t="s">
        <v>0</v>
      </c>
      <c r="C30" s="313" t="s">
        <v>85</v>
      </c>
      <c r="D30" s="314"/>
      <c r="E30" s="315"/>
      <c r="F30" s="316" t="s">
        <v>297</v>
      </c>
      <c r="G30" s="316"/>
      <c r="H30" s="316"/>
      <c r="I30" s="316"/>
      <c r="L30" s="317"/>
    </row>
    <row r="31" customFormat="false" ht="15" hidden="false" customHeight="false" outlineLevel="0" collapsed="false">
      <c r="A31" s="292" t="s">
        <v>298</v>
      </c>
      <c r="B31" s="318" t="n">
        <f aca="false">PGL_Requirements!J7/1000</f>
        <v>0</v>
      </c>
      <c r="C31" s="319"/>
      <c r="D31" s="320"/>
      <c r="E31" s="319"/>
      <c r="F31" s="292" t="s">
        <v>299</v>
      </c>
      <c r="G31" s="321"/>
      <c r="H31" s="322"/>
      <c r="I31" s="323"/>
      <c r="L31" s="309"/>
    </row>
    <row r="32" customFormat="false" ht="15" hidden="false" customHeight="false" outlineLevel="0" collapsed="false">
      <c r="A32" s="292" t="s">
        <v>300</v>
      </c>
      <c r="B32" s="318" t="n">
        <f aca="false">PGL_Supplies!X7/1000</f>
        <v>5</v>
      </c>
      <c r="C32" s="324" t="s">
        <v>0</v>
      </c>
      <c r="D32" s="325"/>
      <c r="E32" s="326"/>
      <c r="F32" s="292" t="s">
        <v>301</v>
      </c>
      <c r="G32" s="321"/>
      <c r="H32" s="327"/>
      <c r="I32" s="323"/>
      <c r="L32" s="317"/>
    </row>
    <row r="33" customFormat="false" ht="15.75" hidden="false" customHeight="false" outlineLevel="0" collapsed="false">
      <c r="A33" s="328" t="s">
        <v>302</v>
      </c>
      <c r="B33" s="318" t="n">
        <f aca="false">PGL_Supplies!Y7/1000</f>
        <v>207.088</v>
      </c>
      <c r="C33" s="329" t="s">
        <v>0</v>
      </c>
      <c r="D33" s="330"/>
      <c r="E33" s="331"/>
      <c r="F33" s="292" t="s">
        <v>303</v>
      </c>
      <c r="G33" s="321"/>
      <c r="H33" s="327"/>
      <c r="I33" s="323"/>
      <c r="L33" s="309"/>
    </row>
    <row r="34" customFormat="false" ht="16.5" hidden="false" customHeight="false" outlineLevel="0" collapsed="false">
      <c r="A34" s="332" t="s">
        <v>304</v>
      </c>
      <c r="B34" s="333" t="n">
        <f aca="false">+B33+B32-B31</f>
        <v>212.088</v>
      </c>
      <c r="C34" s="334" t="s">
        <v>0</v>
      </c>
      <c r="D34" s="335"/>
      <c r="E34" s="336"/>
      <c r="F34" s="292" t="s">
        <v>305</v>
      </c>
      <c r="G34" s="321"/>
      <c r="H34" s="327"/>
      <c r="I34" s="323"/>
      <c r="L34" s="309"/>
    </row>
    <row r="35" customFormat="false" ht="16.5" hidden="false" customHeight="false" outlineLevel="0" collapsed="false">
      <c r="A35" s="311" t="s">
        <v>0</v>
      </c>
      <c r="B35" s="337" t="s">
        <v>0</v>
      </c>
      <c r="C35" s="338" t="s">
        <v>86</v>
      </c>
      <c r="D35" s="339"/>
      <c r="E35" s="340"/>
      <c r="F35" s="292" t="s">
        <v>306</v>
      </c>
      <c r="G35" s="321"/>
      <c r="H35" s="327"/>
      <c r="I35" s="341" t="s">
        <v>307</v>
      </c>
      <c r="L35" s="309"/>
    </row>
    <row r="36" customFormat="false" ht="15" hidden="false" customHeight="false" outlineLevel="0" collapsed="false">
      <c r="A36" s="292" t="s">
        <v>308</v>
      </c>
      <c r="B36" s="318" t="n">
        <f aca="false">PGL_Requirements!U7/1000</f>
        <v>0</v>
      </c>
      <c r="C36" s="317"/>
      <c r="D36" s="325"/>
      <c r="E36" s="326"/>
      <c r="F36" s="342" t="s">
        <v>309</v>
      </c>
      <c r="G36" s="321"/>
      <c r="H36" s="327"/>
      <c r="I36" s="343"/>
      <c r="L36" s="309"/>
    </row>
    <row r="37" customFormat="false" ht="15" hidden="false" customHeight="false" outlineLevel="0" collapsed="false">
      <c r="A37" s="292" t="s">
        <v>310</v>
      </c>
      <c r="B37" s="318" t="n">
        <f aca="false">PGL_Supplies!R7/1000</f>
        <v>0</v>
      </c>
      <c r="C37" s="325"/>
      <c r="D37" s="325"/>
      <c r="E37" s="326"/>
      <c r="F37" s="292" t="s">
        <v>311</v>
      </c>
      <c r="G37" s="321"/>
      <c r="H37" s="327"/>
      <c r="I37" s="323"/>
      <c r="L37" s="309"/>
    </row>
    <row r="38" customFormat="false" ht="15" hidden="false" customHeight="false" outlineLevel="0" collapsed="false">
      <c r="A38" s="292" t="s">
        <v>312</v>
      </c>
      <c r="B38" s="318" t="n">
        <f aca="false">PGL_Requirements!C7/1000</f>
        <v>0</v>
      </c>
      <c r="C38" s="256"/>
      <c r="D38" s="344"/>
      <c r="E38" s="345"/>
      <c r="F38" s="292" t="s">
        <v>313</v>
      </c>
      <c r="G38" s="321"/>
      <c r="H38" s="327"/>
      <c r="I38" s="323"/>
      <c r="L38" s="309"/>
    </row>
    <row r="39" customFormat="false" ht="15" hidden="false" customHeight="false" outlineLevel="0" collapsed="false">
      <c r="A39" s="292" t="s">
        <v>314</v>
      </c>
      <c r="B39" s="318" t="n">
        <f aca="false">PGL_Supplies!C7/1000</f>
        <v>30.4</v>
      </c>
      <c r="C39" s="256"/>
      <c r="D39" s="344"/>
      <c r="E39" s="346"/>
      <c r="F39" s="347" t="s">
        <v>315</v>
      </c>
      <c r="G39" s="40"/>
      <c r="H39" s="348"/>
      <c r="I39" s="323"/>
      <c r="L39" s="309"/>
    </row>
    <row r="40" customFormat="false" ht="15.75" hidden="false" customHeight="false" outlineLevel="0" collapsed="false">
      <c r="A40" s="349" t="s">
        <v>316</v>
      </c>
      <c r="B40" s="318" t="n">
        <f aca="false">PGL_Supplies!Z7/1000</f>
        <v>41.16</v>
      </c>
      <c r="C40" s="40"/>
      <c r="D40" s="350"/>
      <c r="E40" s="40"/>
      <c r="F40" s="351" t="s">
        <v>317</v>
      </c>
      <c r="G40" s="321"/>
      <c r="H40" s="352"/>
      <c r="I40" s="323"/>
      <c r="L40" s="317"/>
    </row>
    <row r="41" customFormat="false" ht="16.5" hidden="false" customHeight="false" outlineLevel="0" collapsed="false">
      <c r="A41" s="332" t="s">
        <v>304</v>
      </c>
      <c r="B41" s="353" t="n">
        <f aca="false">B40+B37-B36-B38+B39</f>
        <v>71.56</v>
      </c>
      <c r="C41" s="335"/>
      <c r="D41" s="335"/>
      <c r="E41" s="336"/>
      <c r="F41" s="292" t="s">
        <v>318</v>
      </c>
      <c r="G41" s="321"/>
      <c r="H41" s="354"/>
      <c r="I41" s="323"/>
      <c r="L41" s="317"/>
    </row>
    <row r="42" customFormat="false" ht="16.5" hidden="false" customHeight="false" outlineLevel="0" collapsed="false">
      <c r="A42" s="355" t="s">
        <v>0</v>
      </c>
      <c r="B42" s="356" t="s">
        <v>0</v>
      </c>
      <c r="C42" s="338" t="s">
        <v>87</v>
      </c>
      <c r="D42" s="357"/>
      <c r="E42" s="358" t="s">
        <v>0</v>
      </c>
      <c r="F42" s="292" t="s">
        <v>319</v>
      </c>
      <c r="G42" s="321"/>
      <c r="H42" s="327"/>
      <c r="I42" s="323"/>
    </row>
    <row r="43" customFormat="false" ht="15" hidden="false" customHeight="false" outlineLevel="0" collapsed="false">
      <c r="A43" s="292" t="s">
        <v>320</v>
      </c>
      <c r="B43" s="318" t="n">
        <f aca="false">NSG_Supplies!O7/1000+PGL_Supplies!AA7/1000</f>
        <v>0</v>
      </c>
      <c r="C43" s="354"/>
      <c r="D43" s="325"/>
      <c r="E43" s="359"/>
      <c r="F43" s="292" t="s">
        <v>51</v>
      </c>
      <c r="G43" s="321"/>
      <c r="H43" s="354"/>
      <c r="I43" s="323"/>
    </row>
    <row r="44" customFormat="false" ht="15" hidden="false" customHeight="false" outlineLevel="0" collapsed="false">
      <c r="A44" s="360" t="s">
        <v>321</v>
      </c>
      <c r="B44" s="318" t="n">
        <v>0</v>
      </c>
      <c r="C44" s="317"/>
      <c r="D44" s="325"/>
      <c r="E44" s="359"/>
      <c r="F44" s="342" t="s">
        <v>322</v>
      </c>
      <c r="G44" s="361"/>
      <c r="H44" s="362"/>
      <c r="I44" s="323"/>
    </row>
    <row r="45" customFormat="false" ht="15.75" hidden="false" customHeight="false" outlineLevel="0" collapsed="false">
      <c r="A45" s="292" t="s">
        <v>323</v>
      </c>
      <c r="B45" s="363" t="n">
        <f aca="false">PGL_Requirements!D7/1000</f>
        <v>0</v>
      </c>
      <c r="C45" s="354"/>
      <c r="D45" s="325"/>
      <c r="E45" s="359"/>
      <c r="F45" s="342" t="s">
        <v>324</v>
      </c>
      <c r="G45" s="361"/>
      <c r="H45" s="364"/>
      <c r="I45" s="323"/>
    </row>
    <row r="46" customFormat="false" ht="16.5" hidden="false" customHeight="false" outlineLevel="0" collapsed="false">
      <c r="A46" s="292" t="s">
        <v>325</v>
      </c>
      <c r="B46" s="318" t="n">
        <f aca="false">PGL_Supplies!D7/1000</f>
        <v>0</v>
      </c>
      <c r="C46" s="354"/>
      <c r="D46" s="325"/>
      <c r="E46" s="359"/>
      <c r="F46" s="365" t="s">
        <v>326</v>
      </c>
      <c r="G46" s="366"/>
      <c r="H46" s="367"/>
      <c r="I46" s="323"/>
    </row>
    <row r="47" customFormat="false" ht="16.5" hidden="false" customHeight="false" outlineLevel="0" collapsed="false">
      <c r="A47" s="332" t="s">
        <v>304</v>
      </c>
      <c r="B47" s="368" t="n">
        <f aca="false">B43+B44-B45+B46</f>
        <v>0</v>
      </c>
      <c r="C47" s="369"/>
      <c r="D47" s="335"/>
      <c r="E47" s="370"/>
      <c r="F47" s="371" t="s">
        <v>0</v>
      </c>
      <c r="G47" s="372" t="s">
        <v>327</v>
      </c>
      <c r="H47" s="373" t="s">
        <v>0</v>
      </c>
      <c r="I47" s="373"/>
    </row>
    <row r="48" customFormat="false" ht="16.5" hidden="false" customHeight="false" outlineLevel="0" collapsed="false">
      <c r="A48" s="355" t="s">
        <v>0</v>
      </c>
      <c r="B48" s="338" t="s">
        <v>0</v>
      </c>
      <c r="C48" s="338" t="s">
        <v>75</v>
      </c>
      <c r="D48" s="357"/>
      <c r="E48" s="357"/>
      <c r="F48" s="374" t="s">
        <v>290</v>
      </c>
      <c r="G48" s="375"/>
      <c r="H48" s="376" t="s">
        <v>0</v>
      </c>
      <c r="I48" s="377" t="s">
        <v>0</v>
      </c>
    </row>
    <row r="49" customFormat="false" ht="15" hidden="false" customHeight="false" outlineLevel="0" collapsed="false">
      <c r="A49" s="292" t="s">
        <v>93</v>
      </c>
      <c r="B49" s="318" t="n">
        <f aca="false">PGL_Requirements!P7/1000</f>
        <v>150</v>
      </c>
      <c r="C49" s="325"/>
      <c r="D49" s="325"/>
      <c r="E49" s="325"/>
      <c r="F49" s="378" t="s">
        <v>328</v>
      </c>
      <c r="G49" s="325"/>
      <c r="H49" s="379" t="s">
        <v>0</v>
      </c>
      <c r="I49" s="377" t="s">
        <v>0</v>
      </c>
    </row>
    <row r="50" customFormat="false" ht="15.75" hidden="false" customHeight="false" outlineLevel="0" collapsed="false">
      <c r="A50" s="292" t="s">
        <v>329</v>
      </c>
      <c r="B50" s="318" t="n">
        <f aca="false">PGL_Supplies!M7/1000</f>
        <v>0</v>
      </c>
      <c r="C50" s="325"/>
      <c r="D50" s="325"/>
      <c r="E50" s="325"/>
      <c r="F50" s="380" t="s">
        <v>330</v>
      </c>
      <c r="G50" s="381"/>
      <c r="H50" s="382" t="s">
        <v>0</v>
      </c>
      <c r="I50" s="383"/>
    </row>
    <row r="51" customFormat="false" ht="15.75" hidden="false" customHeight="false" outlineLevel="0" collapsed="false">
      <c r="A51" s="292" t="s">
        <v>331</v>
      </c>
      <c r="B51" s="318" t="n">
        <f aca="false">SUM(PGL_Requirements!B7/1000)</f>
        <v>0</v>
      </c>
      <c r="C51" s="325"/>
      <c r="D51" s="325"/>
      <c r="E51" s="325"/>
      <c r="F51" s="384" t="s">
        <v>332</v>
      </c>
      <c r="G51" s="335"/>
      <c r="H51" s="353" t="s">
        <v>0</v>
      </c>
      <c r="I51" s="385" t="s">
        <v>0</v>
      </c>
    </row>
    <row r="52" customFormat="false" ht="16.5" hidden="false" customHeight="false" outlineLevel="0" collapsed="false">
      <c r="A52" s="292" t="s">
        <v>333</v>
      </c>
      <c r="B52" s="318" t="n">
        <f aca="false">PGL_Supplies!H7/1000</f>
        <v>1</v>
      </c>
      <c r="C52" s="325"/>
      <c r="D52" s="325"/>
      <c r="E52" s="325"/>
      <c r="F52" s="386" t="s">
        <v>334</v>
      </c>
      <c r="G52" s="386"/>
      <c r="H52" s="386"/>
      <c r="I52" s="386"/>
    </row>
    <row r="53" customFormat="false" ht="15" hidden="false" customHeight="false" outlineLevel="0" collapsed="false">
      <c r="A53" s="342" t="s">
        <v>335</v>
      </c>
      <c r="B53" s="318" t="n">
        <f aca="false">PGL_Requirements!R7/1000</f>
        <v>0.64</v>
      </c>
      <c r="C53" s="325"/>
      <c r="D53" s="325"/>
      <c r="E53" s="325"/>
      <c r="F53" s="387" t="s">
        <v>336</v>
      </c>
      <c r="G53" s="388"/>
      <c r="H53" s="389" t="s">
        <v>0</v>
      </c>
      <c r="I53" s="390" t="n">
        <f aca="false">+PGL_Supplies!K7/1000</f>
        <v>0</v>
      </c>
    </row>
    <row r="54" customFormat="false" ht="16.5" hidden="false" customHeight="false" outlineLevel="0" collapsed="false">
      <c r="A54" s="292" t="s">
        <v>337</v>
      </c>
      <c r="B54" s="318" t="n">
        <f aca="false">PGL_Requirements!Q7/1000</f>
        <v>2.25</v>
      </c>
      <c r="C54" s="330"/>
      <c r="D54" s="330"/>
      <c r="E54" s="330"/>
      <c r="F54" s="386" t="s">
        <v>338</v>
      </c>
      <c r="G54" s="386"/>
      <c r="H54" s="386"/>
      <c r="I54" s="386"/>
    </row>
    <row r="55" customFormat="false" ht="16.5" hidden="false" customHeight="false" outlineLevel="0" collapsed="false">
      <c r="A55" s="332" t="s">
        <v>332</v>
      </c>
      <c r="B55" s="391" t="n">
        <f aca="false">-B49+B50+B52+B56+B57-B53-B51</f>
        <v>-149.64</v>
      </c>
      <c r="C55" s="392"/>
      <c r="D55" s="392"/>
      <c r="E55" s="336"/>
      <c r="F55" s="351" t="s">
        <v>339</v>
      </c>
      <c r="G55" s="393"/>
      <c r="H55" s="394"/>
      <c r="I55" s="395" t="n">
        <f aca="false">PGL_Requirements!E7/1000</f>
        <v>0</v>
      </c>
    </row>
    <row r="56" customFormat="false" ht="15" hidden="false" customHeight="false" outlineLevel="0" collapsed="false">
      <c r="A56" s="292" t="s">
        <v>340</v>
      </c>
      <c r="B56" s="318" t="n">
        <v>0</v>
      </c>
      <c r="C56" s="322"/>
      <c r="D56" s="322"/>
      <c r="E56" s="396"/>
      <c r="F56" s="342" t="s">
        <v>341</v>
      </c>
      <c r="G56" s="321"/>
      <c r="H56" s="397" t="n">
        <f aca="false">PGL_Supplies!E7/1000</f>
        <v>3.8</v>
      </c>
      <c r="I56" s="398" t="s">
        <v>0</v>
      </c>
    </row>
    <row r="57" customFormat="false" ht="15.75" hidden="false" customHeight="false" outlineLevel="0" collapsed="false">
      <c r="A57" s="292" t="s">
        <v>342</v>
      </c>
      <c r="B57" s="399" t="n">
        <v>0</v>
      </c>
      <c r="C57" s="400"/>
      <c r="D57" s="400"/>
      <c r="E57" s="401"/>
      <c r="F57" s="292" t="s">
        <v>159</v>
      </c>
      <c r="G57" s="402"/>
      <c r="H57" s="397" t="n">
        <f aca="false">PGL_Supplies!AB7/1000+NSG_Supplies!N7/1000</f>
        <v>366.514</v>
      </c>
      <c r="I57" s="398" t="s">
        <v>0</v>
      </c>
    </row>
    <row r="58" customFormat="false" ht="16.5" hidden="false" customHeight="false" outlineLevel="0" collapsed="false">
      <c r="A58" s="403" t="s">
        <v>0</v>
      </c>
      <c r="B58" s="404"/>
      <c r="C58" s="249" t="s">
        <v>43</v>
      </c>
      <c r="D58" s="405"/>
      <c r="E58" s="406"/>
      <c r="F58" s="40" t="s">
        <v>343</v>
      </c>
      <c r="G58" s="40"/>
      <c r="H58" s="397" t="n">
        <f aca="false">PGL_Supplies!T7/1000</f>
        <v>0</v>
      </c>
      <c r="I58" s="345"/>
    </row>
    <row r="59" customFormat="false" ht="15.75" hidden="false" customHeight="false" outlineLevel="0" collapsed="false">
      <c r="A59" s="292" t="s">
        <v>344</v>
      </c>
      <c r="B59" s="318" t="n">
        <f aca="false">PGL_Supplies!Q7/1000</f>
        <v>0</v>
      </c>
      <c r="C59" s="407" t="s">
        <v>0</v>
      </c>
      <c r="D59" s="325"/>
      <c r="E59" s="408"/>
      <c r="F59" s="40" t="s">
        <v>345</v>
      </c>
      <c r="G59" s="40"/>
      <c r="H59" s="409"/>
      <c r="I59" s="410" t="n">
        <f aca="false">PGL_Requirements!H7/1000</f>
        <v>0</v>
      </c>
    </row>
    <row r="60" customFormat="false" ht="16.5" hidden="false" customHeight="false" outlineLevel="0" collapsed="false">
      <c r="A60" s="292" t="s">
        <v>346</v>
      </c>
      <c r="B60" s="379" t="n">
        <f aca="false">PGL_Requirements!F7/1000</f>
        <v>0</v>
      </c>
      <c r="C60" s="407" t="s">
        <v>0</v>
      </c>
      <c r="D60" s="325"/>
      <c r="E60" s="408"/>
      <c r="F60" s="365" t="s">
        <v>347</v>
      </c>
      <c r="G60" s="411"/>
      <c r="H60" s="411"/>
      <c r="I60" s="412" t="n">
        <f aca="false">SUM(H55:H59)-SUM(I55:I59)</f>
        <v>370.314</v>
      </c>
    </row>
    <row r="61" customFormat="false" ht="15" hidden="false" customHeight="false" outlineLevel="0" collapsed="false">
      <c r="A61" s="292" t="s">
        <v>348</v>
      </c>
      <c r="B61" s="318" t="n">
        <f aca="false">PGL_Supplies!G7/1000</f>
        <v>0</v>
      </c>
      <c r="C61" s="318"/>
      <c r="D61" s="325"/>
      <c r="E61" s="327"/>
      <c r="F61" s="413" t="s">
        <v>349</v>
      </c>
      <c r="G61" s="414"/>
      <c r="H61" s="415"/>
      <c r="I61" s="416" t="n">
        <v>0</v>
      </c>
    </row>
    <row r="62" customFormat="false" ht="15.75" hidden="false" customHeight="false" outlineLevel="0" collapsed="false">
      <c r="A62" s="292" t="s">
        <v>159</v>
      </c>
      <c r="B62" s="417" t="n">
        <f aca="false">PGL_Supplies!AD7/1000</f>
        <v>0</v>
      </c>
      <c r="C62" s="418" t="s">
        <v>0</v>
      </c>
      <c r="D62" s="330"/>
      <c r="E62" s="419"/>
      <c r="F62" s="420" t="s">
        <v>350</v>
      </c>
      <c r="G62" s="317"/>
      <c r="H62" s="421" t="s">
        <v>0</v>
      </c>
      <c r="I62" s="422" t="n">
        <f aca="false">H57-I59-I61</f>
        <v>366.514</v>
      </c>
    </row>
    <row r="63" customFormat="false" ht="16.5" hidden="false" customHeight="false" outlineLevel="0" collapsed="false">
      <c r="A63" s="423" t="s">
        <v>351</v>
      </c>
      <c r="B63" s="424" t="n">
        <f aca="false">+B62+B61-B60+B59</f>
        <v>0</v>
      </c>
      <c r="C63" s="368" t="s">
        <v>0</v>
      </c>
      <c r="D63" s="335"/>
      <c r="E63" s="336"/>
      <c r="F63" s="425" t="s">
        <v>352</v>
      </c>
      <c r="G63" s="426"/>
      <c r="H63" s="256"/>
      <c r="I63" s="427" t="n">
        <f aca="false">PGL_Requirements!H7/1000</f>
        <v>0</v>
      </c>
    </row>
    <row r="64" customFormat="false" ht="15.75" hidden="false" customHeight="false" outlineLevel="0" collapsed="false">
      <c r="A64" s="387" t="s">
        <v>353</v>
      </c>
      <c r="B64" s="428"/>
      <c r="C64" s="429" t="s">
        <v>0</v>
      </c>
      <c r="D64" s="429" t="s">
        <v>0</v>
      </c>
      <c r="E64" s="430" t="s">
        <v>0</v>
      </c>
      <c r="F64" s="431" t="s">
        <v>354</v>
      </c>
      <c r="G64" s="258"/>
      <c r="H64" s="344"/>
      <c r="I64" s="345"/>
    </row>
    <row r="65" customFormat="false" ht="15.75" hidden="false" customHeight="false" outlineLevel="0" collapsed="false">
      <c r="A65" s="342" t="s">
        <v>355</v>
      </c>
      <c r="B65" s="432"/>
      <c r="C65" s="433" t="s">
        <v>0</v>
      </c>
      <c r="D65" s="433" t="s">
        <v>0</v>
      </c>
      <c r="E65" s="434" t="s">
        <v>0</v>
      </c>
      <c r="F65" s="435" t="s">
        <v>356</v>
      </c>
      <c r="H65" s="436"/>
      <c r="I65" s="437"/>
    </row>
    <row r="66" customFormat="false" ht="16.5" hidden="false" customHeight="false" outlineLevel="0" collapsed="false">
      <c r="A66" s="438" t="s">
        <v>357</v>
      </c>
      <c r="B66" s="439"/>
      <c r="C66" s="440" t="s">
        <v>0</v>
      </c>
      <c r="D66" s="440" t="s">
        <v>0</v>
      </c>
      <c r="E66" s="441" t="s">
        <v>0</v>
      </c>
      <c r="F66" s="386" t="s">
        <v>358</v>
      </c>
      <c r="G66" s="386"/>
      <c r="H66" s="386"/>
      <c r="I66" s="386"/>
    </row>
    <row r="67" customFormat="false" ht="16.5" hidden="false" customHeight="false" outlineLevel="0" collapsed="false">
      <c r="A67" s="442" t="s">
        <v>359</v>
      </c>
      <c r="B67" s="443" t="s">
        <v>0</v>
      </c>
      <c r="C67" s="444" t="s">
        <v>0</v>
      </c>
      <c r="D67" s="444" t="s">
        <v>0</v>
      </c>
      <c r="E67" s="445" t="s">
        <v>0</v>
      </c>
      <c r="F67" s="446" t="s">
        <v>360</v>
      </c>
      <c r="G67" s="375" t="s">
        <v>0</v>
      </c>
      <c r="H67" s="447" t="s">
        <v>0</v>
      </c>
      <c r="I67" s="448" t="s">
        <v>0</v>
      </c>
    </row>
    <row r="68" customFormat="false" ht="16.5" hidden="false" customHeight="false" outlineLevel="0" collapsed="false">
      <c r="A68" s="449" t="s">
        <v>361</v>
      </c>
      <c r="B68" s="450"/>
      <c r="C68" s="40"/>
      <c r="D68" s="450"/>
      <c r="E68" s="40"/>
      <c r="F68" s="378" t="s">
        <v>362</v>
      </c>
      <c r="G68" s="325"/>
      <c r="H68" s="394"/>
      <c r="I68" s="451"/>
    </row>
    <row r="69" customFormat="false" ht="16.5" hidden="false" customHeight="false" outlineLevel="0" collapsed="false">
      <c r="A69" s="332" t="s">
        <v>363</v>
      </c>
      <c r="B69" s="452" t="s">
        <v>0</v>
      </c>
      <c r="C69" s="453" t="s">
        <v>0</v>
      </c>
      <c r="D69" s="453" t="s">
        <v>0</v>
      </c>
      <c r="E69" s="453" t="s">
        <v>0</v>
      </c>
      <c r="F69" s="292"/>
      <c r="G69" s="352"/>
      <c r="H69" s="317"/>
      <c r="I69" s="454"/>
    </row>
    <row r="70" customFormat="false" ht="16.5" hidden="false" customHeight="false" outlineLevel="0" collapsed="false">
      <c r="A70" s="455" t="s">
        <v>364</v>
      </c>
      <c r="B70" s="456" t="s">
        <v>0</v>
      </c>
      <c r="C70" s="457" t="s">
        <v>0</v>
      </c>
      <c r="D70" s="457" t="s">
        <v>0</v>
      </c>
      <c r="E70" s="458" t="s">
        <v>0</v>
      </c>
      <c r="F70" s="459" t="s">
        <v>365</v>
      </c>
      <c r="G70" s="460"/>
      <c r="H70" s="461" t="s">
        <v>366</v>
      </c>
      <c r="I70" s="462" t="s">
        <v>0</v>
      </c>
    </row>
    <row r="71" customFormat="false" ht="15.75" hidden="false" customHeight="false" outlineLevel="0" collapsed="false"/>
  </sheetData>
  <mergeCells count="5">
    <mergeCell ref="F30:I30"/>
    <mergeCell ref="H47:I47"/>
    <mergeCell ref="F52:I52"/>
    <mergeCell ref="F54:I54"/>
    <mergeCell ref="F66:I66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6" min="2" style="0" width="10.77"/>
    <col collapsed="false" customWidth="true" hidden="false" outlineLevel="0" max="7" min="7" style="0" width="10.88"/>
    <col collapsed="false" customWidth="true" hidden="false" outlineLevel="0" max="9" min="8" style="0" width="10.77"/>
  </cols>
  <sheetData>
    <row r="1" customFormat="false" ht="21" hidden="false" customHeight="false" outlineLevel="0" collapsed="false">
      <c r="A1" s="463" t="s">
        <v>0</v>
      </c>
      <c r="B1" s="464"/>
      <c r="C1" s="464" t="s">
        <v>0</v>
      </c>
      <c r="D1" s="465"/>
      <c r="E1" s="217" t="s">
        <v>265</v>
      </c>
      <c r="F1" s="217" t="str">
        <f aca="false">CHOOSE(WEEKDAY(G1),"SUN","MON","TUE","WED","THU","FRI","SAT")</f>
        <v>WED</v>
      </c>
      <c r="G1" s="466" t="n">
        <f aca="false">Weather_Input!A5</f>
        <v>36999</v>
      </c>
      <c r="H1" s="215" t="s">
        <v>266</v>
      </c>
      <c r="I1" s="219"/>
    </row>
    <row r="2" customFormat="false" ht="20.25" hidden="false" customHeight="false" outlineLevel="0" collapsed="false">
      <c r="A2" s="467" t="s">
        <v>0</v>
      </c>
      <c r="B2" s="468" t="s">
        <v>367</v>
      </c>
      <c r="C2" s="469" t="n">
        <v>45</v>
      </c>
      <c r="D2" s="38" t="s">
        <v>268</v>
      </c>
      <c r="E2" s="470"/>
      <c r="F2" s="38" t="s">
        <v>269</v>
      </c>
      <c r="G2" s="470"/>
      <c r="H2" s="471" t="s">
        <v>368</v>
      </c>
      <c r="I2" s="472"/>
    </row>
    <row r="3" customFormat="false" ht="20.25" hidden="false" customHeight="false" outlineLevel="0" collapsed="false">
      <c r="A3" s="473" t="s">
        <v>369</v>
      </c>
      <c r="B3" s="474" t="s">
        <v>18</v>
      </c>
      <c r="C3" s="475"/>
      <c r="D3" s="476" t="s">
        <v>18</v>
      </c>
      <c r="E3" s="475" t="s">
        <v>19</v>
      </c>
      <c r="F3" s="476" t="s">
        <v>18</v>
      </c>
      <c r="G3" s="476" t="s">
        <v>19</v>
      </c>
      <c r="H3" s="474" t="s">
        <v>18</v>
      </c>
      <c r="I3" s="477" t="s">
        <v>19</v>
      </c>
    </row>
    <row r="4" customFormat="false" ht="21" hidden="false" customHeight="false" outlineLevel="0" collapsed="false">
      <c r="A4" s="478"/>
      <c r="B4" s="479" t="n">
        <f aca="false">Weather_Input!B5</f>
        <v>54</v>
      </c>
      <c r="C4" s="480" t="n">
        <f aca="false">Weather_Input!C5</f>
        <v>35</v>
      </c>
      <c r="D4" s="481"/>
      <c r="E4" s="482"/>
      <c r="F4" s="481"/>
      <c r="G4" s="482"/>
      <c r="H4" s="483"/>
      <c r="I4" s="484"/>
    </row>
    <row r="5" customFormat="false" ht="24" hidden="false" customHeight="false" outlineLevel="0" collapsed="false">
      <c r="A5" s="485" t="s">
        <v>213</v>
      </c>
      <c r="B5" s="486"/>
      <c r="C5" s="487" t="n">
        <f aca="false">NSG_Deliveries!C5/1000</f>
        <v>101</v>
      </c>
      <c r="D5" s="486"/>
      <c r="E5" s="488"/>
      <c r="F5" s="486"/>
      <c r="G5" s="488" t="s">
        <v>0</v>
      </c>
      <c r="H5" s="486"/>
      <c r="I5" s="489"/>
    </row>
    <row r="6" customFormat="false" ht="12" hidden="false" customHeight="true" outlineLevel="0" collapsed="false">
      <c r="A6" s="490" t="s">
        <v>0</v>
      </c>
      <c r="B6" s="491"/>
      <c r="C6" s="492"/>
      <c r="D6" s="493"/>
      <c r="E6" s="492"/>
      <c r="F6" s="493"/>
      <c r="G6" s="493"/>
      <c r="H6" s="491"/>
      <c r="I6" s="494"/>
    </row>
    <row r="7" customFormat="false" ht="24" hidden="false" customHeight="false" outlineLevel="0" collapsed="false">
      <c r="A7" s="495" t="s">
        <v>129</v>
      </c>
      <c r="B7" s="486"/>
      <c r="C7" s="496" t="n">
        <f aca="false">C5-C9-C11-C12</f>
        <v>86</v>
      </c>
      <c r="D7" s="497"/>
      <c r="E7" s="488"/>
      <c r="F7" s="497"/>
      <c r="G7" s="497" t="s">
        <v>0</v>
      </c>
      <c r="H7" s="486"/>
      <c r="I7" s="489"/>
    </row>
    <row r="8" customFormat="false" ht="12" hidden="false" customHeight="true" outlineLevel="0" collapsed="false">
      <c r="A8" s="490"/>
      <c r="B8" s="498"/>
      <c r="C8" s="492"/>
      <c r="D8" s="493"/>
      <c r="E8" s="492"/>
      <c r="F8" s="493"/>
      <c r="G8" s="493"/>
      <c r="H8" s="491"/>
      <c r="I8" s="494"/>
    </row>
    <row r="9" customFormat="false" ht="21" hidden="false" customHeight="true" outlineLevel="0" collapsed="false">
      <c r="A9" s="499" t="s">
        <v>370</v>
      </c>
      <c r="B9" s="500"/>
      <c r="C9" s="501" t="n">
        <f aca="false">B46</f>
        <v>0</v>
      </c>
      <c r="D9" s="502"/>
      <c r="E9" s="503"/>
      <c r="F9" s="502"/>
      <c r="G9" s="502"/>
      <c r="H9" s="500"/>
      <c r="I9" s="504"/>
    </row>
    <row r="10" customFormat="false" ht="12" hidden="false" customHeight="true" outlineLevel="0" collapsed="false">
      <c r="A10" s="505"/>
      <c r="B10" s="498"/>
      <c r="C10" s="492"/>
      <c r="D10" s="506"/>
      <c r="E10" s="507"/>
      <c r="F10" s="506"/>
      <c r="G10" s="506"/>
      <c r="H10" s="498"/>
      <c r="I10" s="508"/>
    </row>
    <row r="11" customFormat="false" ht="23.25" hidden="false" customHeight="false" outlineLevel="0" collapsed="false">
      <c r="A11" s="509" t="s">
        <v>371</v>
      </c>
      <c r="B11" s="510"/>
      <c r="C11" s="511" t="n">
        <f aca="false">B38</f>
        <v>15</v>
      </c>
      <c r="D11" s="502"/>
      <c r="E11" s="503"/>
      <c r="F11" s="502"/>
      <c r="G11" s="502" t="s">
        <v>0</v>
      </c>
      <c r="H11" s="500"/>
      <c r="I11" s="504"/>
    </row>
    <row r="12" customFormat="false" ht="23.25" hidden="false" customHeight="false" outlineLevel="0" collapsed="false">
      <c r="A12" s="512" t="s">
        <v>372</v>
      </c>
      <c r="B12" s="513"/>
      <c r="C12" s="514" t="n">
        <v>0</v>
      </c>
      <c r="D12" s="515"/>
      <c r="E12" s="516"/>
      <c r="F12" s="515"/>
      <c r="G12" s="515"/>
      <c r="H12" s="513"/>
      <c r="I12" s="517"/>
    </row>
    <row r="13" customFormat="false" ht="21" hidden="false" customHeight="false" outlineLevel="0" collapsed="false">
      <c r="A13" s="518" t="s">
        <v>147</v>
      </c>
      <c r="B13" s="519"/>
      <c r="C13" s="520"/>
      <c r="D13" s="515"/>
      <c r="E13" s="516"/>
      <c r="F13" s="515"/>
      <c r="G13" s="515"/>
      <c r="H13" s="513"/>
      <c r="I13" s="517"/>
    </row>
    <row r="14" customFormat="false" ht="21" hidden="false" customHeight="false" outlineLevel="0" collapsed="false">
      <c r="A14" s="518" t="s">
        <v>166</v>
      </c>
      <c r="B14" s="521"/>
      <c r="C14" s="522"/>
      <c r="D14" s="521"/>
      <c r="E14" s="522"/>
      <c r="F14" s="521"/>
      <c r="G14" s="521"/>
      <c r="H14" s="523"/>
      <c r="I14" s="524"/>
    </row>
    <row r="15" customFormat="false" ht="24" hidden="false" customHeight="false" outlineLevel="0" collapsed="false">
      <c r="A15" s="525" t="s">
        <v>373</v>
      </c>
      <c r="B15" s="526"/>
      <c r="C15" s="496" t="n">
        <v>0</v>
      </c>
      <c r="D15" s="527"/>
      <c r="E15" s="528"/>
      <c r="F15" s="527"/>
      <c r="G15" s="527" t="s">
        <v>0</v>
      </c>
      <c r="H15" s="526"/>
      <c r="I15" s="529"/>
    </row>
    <row r="16" customFormat="false" ht="21" hidden="false" customHeight="false" outlineLevel="0" collapsed="false">
      <c r="A16" s="530" t="s">
        <v>0</v>
      </c>
      <c r="B16" s="491"/>
      <c r="C16" s="492"/>
      <c r="D16" s="493"/>
      <c r="E16" s="492"/>
      <c r="F16" s="493"/>
      <c r="G16" s="493"/>
      <c r="H16" s="491"/>
      <c r="I16" s="494"/>
    </row>
    <row r="17" customFormat="false" ht="24" hidden="false" customHeight="false" outlineLevel="0" collapsed="false">
      <c r="A17" s="531" t="s">
        <v>374</v>
      </c>
      <c r="B17" s="532"/>
      <c r="C17" s="533" t="s">
        <v>0</v>
      </c>
      <c r="D17" s="534"/>
      <c r="E17" s="535"/>
      <c r="F17" s="534"/>
      <c r="G17" s="534"/>
      <c r="H17" s="532"/>
      <c r="I17" s="536"/>
    </row>
    <row r="18" customFormat="false" ht="21" hidden="false" customHeight="false" outlineLevel="0" collapsed="false">
      <c r="A18" s="537" t="s">
        <v>375</v>
      </c>
      <c r="B18" s="491"/>
      <c r="C18" s="492" t="s">
        <v>0</v>
      </c>
      <c r="D18" s="493"/>
      <c r="E18" s="492"/>
      <c r="F18" s="493"/>
      <c r="G18" s="274" t="s">
        <v>287</v>
      </c>
      <c r="H18" s="491"/>
      <c r="I18" s="538"/>
    </row>
    <row r="19" customFormat="false" ht="24" hidden="false" customHeight="false" outlineLevel="0" collapsed="false">
      <c r="A19" s="539" t="s">
        <v>292</v>
      </c>
      <c r="B19" s="540"/>
      <c r="C19" s="541" t="n">
        <f aca="false">C7+C12</f>
        <v>86</v>
      </c>
      <c r="D19" s="542"/>
      <c r="E19" s="543"/>
      <c r="F19" s="542"/>
      <c r="G19" s="542" t="s">
        <v>0</v>
      </c>
      <c r="H19" s="540"/>
      <c r="I19" s="544"/>
    </row>
    <row r="20" customFormat="false" ht="20.25" hidden="false" customHeight="false" outlineLevel="0" collapsed="false">
      <c r="A20" s="545" t="s">
        <v>376</v>
      </c>
      <c r="B20" s="546"/>
      <c r="C20" s="547" t="n">
        <f aca="false">NSG_Requirements!C7/1000</f>
        <v>0</v>
      </c>
      <c r="D20" s="548"/>
      <c r="E20" s="547" t="n">
        <f aca="false">NSG_Requirements!C7/1000</f>
        <v>0</v>
      </c>
      <c r="F20" s="548"/>
      <c r="G20" s="547" t="n">
        <f aca="false">NSG_Requirements!C7/1000</f>
        <v>0</v>
      </c>
      <c r="H20" s="546"/>
      <c r="I20" s="549" t="n">
        <f aca="false">NSG_Requirements!C7/1000</f>
        <v>0</v>
      </c>
    </row>
    <row r="21" customFormat="false" ht="20.25" hidden="false" customHeight="false" outlineLevel="0" collapsed="false">
      <c r="A21" s="550" t="s">
        <v>377</v>
      </c>
      <c r="B21" s="551"/>
      <c r="C21" s="547" t="n">
        <f aca="false">NSG_Requirements!R7/1000</f>
        <v>0</v>
      </c>
      <c r="D21" s="552"/>
      <c r="E21" s="547" t="n">
        <f aca="false">NSG_Requirements!R7/1000</f>
        <v>0</v>
      </c>
      <c r="F21" s="552"/>
      <c r="G21" s="547" t="n">
        <f aca="false">NSG_Requirements!R7/1000</f>
        <v>0</v>
      </c>
      <c r="H21" s="551"/>
      <c r="I21" s="553" t="n">
        <f aca="false">NSG_Requirements!R7/1000</f>
        <v>0</v>
      </c>
    </row>
    <row r="22" customFormat="false" ht="20.25" hidden="false" customHeight="false" outlineLevel="0" collapsed="false">
      <c r="A22" s="550" t="s">
        <v>378</v>
      </c>
      <c r="B22" s="554"/>
      <c r="C22" s="547" t="n">
        <f aca="false">NSG_Supplies!K7/1000</f>
        <v>0</v>
      </c>
      <c r="D22" s="555"/>
      <c r="E22" s="547" t="n">
        <f aca="false">NSG_Supplies!K7/1000</f>
        <v>0</v>
      </c>
      <c r="F22" s="555"/>
      <c r="G22" s="547" t="n">
        <f aca="false">NSG_Supplies!K7/1000</f>
        <v>0</v>
      </c>
      <c r="H22" s="554"/>
      <c r="I22" s="556" t="n">
        <f aca="false">NSG_Supplies!K7/1000</f>
        <v>0</v>
      </c>
    </row>
    <row r="23" customFormat="false" ht="20.25" hidden="false" customHeight="false" outlineLevel="0" collapsed="false">
      <c r="A23" s="545" t="s">
        <v>379</v>
      </c>
      <c r="B23" s="554"/>
      <c r="C23" s="557" t="n">
        <f aca="false">-(PGL_Requirements!$Y$7+PGL_Requirements!$Z$7+PGL_Requirements!$AA$7+PGL_Requirements!$AB$7)/1000+(NSG_Requirements!$Y$7+NSG_Requirements!$Z$7+NSG_Requirements!$AA$7)/1000</f>
        <v>0</v>
      </c>
      <c r="D23" s="558"/>
      <c r="E23" s="557" t="n">
        <f aca="false">-(PGL_Requirements!$Y$7+PGL_Requirements!$Z$7+PGL_Requirements!$AA$7+PGL_Requirements!$AB$7)/1000+(NSG_Requirements!$Y$7+NSG_Requirements!$Z$7+NSG_Requirements!$AA$7)/1000</f>
        <v>0</v>
      </c>
      <c r="F23" s="558"/>
      <c r="G23" s="557" t="n">
        <f aca="false">-(PGL_Requirements!$Y$7+PGL_Requirements!$Z$7+PGL_Requirements!$AA$7+PGL_Requirements!$AB$7)/1000+(NSG_Requirements!$Y$7+NSG_Requirements!$Z$7+NSG_Requirements!$AA$7)/1000</f>
        <v>0</v>
      </c>
      <c r="H23" s="551"/>
      <c r="I23" s="559" t="n">
        <f aca="false">-(PGL_Requirements!$Y$7+PGL_Requirements!$Z$7+PGL_Requirements!$AA$7+PGL_Requirements!$AB$7)/1000+(NSG_Requirements!$Y$7+NSG_Requirements!$Z$7+NSG_Requirements!$AA$7)/1000</f>
        <v>0</v>
      </c>
    </row>
    <row r="24" customFormat="false" ht="20.25" hidden="false" customHeight="false" outlineLevel="0" collapsed="false">
      <c r="A24" s="545" t="s">
        <v>294</v>
      </c>
      <c r="B24" s="554"/>
      <c r="C24" s="547" t="n">
        <f aca="false">NSG_Requirements!H7/1000</f>
        <v>0</v>
      </c>
      <c r="D24" s="555"/>
      <c r="E24" s="547" t="s">
        <v>0</v>
      </c>
      <c r="F24" s="555"/>
      <c r="G24" s="547" t="s">
        <v>0</v>
      </c>
      <c r="H24" s="554"/>
      <c r="I24" s="547" t="s">
        <v>0</v>
      </c>
    </row>
    <row r="25" customFormat="false" ht="20.25" hidden="false" customHeight="false" outlineLevel="0" collapsed="false">
      <c r="A25" s="545" t="s">
        <v>295</v>
      </c>
      <c r="B25" s="551"/>
      <c r="C25" s="547" t="n">
        <f aca="false">-NSG_Supplies!F7/1000</f>
        <v>-5.54</v>
      </c>
      <c r="D25" s="552"/>
      <c r="E25" s="547" t="s">
        <v>0</v>
      </c>
      <c r="F25" s="552"/>
      <c r="G25" s="547" t="s">
        <v>0</v>
      </c>
      <c r="H25" s="551"/>
      <c r="I25" s="547" t="s">
        <v>0</v>
      </c>
    </row>
    <row r="26" customFormat="false" ht="20.25" hidden="false" customHeight="false" outlineLevel="0" collapsed="false">
      <c r="A26" s="545" t="s">
        <v>296</v>
      </c>
      <c r="B26" s="554"/>
      <c r="C26" s="547" t="n">
        <f aca="false">-NSG_Supplies!R7/1000</f>
        <v>-80.464</v>
      </c>
      <c r="D26" s="555"/>
      <c r="E26" s="547" t="n">
        <f aca="false">-NSG_Supplies!R7/1000</f>
        <v>-80.464</v>
      </c>
      <c r="F26" s="555"/>
      <c r="G26" s="547" t="n">
        <f aca="false">-NSG_Supplies!R7/1000</f>
        <v>-80.464</v>
      </c>
      <c r="H26" s="554"/>
      <c r="I26" s="556" t="n">
        <f aca="false">-NSG_Supplies!R7/1000</f>
        <v>-80.464</v>
      </c>
    </row>
    <row r="27" customFormat="false" ht="20.25" hidden="false" customHeight="false" outlineLevel="0" collapsed="false">
      <c r="A27" s="545" t="s">
        <v>380</v>
      </c>
      <c r="B27" s="554"/>
      <c r="C27" s="547" t="n">
        <v>0</v>
      </c>
      <c r="D27" s="555"/>
      <c r="E27" s="547" t="n">
        <v>0</v>
      </c>
      <c r="F27" s="555"/>
      <c r="G27" s="547" t="n">
        <v>0</v>
      </c>
      <c r="H27" s="554"/>
      <c r="I27" s="556" t="n">
        <v>0</v>
      </c>
    </row>
    <row r="28" customFormat="false" ht="21" hidden="false" customHeight="false" outlineLevel="0" collapsed="false">
      <c r="A28" s="560" t="s">
        <v>381</v>
      </c>
      <c r="B28" s="561"/>
      <c r="C28" s="547" t="n">
        <f aca="false">-NSG_Supplies!H7/1000+NSG_Requirements!L7/1000</f>
        <v>0</v>
      </c>
      <c r="D28" s="552"/>
      <c r="E28" s="547" t="n">
        <f aca="false">-NSG_Supplies!H7/1000+NSG_Requirements!L7/1000</f>
        <v>0</v>
      </c>
      <c r="F28" s="552"/>
      <c r="G28" s="547" t="n">
        <f aca="false">-NSG_Supplies!H7/1000+NSG_Requirements!L7/1000</f>
        <v>0</v>
      </c>
      <c r="H28" s="561"/>
      <c r="I28" s="562" t="n">
        <f aca="false">-NSG_Supplies!H7/1000+NSG_Requirements!L7/1000</f>
        <v>0</v>
      </c>
    </row>
    <row r="29" customFormat="false" ht="24" hidden="false" customHeight="false" outlineLevel="0" collapsed="false">
      <c r="A29" s="563"/>
      <c r="B29" s="564"/>
      <c r="C29" s="565" t="s">
        <v>371</v>
      </c>
      <c r="D29" s="564"/>
      <c r="E29" s="566"/>
      <c r="F29" s="564"/>
      <c r="G29" s="567" t="s">
        <v>0</v>
      </c>
      <c r="H29" s="564"/>
      <c r="I29" s="568"/>
    </row>
    <row r="30" customFormat="false" ht="20.25" hidden="false" customHeight="false" outlineLevel="0" collapsed="false">
      <c r="A30" s="569" t="s">
        <v>382</v>
      </c>
      <c r="B30" s="570" t="n">
        <f aca="false">NSG_Requirements!O7/1000</f>
        <v>0</v>
      </c>
      <c r="C30" s="571" t="s">
        <v>0</v>
      </c>
      <c r="D30" s="572"/>
      <c r="E30" s="573"/>
      <c r="F30" s="574" t="s">
        <v>383</v>
      </c>
      <c r="G30" s="575"/>
      <c r="H30" s="575"/>
      <c r="I30" s="576"/>
    </row>
    <row r="31" customFormat="false" ht="20.25" hidden="false" customHeight="false" outlineLevel="0" collapsed="false">
      <c r="A31" s="577" t="s">
        <v>384</v>
      </c>
      <c r="B31" s="578" t="n">
        <f aca="false">NSG_Supplies!L7/1000+PGL_Requirements!V7/1000</f>
        <v>15</v>
      </c>
      <c r="C31" s="555"/>
      <c r="D31" s="579"/>
      <c r="E31" s="580"/>
      <c r="F31" s="558"/>
      <c r="G31" s="552"/>
      <c r="H31" s="552"/>
      <c r="I31" s="576"/>
    </row>
    <row r="32" customFormat="false" ht="20.25" hidden="false" customHeight="false" outlineLevel="0" collapsed="false">
      <c r="A32" s="577" t="s">
        <v>385</v>
      </c>
      <c r="B32" s="578" t="n">
        <f aca="false">NSG_Supplies!M7/1000</f>
        <v>0</v>
      </c>
      <c r="C32" s="552"/>
      <c r="D32" s="581"/>
      <c r="E32" s="582"/>
      <c r="F32" s="558"/>
      <c r="G32" s="552"/>
      <c r="H32" s="552"/>
      <c r="I32" s="576"/>
    </row>
    <row r="33" customFormat="false" ht="20.25" hidden="false" customHeight="false" outlineLevel="0" collapsed="false">
      <c r="A33" s="569" t="s">
        <v>386</v>
      </c>
      <c r="B33" s="583" t="n">
        <f aca="false">(NSG_Requirements!S7+NSG_Requirements!T7+NSG_Requirements!U7)/1000</f>
        <v>0</v>
      </c>
      <c r="C33" s="555"/>
      <c r="D33" s="579"/>
      <c r="E33" s="580"/>
      <c r="F33" s="558"/>
      <c r="G33" s="552"/>
      <c r="H33" s="552"/>
      <c r="I33" s="576"/>
    </row>
    <row r="34" customFormat="false" ht="20.25" hidden="false" customHeight="false" outlineLevel="0" collapsed="false">
      <c r="A34" s="569" t="s">
        <v>134</v>
      </c>
      <c r="B34" s="578" t="n">
        <f aca="false">NSG_Requirements!D7/1000</f>
        <v>0</v>
      </c>
      <c r="C34" s="555"/>
      <c r="D34" s="579"/>
      <c r="E34" s="580"/>
      <c r="F34" s="558"/>
      <c r="G34" s="552"/>
      <c r="H34" s="552"/>
      <c r="I34" s="576"/>
    </row>
    <row r="35" customFormat="false" ht="20.25" hidden="false" customHeight="false" outlineLevel="0" collapsed="false">
      <c r="A35" s="577" t="s">
        <v>387</v>
      </c>
      <c r="B35" s="583" t="n">
        <f aca="false">NSG_Requirements!B7/1000</f>
        <v>0</v>
      </c>
      <c r="C35" s="555"/>
      <c r="D35" s="579"/>
      <c r="E35" s="580"/>
      <c r="F35" s="558"/>
      <c r="G35" s="552"/>
      <c r="H35" s="552"/>
      <c r="I35" s="576"/>
    </row>
    <row r="36" customFormat="false" ht="20.25" hidden="false" customHeight="false" outlineLevel="0" collapsed="false">
      <c r="A36" s="577" t="s">
        <v>388</v>
      </c>
      <c r="B36" s="583" t="n">
        <f aca="false">NSG_Supplies!B7/1000</f>
        <v>0</v>
      </c>
      <c r="C36" s="555"/>
      <c r="D36" s="579"/>
      <c r="E36" s="580"/>
      <c r="F36" s="558"/>
      <c r="G36" s="552"/>
      <c r="H36" s="552"/>
      <c r="I36" s="576"/>
    </row>
    <row r="37" customFormat="false" ht="21" hidden="false" customHeight="false" outlineLevel="0" collapsed="false">
      <c r="A37" s="569" t="s">
        <v>159</v>
      </c>
      <c r="B37" s="578" t="n">
        <f aca="false">NSG_Supplies!P7/1000</f>
        <v>0</v>
      </c>
      <c r="C37" s="584"/>
      <c r="D37" s="585"/>
      <c r="E37" s="586"/>
      <c r="F37" s="558"/>
      <c r="G37" s="552"/>
      <c r="H37" s="552"/>
      <c r="I37" s="576"/>
    </row>
    <row r="38" customFormat="false" ht="21" hidden="false" customHeight="false" outlineLevel="0" collapsed="false">
      <c r="A38" s="587" t="s">
        <v>389</v>
      </c>
      <c r="B38" s="588" t="n">
        <f aca="false">-B30+B31+B32-B33-B34-B35+B36+B37</f>
        <v>15</v>
      </c>
      <c r="C38" s="558"/>
      <c r="D38" s="589"/>
      <c r="E38" s="590"/>
      <c r="F38" s="558"/>
      <c r="G38" s="552"/>
      <c r="H38" s="552"/>
      <c r="I38" s="576"/>
    </row>
    <row r="39" customFormat="false" ht="24" hidden="false" customHeight="false" outlineLevel="0" collapsed="false">
      <c r="A39" s="563"/>
      <c r="B39" s="564"/>
      <c r="C39" s="565" t="s">
        <v>390</v>
      </c>
      <c r="D39" s="564"/>
      <c r="E39" s="566"/>
      <c r="F39" s="558"/>
      <c r="G39" s="552"/>
      <c r="H39" s="552"/>
      <c r="I39" s="576"/>
    </row>
    <row r="40" customFormat="false" ht="20.25" hidden="false" customHeight="false" outlineLevel="0" collapsed="false">
      <c r="A40" s="545" t="s">
        <v>391</v>
      </c>
      <c r="B40" s="591" t="n">
        <v>0</v>
      </c>
      <c r="C40" s="558"/>
      <c r="D40" s="592"/>
      <c r="E40" s="593"/>
      <c r="F40" s="558"/>
      <c r="G40" s="552"/>
      <c r="H40" s="552"/>
      <c r="I40" s="576"/>
    </row>
    <row r="41" customFormat="false" ht="20.25" hidden="false" customHeight="false" outlineLevel="0" collapsed="false">
      <c r="A41" s="545" t="s">
        <v>392</v>
      </c>
      <c r="B41" s="594" t="n">
        <f aca="false">NSG_Requirements!J7/1000</f>
        <v>20</v>
      </c>
      <c r="C41" s="555"/>
      <c r="D41" s="579"/>
      <c r="E41" s="580"/>
      <c r="F41" s="558"/>
      <c r="G41" s="552"/>
      <c r="H41" s="552"/>
      <c r="I41" s="576"/>
    </row>
    <row r="42" customFormat="false" ht="20.25" hidden="false" customHeight="false" outlineLevel="0" collapsed="false">
      <c r="A42" s="545" t="s">
        <v>393</v>
      </c>
      <c r="B42" s="595" t="n">
        <f aca="false">NSG_Supplies!E7/1000</f>
        <v>0</v>
      </c>
      <c r="C42" s="558"/>
      <c r="D42" s="596"/>
      <c r="E42" s="597"/>
      <c r="F42" s="558"/>
      <c r="G42" s="552"/>
      <c r="H42" s="552"/>
      <c r="I42" s="576"/>
    </row>
    <row r="43" customFormat="false" ht="20.25" hidden="false" customHeight="false" outlineLevel="0" collapsed="false">
      <c r="A43" s="545" t="s">
        <v>394</v>
      </c>
      <c r="B43" s="594" t="n">
        <v>0</v>
      </c>
      <c r="C43" s="555"/>
      <c r="D43" s="579"/>
      <c r="E43" s="580"/>
      <c r="F43" s="558"/>
      <c r="G43" s="552"/>
      <c r="H43" s="552"/>
      <c r="I43" s="576"/>
    </row>
    <row r="44" customFormat="false" ht="20.25" hidden="false" customHeight="false" outlineLevel="0" collapsed="false">
      <c r="A44" s="545" t="s">
        <v>395</v>
      </c>
      <c r="B44" s="594" t="n">
        <v>0</v>
      </c>
      <c r="C44" s="555"/>
      <c r="D44" s="579"/>
      <c r="E44" s="580"/>
      <c r="F44" s="558"/>
      <c r="G44" s="552"/>
      <c r="H44" s="552"/>
      <c r="I44" s="576"/>
    </row>
    <row r="45" customFormat="false" ht="21" hidden="false" customHeight="false" outlineLevel="0" collapsed="false">
      <c r="A45" s="349" t="s">
        <v>396</v>
      </c>
      <c r="B45" s="595" t="n">
        <f aca="false">NSG_Supplies!Q7/1000</f>
        <v>20</v>
      </c>
      <c r="C45" s="558"/>
      <c r="D45" s="596"/>
      <c r="E45" s="597"/>
      <c r="F45" s="558"/>
      <c r="G45" s="552"/>
      <c r="H45" s="552"/>
      <c r="I45" s="576"/>
    </row>
    <row r="46" customFormat="false" ht="21" hidden="false" customHeight="false" outlineLevel="0" collapsed="false">
      <c r="A46" s="587" t="s">
        <v>389</v>
      </c>
      <c r="B46" s="598" t="n">
        <f aca="false">B45+B42-B41</f>
        <v>0</v>
      </c>
      <c r="C46" s="599"/>
      <c r="D46" s="600"/>
      <c r="E46" s="601"/>
      <c r="F46" s="558"/>
      <c r="G46" s="552"/>
      <c r="H46" s="552"/>
      <c r="I46" s="576"/>
    </row>
    <row r="47" customFormat="false" ht="24" hidden="false" customHeight="false" outlineLevel="0" collapsed="false">
      <c r="A47" s="563"/>
      <c r="B47" s="564"/>
      <c r="C47" s="565" t="s">
        <v>87</v>
      </c>
      <c r="D47" s="564"/>
      <c r="E47" s="566"/>
      <c r="F47" s="558"/>
      <c r="G47" s="552"/>
      <c r="H47" s="552"/>
      <c r="I47" s="576"/>
    </row>
    <row r="48" customFormat="false" ht="20.25" hidden="false" customHeight="false" outlineLevel="0" collapsed="false">
      <c r="A48" s="545" t="s">
        <v>397</v>
      </c>
      <c r="B48" s="602" t="n">
        <f aca="false">(NSG_Requirements!V7+NSG_Requirements!W7+NSG_Requirements!X7)/1000</f>
        <v>0</v>
      </c>
      <c r="C48" s="603"/>
      <c r="D48" s="579"/>
      <c r="E48" s="580"/>
      <c r="F48" s="558"/>
      <c r="G48" s="552"/>
      <c r="H48" s="552"/>
      <c r="I48" s="576"/>
    </row>
    <row r="49" customFormat="false" ht="20.25" hidden="false" customHeight="false" outlineLevel="0" collapsed="false">
      <c r="A49" s="545" t="s">
        <v>398</v>
      </c>
      <c r="B49" s="604" t="n">
        <f aca="false">NSG_Requirements!M7/1000</f>
        <v>0</v>
      </c>
      <c r="C49" s="605"/>
      <c r="D49" s="605"/>
      <c r="E49" s="606"/>
      <c r="F49" s="558"/>
      <c r="G49" s="552"/>
      <c r="H49" s="552"/>
      <c r="I49" s="576"/>
    </row>
    <row r="50" customFormat="false" ht="20.25" hidden="false" customHeight="false" outlineLevel="0" collapsed="false">
      <c r="A50" s="545" t="s">
        <v>134</v>
      </c>
      <c r="B50" s="604" t="n">
        <f aca="false">NSG_Requirements!E7/1000</f>
        <v>0</v>
      </c>
      <c r="C50" s="607"/>
      <c r="D50" s="596"/>
      <c r="E50" s="597"/>
      <c r="F50" s="558"/>
      <c r="G50" s="552"/>
      <c r="H50" s="552"/>
      <c r="I50" s="576"/>
    </row>
    <row r="51" customFormat="false" ht="21" hidden="false" customHeight="false" outlineLevel="0" collapsed="false">
      <c r="A51" s="545" t="s">
        <v>159</v>
      </c>
      <c r="B51" s="608" t="n">
        <f aca="false">NSG_Supplies!O7/1000</f>
        <v>0</v>
      </c>
      <c r="C51" s="603"/>
      <c r="D51" s="579"/>
      <c r="E51" s="580"/>
      <c r="F51" s="558"/>
      <c r="G51" s="552"/>
      <c r="H51" s="552"/>
      <c r="I51" s="576"/>
    </row>
    <row r="52" customFormat="false" ht="24" hidden="false" customHeight="false" outlineLevel="0" collapsed="false">
      <c r="A52" s="563"/>
      <c r="B52" s="564"/>
      <c r="C52" s="565" t="s">
        <v>399</v>
      </c>
      <c r="D52" s="564"/>
      <c r="E52" s="566"/>
      <c r="F52" s="558"/>
      <c r="G52" s="552"/>
      <c r="H52" s="552"/>
      <c r="I52" s="576"/>
    </row>
    <row r="53" customFormat="false" ht="20.25" hidden="false" customHeight="false" outlineLevel="0" collapsed="false">
      <c r="A53" s="609" t="s">
        <v>400</v>
      </c>
      <c r="B53" s="610"/>
      <c r="C53" s="558"/>
      <c r="D53" s="592"/>
      <c r="E53" s="593"/>
      <c r="F53" s="558"/>
      <c r="G53" s="552"/>
      <c r="H53" s="552"/>
      <c r="I53" s="576"/>
    </row>
    <row r="54" customFormat="false" ht="21" hidden="false" customHeight="false" outlineLevel="0" collapsed="false">
      <c r="A54" s="611" t="s">
        <v>401</v>
      </c>
      <c r="B54" s="612"/>
      <c r="C54" s="613"/>
      <c r="D54" s="614"/>
      <c r="E54" s="615"/>
      <c r="F54" s="616"/>
      <c r="G54" s="617"/>
      <c r="H54" s="618"/>
      <c r="I54" s="619"/>
    </row>
    <row r="55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20" width="24.77"/>
    <col collapsed="false" customWidth="true" hidden="false" outlineLevel="0" max="8" min="2" style="620" width="12.77"/>
    <col collapsed="false" customWidth="true" hidden="false" outlineLevel="0" max="9" min="9" style="620" width="14.11"/>
    <col collapsed="false" customWidth="false" hidden="false" outlineLevel="0" max="11" min="10" style="620" width="8.88"/>
    <col collapsed="false" customWidth="true" hidden="false" outlineLevel="0" max="12" min="12" style="620" width="24.77"/>
    <col collapsed="false" customWidth="true" hidden="false" outlineLevel="0" max="20" min="13" style="620" width="12.77"/>
    <col collapsed="false" customWidth="false" hidden="false" outlineLevel="0" max="257" min="21" style="620" width="8.88"/>
  </cols>
  <sheetData>
    <row r="1" customFormat="false" ht="17.1" hidden="false" customHeight="true" outlineLevel="0" collapsed="false">
      <c r="A1" s="621" t="s">
        <v>0</v>
      </c>
      <c r="B1" s="622"/>
      <c r="C1" s="622"/>
      <c r="D1" s="622"/>
      <c r="E1" s="623" t="s">
        <v>265</v>
      </c>
      <c r="F1" s="624" t="n">
        <f aca="false">Weather_Input!A5</f>
        <v>36999</v>
      </c>
      <c r="G1" s="625" t="s">
        <v>0</v>
      </c>
      <c r="H1" s="622"/>
      <c r="I1" s="626"/>
    </row>
    <row r="2" customFormat="false" ht="17.1" hidden="false" customHeight="true" outlineLevel="0" collapsed="false">
      <c r="A2" s="220" t="s">
        <v>0</v>
      </c>
      <c r="B2" s="228"/>
      <c r="C2" s="228"/>
      <c r="D2" s="228" t="s">
        <v>0</v>
      </c>
      <c r="E2" s="228"/>
      <c r="F2" s="228"/>
      <c r="G2" s="228"/>
      <c r="H2" s="228" t="s">
        <v>0</v>
      </c>
      <c r="I2" s="226"/>
    </row>
    <row r="3" customFormat="false" ht="17.1" hidden="false" customHeight="true" outlineLevel="0" collapsed="false">
      <c r="A3" s="220"/>
      <c r="B3" s="627" t="s">
        <v>402</v>
      </c>
      <c r="C3" s="628" t="n">
        <v>44</v>
      </c>
      <c r="D3" s="228"/>
      <c r="E3" s="228"/>
      <c r="F3" s="628" t="s">
        <v>403</v>
      </c>
      <c r="G3" s="628"/>
      <c r="H3" s="228" t="s">
        <v>270</v>
      </c>
      <c r="I3" s="226"/>
    </row>
    <row r="4" customFormat="false" ht="17.1" hidden="false" customHeight="true" outlineLevel="0" collapsed="false">
      <c r="A4" s="240" t="s">
        <v>404</v>
      </c>
      <c r="B4" s="240" t="s">
        <v>404</v>
      </c>
      <c r="C4" s="277" t="s">
        <v>273</v>
      </c>
      <c r="D4" s="277" t="s">
        <v>18</v>
      </c>
      <c r="E4" s="277" t="s">
        <v>273</v>
      </c>
      <c r="F4" s="277" t="s">
        <v>18</v>
      </c>
      <c r="G4" s="277" t="s">
        <v>273</v>
      </c>
      <c r="H4" s="277" t="s">
        <v>18</v>
      </c>
      <c r="I4" s="234" t="s">
        <v>273</v>
      </c>
    </row>
    <row r="5" customFormat="false" ht="17.1" hidden="false" customHeight="true" outlineLevel="0" collapsed="false">
      <c r="A5" s="240" t="s">
        <v>405</v>
      </c>
      <c r="B5" s="277" t="n">
        <f aca="false">Weather_Input!B5</f>
        <v>54</v>
      </c>
      <c r="C5" s="277" t="n">
        <f aca="false">Weather_Input!C5</f>
        <v>35</v>
      </c>
      <c r="D5" s="277"/>
      <c r="E5" s="277"/>
      <c r="F5" s="277"/>
      <c r="G5" s="277"/>
      <c r="H5" s="277"/>
      <c r="I5" s="234"/>
    </row>
    <row r="6" customFormat="false" ht="17.1" hidden="false" customHeight="true" outlineLevel="0" collapsed="false">
      <c r="A6" s="240" t="s">
        <v>406</v>
      </c>
      <c r="B6" s="232"/>
      <c r="C6" s="233"/>
      <c r="D6" s="233"/>
      <c r="E6" s="233"/>
      <c r="F6" s="233"/>
      <c r="G6" s="233"/>
      <c r="H6" s="233"/>
      <c r="I6" s="234"/>
    </row>
    <row r="7" customFormat="false" ht="17.1" hidden="false" customHeight="true" outlineLevel="0" collapsed="false">
      <c r="A7" s="220" t="s">
        <v>407</v>
      </c>
      <c r="B7" s="629"/>
      <c r="C7" s="283"/>
      <c r="D7" s="228"/>
      <c r="E7" s="629"/>
      <c r="F7" s="283"/>
      <c r="G7" s="283"/>
      <c r="H7" s="283"/>
      <c r="I7" s="226"/>
    </row>
    <row r="8" customFormat="false" ht="17.1" hidden="false" customHeight="true" outlineLevel="0" collapsed="false">
      <c r="A8" s="630" t="s">
        <v>408</v>
      </c>
      <c r="B8" s="631" t="n">
        <f aca="false">PGL_Deliveries!C5/1000</f>
        <v>605</v>
      </c>
      <c r="C8" s="632" t="n">
        <f aca="false">NSG_Deliveries!C5/1000</f>
        <v>101</v>
      </c>
      <c r="D8" s="631" t="s">
        <v>0</v>
      </c>
      <c r="E8" s="633"/>
      <c r="F8" s="634"/>
      <c r="G8" s="634"/>
      <c r="H8" s="634"/>
      <c r="I8" s="626"/>
    </row>
    <row r="9" customFormat="false" ht="17.1" hidden="false" customHeight="true" outlineLevel="0" collapsed="false">
      <c r="A9" s="635"/>
      <c r="B9" s="636" t="s">
        <v>64</v>
      </c>
      <c r="C9" s="636" t="s">
        <v>125</v>
      </c>
      <c r="D9" s="637"/>
      <c r="E9" s="637"/>
      <c r="F9" s="637"/>
      <c r="G9" s="637"/>
      <c r="H9" s="637"/>
      <c r="I9" s="638"/>
    </row>
    <row r="10" customFormat="false" ht="17.1" hidden="false" customHeight="true" outlineLevel="0" collapsed="false">
      <c r="A10" s="639" t="s">
        <v>86</v>
      </c>
      <c r="B10" s="261" t="n">
        <f aca="false">B62</f>
        <v>71.56</v>
      </c>
      <c r="C10" s="232"/>
      <c r="D10" s="277"/>
      <c r="E10" s="232"/>
      <c r="F10" s="232"/>
      <c r="G10" s="232"/>
      <c r="H10" s="232"/>
      <c r="I10" s="234" t="s">
        <v>0</v>
      </c>
    </row>
    <row r="11" customFormat="false" ht="17.1" hidden="false" customHeight="true" outlineLevel="0" collapsed="false">
      <c r="A11" s="220" t="s">
        <v>409</v>
      </c>
      <c r="B11" s="261" t="n">
        <f aca="false">+B54</f>
        <v>243.044</v>
      </c>
      <c r="C11" s="640" t="s">
        <v>0</v>
      </c>
      <c r="D11" s="277"/>
      <c r="E11" s="640" t="str">
        <f aca="false">+C11</f>
        <v> </v>
      </c>
      <c r="F11" s="232"/>
      <c r="G11" s="640" t="str">
        <f aca="false">+C11</f>
        <v> </v>
      </c>
      <c r="H11" s="232"/>
      <c r="I11" s="260" t="str">
        <f aca="false">+C11</f>
        <v> </v>
      </c>
    </row>
    <row r="12" customFormat="false" ht="17.1" hidden="false" customHeight="true" outlineLevel="0" collapsed="false">
      <c r="A12" s="220" t="s">
        <v>410</v>
      </c>
      <c r="B12" s="261" t="n">
        <f aca="false">PGL_Supplies!K7/1000</f>
        <v>0</v>
      </c>
      <c r="C12" s="640"/>
      <c r="D12" s="277"/>
      <c r="E12" s="232"/>
      <c r="F12" s="232"/>
      <c r="G12" s="232"/>
      <c r="H12" s="232"/>
      <c r="I12" s="234"/>
    </row>
    <row r="13" customFormat="false" ht="17.1" hidden="false" customHeight="true" outlineLevel="0" collapsed="false">
      <c r="A13" s="220" t="s">
        <v>95</v>
      </c>
      <c r="B13" s="261" t="n">
        <f aca="false">PGL_Supplies!I7/1000</f>
        <v>10</v>
      </c>
      <c r="C13" s="232"/>
      <c r="D13" s="641"/>
      <c r="E13" s="232"/>
      <c r="F13" s="232"/>
      <c r="G13" s="232"/>
      <c r="H13" s="232"/>
      <c r="I13" s="234"/>
    </row>
    <row r="14" customFormat="false" ht="17.1" hidden="false" customHeight="true" outlineLevel="0" collapsed="false">
      <c r="A14" s="220" t="s">
        <v>411</v>
      </c>
      <c r="B14" s="262" t="n">
        <f aca="false">+B72</f>
        <v>57.088</v>
      </c>
      <c r="C14" s="232"/>
      <c r="D14" s="277"/>
      <c r="E14" s="232"/>
      <c r="F14" s="232"/>
      <c r="G14" s="232"/>
      <c r="H14" s="232"/>
      <c r="I14" s="234"/>
    </row>
    <row r="15" customFormat="false" ht="17.1" hidden="false" customHeight="true" outlineLevel="0" collapsed="false">
      <c r="A15" s="220" t="s">
        <v>68</v>
      </c>
      <c r="B15" s="261" t="n">
        <f aca="false">+B46</f>
        <v>1</v>
      </c>
      <c r="C15" s="232" t="s">
        <v>0</v>
      </c>
      <c r="D15" s="277" t="s">
        <v>0</v>
      </c>
      <c r="E15" s="232"/>
      <c r="F15" s="641"/>
      <c r="G15" s="232"/>
      <c r="H15" s="232"/>
      <c r="I15" s="234"/>
    </row>
    <row r="16" customFormat="false" ht="17.1" hidden="false" customHeight="true" outlineLevel="0" collapsed="false">
      <c r="A16" s="220" t="s">
        <v>412</v>
      </c>
      <c r="B16" s="261" t="n">
        <f aca="false">PGL_Requirements!G7/1000</f>
        <v>0</v>
      </c>
      <c r="C16" s="232"/>
      <c r="D16" s="277"/>
      <c r="E16" s="232"/>
      <c r="F16" s="642" t="s">
        <v>0</v>
      </c>
      <c r="G16" s="232"/>
      <c r="H16" s="232"/>
      <c r="I16" s="234"/>
    </row>
    <row r="17" customFormat="false" ht="17.1" hidden="false" customHeight="true" outlineLevel="0" collapsed="false">
      <c r="A17" s="220" t="s">
        <v>413</v>
      </c>
      <c r="B17" s="261" t="n">
        <f aca="false">PGL_Supplies!B7/1000</f>
        <v>0</v>
      </c>
      <c r="C17" s="232"/>
      <c r="D17" s="228"/>
      <c r="E17" s="232"/>
      <c r="F17" s="232"/>
      <c r="G17" s="232"/>
      <c r="H17" s="232"/>
      <c r="I17" s="643"/>
    </row>
    <row r="18" customFormat="false" ht="17.1" hidden="false" customHeight="true" outlineLevel="0" collapsed="false">
      <c r="A18" s="644" t="s">
        <v>414</v>
      </c>
      <c r="B18" s="645" t="n">
        <f aca="false">-B10-B11-B12-B13-B14-B15+B16-B17</f>
        <v>-382.692</v>
      </c>
      <c r="C18" s="646" t="n">
        <f aca="false">-I63</f>
        <v>-15</v>
      </c>
      <c r="D18" s="647" t="s">
        <v>0</v>
      </c>
      <c r="E18" s="646" t="n">
        <f aca="false">-I63</f>
        <v>-15</v>
      </c>
      <c r="F18" s="647" t="s">
        <v>0</v>
      </c>
      <c r="G18" s="646" t="n">
        <f aca="false">-I63</f>
        <v>-15</v>
      </c>
      <c r="H18" s="647" t="s">
        <v>0</v>
      </c>
      <c r="I18" s="648"/>
    </row>
    <row r="19" customFormat="false" ht="17.1" hidden="false" customHeight="true" outlineLevel="0" collapsed="false">
      <c r="A19" s="252" t="s">
        <v>76</v>
      </c>
      <c r="B19" s="253" t="n">
        <f aca="false">-PGL_Supplies!J7/1000</f>
        <v>-0</v>
      </c>
      <c r="C19" s="649" t="n">
        <f aca="false">-NSG_Supplies!U7/1000</f>
        <v>-0</v>
      </c>
      <c r="D19" s="622"/>
      <c r="E19" s="633"/>
      <c r="F19" s="622"/>
      <c r="G19" s="633"/>
      <c r="H19" s="634"/>
      <c r="I19" s="234"/>
    </row>
    <row r="20" customFormat="false" ht="17.1" hidden="false" customHeight="true" outlineLevel="0" collapsed="false">
      <c r="A20" s="252" t="s">
        <v>415</v>
      </c>
      <c r="B20" s="261" t="n">
        <f aca="false">B8+B18+B19</f>
        <v>222.308</v>
      </c>
      <c r="C20" s="650" t="n">
        <f aca="false">C8+C18+C19</f>
        <v>86</v>
      </c>
      <c r="D20" s="277"/>
      <c r="E20" s="232"/>
      <c r="F20" s="277"/>
      <c r="G20" s="232"/>
      <c r="H20" s="233"/>
      <c r="I20" s="226"/>
    </row>
    <row r="21" customFormat="false" ht="17.1" hidden="false" customHeight="true" outlineLevel="0" collapsed="false">
      <c r="A21" s="252" t="s">
        <v>416</v>
      </c>
      <c r="B21" s="261" t="n">
        <v>0</v>
      </c>
      <c r="C21" s="232"/>
      <c r="D21" s="277"/>
      <c r="E21" s="232"/>
      <c r="F21" s="277"/>
      <c r="G21" s="232"/>
      <c r="H21" s="233"/>
      <c r="I21" s="239"/>
    </row>
    <row r="22" customFormat="false" ht="17.1" hidden="false" customHeight="true" outlineLevel="0" collapsed="false">
      <c r="A22" s="252" t="s">
        <v>417</v>
      </c>
      <c r="B22" s="261" t="n">
        <f aca="false">+B44</f>
        <v>2.25</v>
      </c>
      <c r="C22" s="232"/>
      <c r="D22" s="277"/>
      <c r="E22" s="232"/>
      <c r="F22" s="279" t="s">
        <v>0</v>
      </c>
      <c r="G22" s="642"/>
      <c r="H22" s="651" t="s">
        <v>0</v>
      </c>
      <c r="I22" s="226"/>
    </row>
    <row r="23" customFormat="false" ht="17.1" hidden="false" customHeight="true" outlineLevel="0" collapsed="false">
      <c r="A23" s="652" t="s">
        <v>418</v>
      </c>
      <c r="B23" s="653" t="n">
        <f aca="false">B20+B21+B22</f>
        <v>224.558</v>
      </c>
      <c r="C23" s="654" t="n">
        <f aca="false">C20</f>
        <v>86</v>
      </c>
      <c r="D23" s="277"/>
      <c r="E23" s="232"/>
      <c r="F23" s="238"/>
      <c r="G23" s="232"/>
      <c r="H23" s="655" t="s">
        <v>0</v>
      </c>
      <c r="I23" s="656" t="s">
        <v>0</v>
      </c>
    </row>
    <row r="24" customFormat="false" ht="17.1" hidden="false" customHeight="true" outlineLevel="0" collapsed="false">
      <c r="A24" s="657" t="s">
        <v>419</v>
      </c>
      <c r="B24" s="642" t="n">
        <f aca="false">-NSG_Requirements!$L$7/1000</f>
        <v>-0</v>
      </c>
      <c r="C24" s="642" t="n">
        <f aca="false">NSG_Requirements!$L$7/1000</f>
        <v>0</v>
      </c>
      <c r="D24" s="303" t="n">
        <f aca="false">B24</f>
        <v>-0</v>
      </c>
      <c r="E24" s="642" t="n">
        <f aca="false">C24</f>
        <v>0</v>
      </c>
      <c r="F24" s="303" t="n">
        <f aca="false">B24</f>
        <v>-0</v>
      </c>
      <c r="G24" s="642" t="n">
        <f aca="false">C24</f>
        <v>0</v>
      </c>
      <c r="H24" s="658" t="n">
        <f aca="false">B24</f>
        <v>-0</v>
      </c>
      <c r="I24" s="659" t="n">
        <f aca="false">C24</f>
        <v>0</v>
      </c>
    </row>
    <row r="25" customFormat="false" ht="17.1" hidden="false" customHeight="true" outlineLevel="0" collapsed="false">
      <c r="A25" s="635"/>
      <c r="B25" s="637"/>
      <c r="C25" s="637" t="s">
        <v>0</v>
      </c>
      <c r="D25" s="637"/>
      <c r="E25" s="637"/>
      <c r="F25" s="637"/>
      <c r="G25" s="637"/>
      <c r="H25" s="637"/>
      <c r="I25" s="638"/>
    </row>
    <row r="26" customFormat="false" ht="17.25" hidden="false" customHeight="true" outlineLevel="0" collapsed="false">
      <c r="A26" s="660" t="s">
        <v>420</v>
      </c>
      <c r="B26" s="661" t="n">
        <f aca="false">PGL_Requirements!L7/1000</f>
        <v>0</v>
      </c>
      <c r="C26" s="661" t="n">
        <f aca="false">NSG_Requirements!C7/1000</f>
        <v>0</v>
      </c>
      <c r="D26" s="661" t="n">
        <f aca="false">B26</f>
        <v>0</v>
      </c>
      <c r="E26" s="661" t="n">
        <f aca="false">+C26</f>
        <v>0</v>
      </c>
      <c r="F26" s="661" t="n">
        <f aca="false">B26</f>
        <v>0</v>
      </c>
      <c r="G26" s="661" t="n">
        <f aca="false">+C26</f>
        <v>0</v>
      </c>
      <c r="H26" s="662" t="n">
        <f aca="false">B26</f>
        <v>0</v>
      </c>
      <c r="I26" s="663" t="n">
        <f aca="false">+C26</f>
        <v>0</v>
      </c>
    </row>
    <row r="27" customFormat="false" ht="17.25" hidden="false" customHeight="true" outlineLevel="0" collapsed="false">
      <c r="A27" s="660" t="s">
        <v>421</v>
      </c>
      <c r="B27" s="661" t="n">
        <f aca="false">PGL_Requirements!R7/1000</f>
        <v>0.64</v>
      </c>
      <c r="C27" s="661" t="n">
        <f aca="false">NSG_Requirements!P7/1000</f>
        <v>0</v>
      </c>
      <c r="D27" s="661" t="n">
        <f aca="false">PGL_Requirements!R7/1000</f>
        <v>0.64</v>
      </c>
      <c r="E27" s="661" t="n">
        <f aca="false">NSG_Requirements!P7/1000</f>
        <v>0</v>
      </c>
      <c r="F27" s="661" t="n">
        <f aca="false">PGL_Requirements!R7/1000</f>
        <v>0.64</v>
      </c>
      <c r="G27" s="661" t="n">
        <f aca="false">NSG_Requirements!P7/1000</f>
        <v>0</v>
      </c>
      <c r="H27" s="662" t="n">
        <f aca="false">+B27</f>
        <v>0.64</v>
      </c>
      <c r="I27" s="663" t="n">
        <f aca="false">+C27</f>
        <v>0</v>
      </c>
    </row>
    <row r="28" customFormat="false" ht="17.1" hidden="false" customHeight="true" outlineLevel="0" collapsed="false">
      <c r="A28" s="664" t="s">
        <v>422</v>
      </c>
      <c r="B28" s="324" t="n">
        <v>0</v>
      </c>
      <c r="C28" s="324" t="n">
        <v>0</v>
      </c>
      <c r="D28" s="324" t="n">
        <v>0</v>
      </c>
      <c r="E28" s="324" t="n">
        <v>0</v>
      </c>
      <c r="F28" s="324" t="n">
        <v>0</v>
      </c>
      <c r="G28" s="324" t="n">
        <f aca="false">C28</f>
        <v>0</v>
      </c>
      <c r="H28" s="665" t="n">
        <f aca="false">B28</f>
        <v>0</v>
      </c>
      <c r="I28" s="666" t="n">
        <f aca="false">C28</f>
        <v>0</v>
      </c>
    </row>
    <row r="29" customFormat="false" ht="17.1" hidden="false" customHeight="true" outlineLevel="0" collapsed="false">
      <c r="A29" s="664" t="s">
        <v>423</v>
      </c>
      <c r="B29" s="667" t="n">
        <f aca="false">-PGL_Supplies!N7/1000</f>
        <v>-0</v>
      </c>
      <c r="C29" s="667" t="n">
        <f aca="false">-NSG_Supplies!I7/1000</f>
        <v>-0</v>
      </c>
      <c r="D29" s="324" t="n">
        <f aca="false">-PGL_Supplies!N7/1000</f>
        <v>-0</v>
      </c>
      <c r="E29" s="324" t="n">
        <f aca="false">-NSG_Supplies!I7/1000</f>
        <v>-0</v>
      </c>
      <c r="F29" s="324" t="n">
        <f aca="false">-PGL_Supplies!N7/1000</f>
        <v>-0</v>
      </c>
      <c r="G29" s="324" t="n">
        <f aca="false">-NSG_Supplies!I7/1000</f>
        <v>-0</v>
      </c>
      <c r="H29" s="665" t="n">
        <f aca="false">-PGL_Supplies!N7/1000</f>
        <v>-0</v>
      </c>
      <c r="I29" s="666" t="n">
        <f aca="false">-NSG_Supplies!I7/1000</f>
        <v>-0</v>
      </c>
    </row>
    <row r="30" customFormat="false" ht="17.1" hidden="false" customHeight="true" outlineLevel="0" collapsed="false">
      <c r="A30" s="664" t="s">
        <v>424</v>
      </c>
      <c r="B30" s="324" t="n">
        <f aca="false">-PGL_Supplies!O7/1000</f>
        <v>-0</v>
      </c>
      <c r="C30" s="324" t="n">
        <f aca="false">-NSG_Supplies!J7/1000</f>
        <v>-0</v>
      </c>
      <c r="D30" s="324" t="n">
        <f aca="false">-PGL_Supplies!O7/1000</f>
        <v>-0</v>
      </c>
      <c r="E30" s="324" t="n">
        <f aca="false">-NSG_Supplies!J7/1000</f>
        <v>-0</v>
      </c>
      <c r="F30" s="324" t="n">
        <f aca="false">-PGL_Supplies!O7/1000</f>
        <v>-0</v>
      </c>
      <c r="G30" s="324" t="n">
        <f aca="false">-NSG_Supplies!J7/1000</f>
        <v>-0</v>
      </c>
      <c r="H30" s="665" t="n">
        <f aca="false">-PGL_Supplies!O7/1000</f>
        <v>-0</v>
      </c>
      <c r="I30" s="666" t="n">
        <f aca="false">-NSG_Supplies!J7/1000</f>
        <v>-0</v>
      </c>
    </row>
    <row r="31" customFormat="false" ht="17.1" hidden="false" customHeight="true" outlineLevel="0" collapsed="false">
      <c r="A31" s="668" t="s">
        <v>425</v>
      </c>
      <c r="B31" s="669" t="n">
        <f aca="false">(PGL_Requirements!$Y$7+PGL_Requirements!$Z$7+PGL_Requirements!$AA$7)/1000+(NSG_Requirements!$Y$7+NSG_Requirements!$Z$7+NSG_Requirements!$AA$7)/1000</f>
        <v>0</v>
      </c>
      <c r="C31" s="669" t="n">
        <f aca="false">-(PGL_Requirements!$Y$7+PGL_Requirements!$Z$7+PGL_Requirements!$AA$7)/1000+(NSG_Requirements!$Y$7+NSG_Requirements!$Z$7+NSG_Requirements!$AA$7)/1000</f>
        <v>0</v>
      </c>
      <c r="D31" s="661" t="n">
        <f aca="false">+B31</f>
        <v>0</v>
      </c>
      <c r="E31" s="324" t="n">
        <f aca="false">+C31</f>
        <v>0</v>
      </c>
      <c r="F31" s="661" t="n">
        <f aca="false">+B31</f>
        <v>0</v>
      </c>
      <c r="G31" s="324" t="n">
        <f aca="false">+E31</f>
        <v>0</v>
      </c>
      <c r="H31" s="662" t="n">
        <f aca="false">+B31</f>
        <v>0</v>
      </c>
      <c r="I31" s="663" t="n">
        <f aca="false">+C31</f>
        <v>0</v>
      </c>
    </row>
    <row r="32" customFormat="false" ht="17.1" hidden="false" customHeight="true" outlineLevel="0" collapsed="false">
      <c r="A32" s="664" t="s">
        <v>296</v>
      </c>
      <c r="B32" s="324" t="n">
        <f aca="false">-PGL_Supplies!AC7/1000</f>
        <v>-81.846</v>
      </c>
      <c r="C32" s="324" t="n">
        <f aca="false">-NSG_Supplies!R7/1000</f>
        <v>-80.464</v>
      </c>
      <c r="D32" s="324" t="n">
        <f aca="false">B32</f>
        <v>-81.846</v>
      </c>
      <c r="E32" s="324" t="n">
        <f aca="false">C32</f>
        <v>-80.464</v>
      </c>
      <c r="F32" s="324" t="n">
        <f aca="false">B32</f>
        <v>-81.846</v>
      </c>
      <c r="G32" s="324" t="n">
        <f aca="false">C32</f>
        <v>-80.464</v>
      </c>
      <c r="H32" s="665" t="n">
        <f aca="false">B32</f>
        <v>-81.846</v>
      </c>
      <c r="I32" s="666" t="n">
        <f aca="false">C32</f>
        <v>-80.464</v>
      </c>
    </row>
    <row r="33" customFormat="false" ht="17.1" hidden="false" customHeight="true" outlineLevel="0" collapsed="false">
      <c r="A33" s="664" t="s">
        <v>426</v>
      </c>
      <c r="B33" s="324" t="n">
        <f aca="false">-PGL_Supplies!X7/1000</f>
        <v>-5</v>
      </c>
      <c r="C33" s="324" t="n">
        <f aca="false">-NSG_Supplies!S7/1000</f>
        <v>-29.503</v>
      </c>
      <c r="D33" s="324" t="n">
        <f aca="false">B33</f>
        <v>-5</v>
      </c>
      <c r="E33" s="324" t="n">
        <f aca="false">C33</f>
        <v>-29.503</v>
      </c>
      <c r="F33" s="324" t="n">
        <f aca="false">B33</f>
        <v>-5</v>
      </c>
      <c r="G33" s="324" t="n">
        <f aca="false">C33</f>
        <v>-29.503</v>
      </c>
      <c r="H33" s="665" t="n">
        <f aca="false">B33</f>
        <v>-5</v>
      </c>
      <c r="I33" s="666" t="n">
        <f aca="false">C33</f>
        <v>-29.503</v>
      </c>
    </row>
    <row r="34" customFormat="false" ht="17.1" hidden="false" customHeight="true" outlineLevel="0" collapsed="false">
      <c r="A34" s="660" t="s">
        <v>427</v>
      </c>
      <c r="B34" s="661" t="n">
        <f aca="false">PGL_Requirements!S7/1000</f>
        <v>0</v>
      </c>
      <c r="C34" s="661" t="s">
        <v>0</v>
      </c>
      <c r="D34" s="661" t="n">
        <f aca="false">+B34</f>
        <v>0</v>
      </c>
      <c r="E34" s="325"/>
      <c r="F34" s="661" t="n">
        <f aca="false">+D34</f>
        <v>0</v>
      </c>
      <c r="G34" s="325"/>
      <c r="H34" s="662" t="n">
        <f aca="false">+B34</f>
        <v>0</v>
      </c>
      <c r="I34" s="663" t="str">
        <f aca="false">+C34</f>
        <v> </v>
      </c>
    </row>
    <row r="35" customFormat="false" ht="17.1" hidden="false" customHeight="true" outlineLevel="0" collapsed="false">
      <c r="A35" s="670" t="s">
        <v>428</v>
      </c>
      <c r="B35" s="661" t="n">
        <f aca="false">PGL_Requirements!O7/1000</f>
        <v>0</v>
      </c>
      <c r="C35" s="661" t="n">
        <f aca="false">NSG_Requirements!H7/1000</f>
        <v>0</v>
      </c>
      <c r="D35" s="325"/>
      <c r="E35" s="325"/>
      <c r="F35" s="325"/>
      <c r="G35" s="325"/>
      <c r="H35" s="327"/>
      <c r="I35" s="671"/>
    </row>
    <row r="36" customFormat="false" ht="17.1" hidden="false" customHeight="true" outlineLevel="0" collapsed="false">
      <c r="A36" s="670" t="s">
        <v>429</v>
      </c>
      <c r="B36" s="324" t="n">
        <f aca="false">-PGL_Supplies!L7/1000</f>
        <v>-11.08</v>
      </c>
      <c r="C36" s="324" t="n">
        <f aca="false">-NSG_Supplies!F7/1000</f>
        <v>-5.54</v>
      </c>
      <c r="D36" s="325"/>
      <c r="E36" s="325"/>
      <c r="F36" s="325"/>
      <c r="G36" s="325"/>
      <c r="H36" s="327"/>
      <c r="I36" s="671"/>
    </row>
    <row r="37" customFormat="false" ht="17.1" hidden="false" customHeight="true" outlineLevel="0" collapsed="false">
      <c r="A37" s="664" t="s">
        <v>430</v>
      </c>
      <c r="B37" s="661" t="n">
        <f aca="false">PGL_Requirements!M7/1000</f>
        <v>0</v>
      </c>
      <c r="C37" s="672" t="s">
        <v>0</v>
      </c>
      <c r="D37" s="661" t="n">
        <f aca="false">PGL_Requirements!M7/1000</f>
        <v>0</v>
      </c>
      <c r="E37" s="325"/>
      <c r="F37" s="661" t="n">
        <f aca="false">PGL_Requirements!M7/1000</f>
        <v>0</v>
      </c>
      <c r="G37" s="661" t="s">
        <v>0</v>
      </c>
      <c r="H37" s="327"/>
      <c r="I37" s="326"/>
    </row>
    <row r="38" customFormat="false" ht="17.1" hidden="false" customHeight="true" outlineLevel="0" collapsed="false">
      <c r="A38" s="673" t="s">
        <v>431</v>
      </c>
      <c r="B38" s="661" t="e">
        <f aca="false">#REF!/1000</f>
        <v>#REF!</v>
      </c>
      <c r="C38" s="324" t="n">
        <f aca="false">NSG_Supplies!K7/1000</f>
        <v>0</v>
      </c>
      <c r="D38" s="325"/>
      <c r="E38" s="325"/>
      <c r="F38" s="325"/>
      <c r="G38" s="325"/>
      <c r="H38" s="318" t="e">
        <f aca="false">B38</f>
        <v>#REF!</v>
      </c>
      <c r="I38" s="326"/>
    </row>
    <row r="39" customFormat="false" ht="17.1" hidden="false" customHeight="true" outlineLevel="0" collapsed="false">
      <c r="A39" s="311" t="s">
        <v>0</v>
      </c>
      <c r="B39" s="312" t="s">
        <v>432</v>
      </c>
      <c r="C39" s="674"/>
      <c r="D39" s="314"/>
      <c r="E39" s="315"/>
      <c r="F39" s="316" t="s">
        <v>297</v>
      </c>
      <c r="G39" s="316"/>
      <c r="H39" s="316"/>
      <c r="I39" s="316"/>
    </row>
    <row r="40" customFormat="false" ht="17.1" hidden="false" customHeight="true" outlineLevel="0" collapsed="false">
      <c r="A40" s="292" t="s">
        <v>100</v>
      </c>
      <c r="B40" s="324" t="n">
        <f aca="false">PGL_Requirements!P7/1000</f>
        <v>150</v>
      </c>
      <c r="C40" s="324" t="s">
        <v>0</v>
      </c>
      <c r="D40" s="675"/>
      <c r="E40" s="326"/>
      <c r="F40" s="676" t="s">
        <v>433</v>
      </c>
      <c r="G40" s="325"/>
      <c r="H40" s="677"/>
      <c r="I40" s="323"/>
    </row>
    <row r="41" customFormat="false" ht="17.1" hidden="false" customHeight="true" outlineLevel="0" collapsed="false">
      <c r="A41" s="292" t="s">
        <v>434</v>
      </c>
      <c r="B41" s="318" t="n">
        <f aca="false">PGL_Supplies!M7/1000</f>
        <v>0</v>
      </c>
      <c r="C41" s="324" t="s">
        <v>0</v>
      </c>
      <c r="D41" s="325"/>
      <c r="E41" s="326"/>
      <c r="F41" s="678" t="s">
        <v>435</v>
      </c>
      <c r="G41" s="325"/>
      <c r="H41" s="327"/>
      <c r="I41" s="323"/>
    </row>
    <row r="42" customFormat="false" ht="17.1" hidden="false" customHeight="true" outlineLevel="0" collapsed="false">
      <c r="A42" s="292" t="s">
        <v>436</v>
      </c>
      <c r="B42" s="324" t="n">
        <f aca="false">PGL_Requirements!B7/1000</f>
        <v>0</v>
      </c>
      <c r="C42" s="324" t="s">
        <v>0</v>
      </c>
      <c r="D42" s="325"/>
      <c r="E42" s="326"/>
      <c r="F42" s="678" t="s">
        <v>437</v>
      </c>
      <c r="G42" s="325"/>
      <c r="H42" s="327"/>
      <c r="I42" s="323"/>
    </row>
    <row r="43" customFormat="false" ht="17.1" hidden="false" customHeight="true" outlineLevel="0" collapsed="false">
      <c r="A43" s="292" t="s">
        <v>438</v>
      </c>
      <c r="B43" s="324" t="n">
        <f aca="false">PGL_Supplies!H7/1000</f>
        <v>1</v>
      </c>
      <c r="C43" s="325"/>
      <c r="D43" s="325"/>
      <c r="E43" s="326"/>
      <c r="F43" s="678" t="s">
        <v>439</v>
      </c>
      <c r="G43" s="325"/>
      <c r="H43" s="327"/>
      <c r="I43" s="323"/>
    </row>
    <row r="44" customFormat="false" ht="17.1" hidden="false" customHeight="true" outlineLevel="0" collapsed="false">
      <c r="A44" s="292" t="s">
        <v>417</v>
      </c>
      <c r="B44" s="679" t="n">
        <f aca="false">+B48+B47+B45</f>
        <v>2.25</v>
      </c>
      <c r="C44" s="680"/>
      <c r="D44" s="325"/>
      <c r="E44" s="326"/>
      <c r="F44" s="678" t="s">
        <v>440</v>
      </c>
      <c r="G44" s="325"/>
      <c r="H44" s="327"/>
      <c r="I44" s="323"/>
    </row>
    <row r="45" customFormat="false" ht="17.1" hidden="false" customHeight="true" outlineLevel="0" collapsed="false">
      <c r="A45" s="292" t="s">
        <v>102</v>
      </c>
      <c r="B45" s="324" t="n">
        <f aca="false">PGL_Requirements!Q7/1000</f>
        <v>2.25</v>
      </c>
      <c r="C45" s="325"/>
      <c r="D45" s="325"/>
      <c r="E45" s="326"/>
      <c r="F45" s="681" t="s">
        <v>441</v>
      </c>
      <c r="G45" s="325"/>
      <c r="H45" s="327"/>
      <c r="I45" s="323"/>
    </row>
    <row r="46" customFormat="false" ht="17.1" hidden="false" customHeight="true" outlineLevel="0" collapsed="false">
      <c r="A46" s="664" t="s">
        <v>442</v>
      </c>
      <c r="B46" s="324" t="n">
        <f aca="false">+B47+B43+B41</f>
        <v>1</v>
      </c>
      <c r="C46" s="325"/>
      <c r="D46" s="325"/>
      <c r="E46" s="326"/>
      <c r="F46" s="678" t="s">
        <v>443</v>
      </c>
      <c r="G46" s="325"/>
      <c r="H46" s="327"/>
      <c r="I46" s="323"/>
    </row>
    <row r="47" customFormat="false" ht="17.1" hidden="false" customHeight="true" outlineLevel="0" collapsed="false">
      <c r="A47" s="292" t="s">
        <v>342</v>
      </c>
      <c r="B47" s="682" t="n">
        <v>0</v>
      </c>
      <c r="C47" s="325"/>
      <c r="D47" s="325"/>
      <c r="E47" s="326"/>
      <c r="F47" s="678" t="s">
        <v>444</v>
      </c>
      <c r="G47" s="325"/>
      <c r="H47" s="327"/>
      <c r="I47" s="323"/>
    </row>
    <row r="48" customFormat="false" ht="17.1" hidden="false" customHeight="true" outlineLevel="0" collapsed="false">
      <c r="A48" s="292" t="s">
        <v>340</v>
      </c>
      <c r="B48" s="683" t="n">
        <v>0</v>
      </c>
      <c r="C48" s="684"/>
      <c r="D48" s="684"/>
      <c r="E48" s="685"/>
      <c r="F48" s="678" t="s">
        <v>445</v>
      </c>
      <c r="G48" s="325"/>
      <c r="H48" s="327"/>
      <c r="I48" s="323"/>
    </row>
    <row r="49" customFormat="false" ht="17.1" hidden="false" customHeight="true" outlineLevel="0" collapsed="false">
      <c r="A49" s="686" t="s">
        <v>0</v>
      </c>
      <c r="B49" s="687" t="s">
        <v>446</v>
      </c>
      <c r="C49" s="687"/>
      <c r="D49" s="687"/>
      <c r="E49" s="688" t="s">
        <v>0</v>
      </c>
      <c r="F49" s="689" t="s">
        <v>447</v>
      </c>
      <c r="G49" s="330"/>
      <c r="H49" s="352"/>
      <c r="I49" s="323"/>
    </row>
    <row r="50" customFormat="false" ht="17.1" hidden="false" customHeight="true" outlineLevel="0" collapsed="false">
      <c r="A50" s="292" t="s">
        <v>448</v>
      </c>
      <c r="B50" s="318" t="n">
        <f aca="false">PGL_Supplies!V7/1000+PGL_Supplies!D7/1000</f>
        <v>243.044</v>
      </c>
      <c r="C50" s="325"/>
      <c r="D50" s="325"/>
      <c r="E50" s="325"/>
      <c r="F50" s="664" t="s">
        <v>449</v>
      </c>
      <c r="G50" s="359"/>
      <c r="H50" s="354"/>
      <c r="I50" s="323"/>
    </row>
    <row r="51" customFormat="false" ht="17.1" hidden="false" customHeight="true" outlineLevel="0" collapsed="false">
      <c r="A51" s="292" t="s">
        <v>450</v>
      </c>
      <c r="B51" s="318" t="n">
        <f aca="false">PGL_Supplies!AA7/1000</f>
        <v>0</v>
      </c>
      <c r="C51" s="680"/>
      <c r="D51" s="325"/>
      <c r="E51" s="325"/>
      <c r="F51" s="690" t="s">
        <v>451</v>
      </c>
      <c r="G51" s="359"/>
      <c r="H51" s="327"/>
      <c r="I51" s="323"/>
    </row>
    <row r="52" customFormat="false" ht="17.1" hidden="false" customHeight="true" outlineLevel="0" collapsed="false">
      <c r="A52" s="292" t="s">
        <v>452</v>
      </c>
      <c r="B52" s="318" t="n">
        <f aca="false">NSG_Supplies!O7/1000+PGL_Supplies!Q7/1000</f>
        <v>0</v>
      </c>
      <c r="C52" s="325"/>
      <c r="D52" s="325"/>
      <c r="E52" s="325"/>
      <c r="F52" s="691" t="s">
        <v>453</v>
      </c>
      <c r="G52" s="381"/>
      <c r="H52" s="692"/>
      <c r="I52" s="323"/>
    </row>
    <row r="53" customFormat="false" ht="17.1" hidden="false" customHeight="true" outlineLevel="0" collapsed="false">
      <c r="A53" s="342" t="s">
        <v>454</v>
      </c>
      <c r="B53" s="318" t="n">
        <f aca="false">PGL_Requirements!J7/1000+NSG_Requirements!E7/1000</f>
        <v>0</v>
      </c>
      <c r="C53" s="325"/>
      <c r="D53" s="325"/>
      <c r="E53" s="325"/>
      <c r="F53" s="689" t="s">
        <v>326</v>
      </c>
      <c r="G53" s="693"/>
      <c r="H53" s="680"/>
      <c r="I53" s="323"/>
    </row>
    <row r="54" customFormat="false" ht="17.1" hidden="false" customHeight="true" outlineLevel="0" collapsed="false">
      <c r="A54" s="664" t="s">
        <v>455</v>
      </c>
      <c r="B54" s="694" t="n">
        <f aca="false">SUM(B50+B51+B52-B53)</f>
        <v>243.044</v>
      </c>
      <c r="C54" s="318"/>
      <c r="D54" s="325"/>
      <c r="E54" s="325"/>
      <c r="F54" s="386" t="s">
        <v>456</v>
      </c>
      <c r="G54" s="386"/>
      <c r="H54" s="386"/>
      <c r="I54" s="386"/>
    </row>
    <row r="55" customFormat="false" ht="17.1" hidden="false" customHeight="true" outlineLevel="0" collapsed="false">
      <c r="A55" s="686" t="s">
        <v>0</v>
      </c>
      <c r="B55" s="313" t="s">
        <v>86</v>
      </c>
      <c r="C55" s="313"/>
      <c r="D55" s="313"/>
      <c r="E55" s="313"/>
      <c r="F55" s="378" t="s">
        <v>457</v>
      </c>
      <c r="G55" s="325"/>
      <c r="H55" s="695"/>
      <c r="I55" s="666" t="n">
        <f aca="false">NSG_Supplies!P7/1000</f>
        <v>0</v>
      </c>
    </row>
    <row r="56" customFormat="false" ht="17.1" hidden="false" customHeight="true" outlineLevel="0" collapsed="false">
      <c r="A56" s="292" t="s">
        <v>426</v>
      </c>
      <c r="B56" s="318" t="n">
        <f aca="false">PGL_Supplies!U7/1000</f>
        <v>0</v>
      </c>
      <c r="C56" s="325"/>
      <c r="D56" s="325"/>
      <c r="E56" s="325"/>
      <c r="F56" s="378" t="s">
        <v>458</v>
      </c>
      <c r="G56" s="325"/>
      <c r="H56" s="696" t="n">
        <f aca="false">NSG_Requirements!B7/1000</f>
        <v>0</v>
      </c>
      <c r="I56" s="666" t="n">
        <f aca="false">NSG_Supplies!B7/1000</f>
        <v>0</v>
      </c>
    </row>
    <row r="57" customFormat="false" ht="17.1" hidden="false" customHeight="true" outlineLevel="0" collapsed="false">
      <c r="A57" s="292" t="s">
        <v>459</v>
      </c>
      <c r="B57" s="318" t="n">
        <f aca="false">PGL_Supplies!Z7/1000+PGL_Supplies!C7/1000-PGL_Requirements!C7/1000</f>
        <v>71.56</v>
      </c>
      <c r="C57" s="325"/>
      <c r="D57" s="325"/>
      <c r="E57" s="325"/>
      <c r="F57" s="378" t="s">
        <v>460</v>
      </c>
      <c r="G57" s="325"/>
      <c r="H57" s="696" t="n">
        <f aca="false">NSG_Requirements!S7/1000</f>
        <v>0</v>
      </c>
      <c r="I57" s="697"/>
    </row>
    <row r="58" customFormat="false" ht="17.1" hidden="false" customHeight="true" outlineLevel="0" collapsed="false">
      <c r="A58" s="292" t="s">
        <v>461</v>
      </c>
      <c r="B58" s="318" t="n">
        <f aca="false">PGL_Requirements!U7/1000</f>
        <v>0</v>
      </c>
      <c r="C58" s="325"/>
      <c r="D58" s="325"/>
      <c r="E58" s="325"/>
      <c r="F58" s="378" t="s">
        <v>462</v>
      </c>
      <c r="G58" s="325"/>
      <c r="H58" s="698"/>
      <c r="I58" s="377" t="n">
        <f aca="false">PGL_Requirements!V7/1000</f>
        <v>0</v>
      </c>
    </row>
    <row r="59" customFormat="false" ht="17.1" hidden="false" customHeight="true" outlineLevel="0" collapsed="false">
      <c r="A59" s="292" t="s">
        <v>463</v>
      </c>
      <c r="B59" s="318" t="n">
        <f aca="false">PGL_Supplies!R7/1000</f>
        <v>0</v>
      </c>
      <c r="C59" s="325"/>
      <c r="D59" s="325"/>
      <c r="E59" s="325"/>
      <c r="F59" s="699" t="s">
        <v>454</v>
      </c>
      <c r="G59" s="325"/>
      <c r="H59" s="700" t="n">
        <f aca="false">NSG_Requirements!D7/1000</f>
        <v>0</v>
      </c>
      <c r="I59" s="701"/>
    </row>
    <row r="60" customFormat="false" ht="17.1" hidden="false" customHeight="true" outlineLevel="0" collapsed="false">
      <c r="A60" s="342" t="s">
        <v>454</v>
      </c>
      <c r="B60" s="318" t="n">
        <f aca="false">PGL_Requirements!I7/1000</f>
        <v>0</v>
      </c>
      <c r="C60" s="325"/>
      <c r="D60" s="325"/>
      <c r="E60" s="325"/>
      <c r="F60" s="702" t="s">
        <v>464</v>
      </c>
      <c r="G60" s="359"/>
      <c r="H60" s="700" t="n">
        <f aca="false">NSG_Requirements!O7/1000</f>
        <v>0</v>
      </c>
      <c r="I60" s="666" t="n">
        <f aca="false">+NSG_Supplies!L7/1000</f>
        <v>15</v>
      </c>
    </row>
    <row r="61" customFormat="false" ht="17.1" hidden="false" customHeight="true" outlineLevel="0" collapsed="false">
      <c r="A61" s="292" t="s">
        <v>465</v>
      </c>
      <c r="B61" s="703" t="n">
        <f aca="false">(NSG_Requirements!$S$7+NSG_Requirements!$T$7+NSG_Requirements!$U$7+NSG_Requirements!$N$7)/1000</f>
        <v>0</v>
      </c>
      <c r="C61" s="325"/>
      <c r="D61" s="325"/>
      <c r="E61" s="325"/>
      <c r="F61" s="704" t="s">
        <v>466</v>
      </c>
      <c r="G61" s="684"/>
      <c r="H61" s="705"/>
      <c r="I61" s="706" t="n">
        <f aca="false">NSG_Supplies!M7/1000</f>
        <v>0</v>
      </c>
    </row>
    <row r="62" customFormat="false" ht="17.1" hidden="false" customHeight="true" outlineLevel="0" collapsed="false">
      <c r="A62" s="664" t="s">
        <v>455</v>
      </c>
      <c r="B62" s="694" t="n">
        <f aca="false">B56+B57-B58+B59-B60+B61</f>
        <v>71.56</v>
      </c>
      <c r="C62" s="400"/>
      <c r="D62" s="400"/>
      <c r="E62" s="400"/>
      <c r="F62" s="707" t="s">
        <v>467</v>
      </c>
      <c r="G62" s="325"/>
      <c r="H62" s="698"/>
      <c r="I62" s="708" t="n">
        <v>0</v>
      </c>
    </row>
    <row r="63" customFormat="false" ht="17.1" hidden="false" customHeight="true" outlineLevel="0" collapsed="false">
      <c r="A63" s="686" t="s">
        <v>0</v>
      </c>
      <c r="B63" s="687"/>
      <c r="C63" s="687" t="s">
        <v>468</v>
      </c>
      <c r="D63" s="687"/>
      <c r="E63" s="709" t="s">
        <v>0</v>
      </c>
      <c r="F63" s="689" t="s">
        <v>469</v>
      </c>
      <c r="G63" s="325"/>
      <c r="H63" s="698"/>
      <c r="I63" s="663" t="n">
        <f aca="false">I58+I60+I56-H56</f>
        <v>15</v>
      </c>
    </row>
    <row r="64" customFormat="false" ht="17.1" hidden="false" customHeight="true" outlineLevel="0" collapsed="false">
      <c r="A64" s="292" t="s">
        <v>426</v>
      </c>
      <c r="B64" s="318" t="n">
        <f aca="false">PGL_Supplies!Y7/1000</f>
        <v>207.088</v>
      </c>
      <c r="C64" s="325"/>
      <c r="D64" s="325"/>
      <c r="E64" s="710"/>
      <c r="F64" s="386" t="s">
        <v>470</v>
      </c>
      <c r="G64" s="386"/>
      <c r="H64" s="386"/>
      <c r="I64" s="386"/>
    </row>
    <row r="65" customFormat="false" ht="17.1" hidden="false" customHeight="true" outlineLevel="0" collapsed="false">
      <c r="A65" s="292" t="s">
        <v>471</v>
      </c>
      <c r="B65" s="318" t="n">
        <f aca="false">PGL_Supplies!AD7/1000+PGL_Supplies!G7/1000-PGL_Requirements!F7/1000</f>
        <v>0</v>
      </c>
      <c r="C65" s="407" t="s">
        <v>0</v>
      </c>
      <c r="D65" s="325"/>
      <c r="E65" s="408"/>
      <c r="F65" s="711" t="s">
        <v>472</v>
      </c>
      <c r="G65" s="712"/>
      <c r="H65" s="713"/>
      <c r="I65" s="714" t="n">
        <f aca="false">NSG_Supplies!O7/1000</f>
        <v>0</v>
      </c>
    </row>
    <row r="66" customFormat="false" ht="17.1" hidden="false" customHeight="true" outlineLevel="0" collapsed="false">
      <c r="A66" s="292" t="s">
        <v>473</v>
      </c>
      <c r="B66" s="318" t="n">
        <f aca="false">PGL_Supplies!AE7/1000</f>
        <v>0</v>
      </c>
      <c r="C66" s="407" t="s">
        <v>0</v>
      </c>
      <c r="D66" s="325"/>
      <c r="E66" s="408"/>
      <c r="F66" s="712" t="s">
        <v>474</v>
      </c>
      <c r="G66" s="712"/>
      <c r="H66" s="715" t="n">
        <f aca="false">NSG_Requirements!M7/1000</f>
        <v>0</v>
      </c>
      <c r="I66" s="697"/>
    </row>
    <row r="67" customFormat="false" ht="17.1" hidden="false" customHeight="true" outlineLevel="0" collapsed="false">
      <c r="A67" s="292" t="s">
        <v>475</v>
      </c>
      <c r="B67" s="379" t="n">
        <f aca="false">PGL_Requirements!T7/1000</f>
        <v>0</v>
      </c>
      <c r="C67" s="716" t="s">
        <v>0</v>
      </c>
      <c r="D67" s="325"/>
      <c r="E67" s="408"/>
      <c r="F67" s="712" t="s">
        <v>476</v>
      </c>
      <c r="G67" s="712"/>
      <c r="H67" s="703" t="n">
        <f aca="false">(NSG_Requirements!$Y$7+NSG_Requirements!$Z$7+NSG_Requirements!$AA$7)/1000</f>
        <v>0</v>
      </c>
      <c r="I67" s="717" t="n">
        <f aca="false">(PGL_Requirements!$AC$7+PGL_Requirements!$AD$7+PGL_Requirements!$AE$7)/1000</f>
        <v>0</v>
      </c>
    </row>
    <row r="68" customFormat="false" ht="17.1" hidden="false" customHeight="true" outlineLevel="0" collapsed="false">
      <c r="A68" s="292" t="s">
        <v>477</v>
      </c>
      <c r="B68" s="318" t="n">
        <f aca="false">PGL_Supplies!P7/1000</f>
        <v>0</v>
      </c>
      <c r="C68" s="407" t="s">
        <v>0</v>
      </c>
      <c r="D68" s="325"/>
      <c r="E68" s="408"/>
      <c r="F68" s="718"/>
      <c r="G68" s="718"/>
      <c r="H68" s="719"/>
      <c r="I68" s="720"/>
    </row>
    <row r="69" customFormat="false" ht="17.1" hidden="false" customHeight="true" outlineLevel="0" collapsed="false">
      <c r="A69" s="342" t="s">
        <v>454</v>
      </c>
      <c r="B69" s="379" t="n">
        <f aca="false">PGL_Requirements!N7/1000</f>
        <v>0</v>
      </c>
      <c r="C69" s="716" t="s">
        <v>0</v>
      </c>
      <c r="D69" s="325"/>
      <c r="E69" s="721"/>
      <c r="F69" s="722" t="s">
        <v>478</v>
      </c>
      <c r="G69" s="713" t="s">
        <v>0</v>
      </c>
      <c r="H69" s="675" t="s">
        <v>479</v>
      </c>
      <c r="I69" s="408"/>
    </row>
    <row r="70" customFormat="false" ht="17.1" hidden="false" customHeight="true" outlineLevel="0" collapsed="false">
      <c r="A70" s="292" t="s">
        <v>480</v>
      </c>
      <c r="B70" s="379" t="n">
        <f aca="false">PGL_Requirements!P7/1000</f>
        <v>150</v>
      </c>
      <c r="C70" s="716" t="s">
        <v>0</v>
      </c>
      <c r="D70" s="325"/>
      <c r="E70" s="408"/>
      <c r="F70" s="722" t="s">
        <v>481</v>
      </c>
      <c r="G70" s="713" t="s">
        <v>0</v>
      </c>
      <c r="H70" s="723" t="s">
        <v>482</v>
      </c>
      <c r="I70" s="724"/>
    </row>
    <row r="71" customFormat="false" ht="17.1" hidden="false" customHeight="true" outlineLevel="0" collapsed="false">
      <c r="A71" s="292" t="s">
        <v>483</v>
      </c>
      <c r="B71" s="379" t="n">
        <f aca="false">PGL_Requirements!F7/1000</f>
        <v>0</v>
      </c>
      <c r="C71" s="407" t="s">
        <v>0</v>
      </c>
      <c r="D71" s="325"/>
      <c r="E71" s="408"/>
      <c r="F71" s="712" t="s">
        <v>484</v>
      </c>
      <c r="G71" s="713" t="s">
        <v>0</v>
      </c>
      <c r="H71" s="725"/>
      <c r="I71" s="408" t="s">
        <v>0</v>
      </c>
    </row>
    <row r="72" customFormat="false" ht="17.1" hidden="false" customHeight="true" outlineLevel="0" collapsed="false">
      <c r="A72" s="726" t="s">
        <v>455</v>
      </c>
      <c r="B72" s="727" t="n">
        <f aca="false">+B65+B64+B66+B68-B67-B69-B70</f>
        <v>57.088</v>
      </c>
      <c r="C72" s="727" t="s">
        <v>0</v>
      </c>
      <c r="D72" s="728"/>
      <c r="E72" s="729"/>
      <c r="F72" s="730"/>
      <c r="G72" s="731"/>
      <c r="H72" s="732"/>
      <c r="I72" s="462"/>
    </row>
    <row r="73" customFormat="false" ht="17.1" hidden="false" customHeight="true" outlineLevel="0" collapsed="false">
      <c r="A73" s="386" t="s">
        <v>485</v>
      </c>
      <c r="B73" s="386"/>
      <c r="C73" s="386"/>
      <c r="D73" s="680"/>
      <c r="E73" s="680"/>
      <c r="F73" s="733" t="s">
        <v>486</v>
      </c>
      <c r="G73" s="734" t="str">
        <f aca="false">CHOOSE(WEEKDAY(H73),"SUN","MON","TUE","WED","THU","FRI","SAT")</f>
        <v>WED</v>
      </c>
      <c r="H73" s="735" t="n">
        <f aca="false">Weather_Input!A5</f>
        <v>36999</v>
      </c>
      <c r="I73" s="383"/>
    </row>
    <row r="74" customFormat="false" ht="17.1" hidden="false" customHeight="true" outlineLevel="0" collapsed="false">
      <c r="A74" s="711" t="s">
        <v>487</v>
      </c>
      <c r="B74" s="325" t="s">
        <v>0</v>
      </c>
      <c r="C74" s="326"/>
      <c r="D74" s="736"/>
      <c r="E74" s="680"/>
      <c r="F74" s="680"/>
      <c r="G74" s="680"/>
      <c r="H74" s="680"/>
      <c r="I74" s="383"/>
    </row>
    <row r="75" customFormat="false" ht="17.1" hidden="false" customHeight="true" outlineLevel="0" collapsed="false">
      <c r="A75" s="378" t="s">
        <v>488</v>
      </c>
      <c r="B75" s="325"/>
      <c r="C75" s="326"/>
      <c r="D75" s="737"/>
      <c r="E75" s="712"/>
      <c r="F75" s="712"/>
      <c r="G75" s="712"/>
      <c r="H75" s="680"/>
      <c r="I75" s="383"/>
    </row>
    <row r="76" customFormat="false" ht="17.1" hidden="false" customHeight="true" outlineLevel="0" collapsed="false">
      <c r="A76" s="738" t="s">
        <v>489</v>
      </c>
      <c r="B76" s="684"/>
      <c r="C76" s="685"/>
      <c r="D76" s="739" t="s">
        <v>490</v>
      </c>
      <c r="E76" s="740"/>
      <c r="F76" s="741" t="s">
        <v>491</v>
      </c>
      <c r="G76" s="742"/>
      <c r="H76" s="743" t="s">
        <v>266</v>
      </c>
      <c r="I76" s="744" t="s">
        <v>266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0</v>
      </c>
      <c r="C78" s="0"/>
      <c r="D78" s="0"/>
      <c r="E78" s="0"/>
      <c r="F78" s="319"/>
      <c r="G78" s="319"/>
      <c r="I78" s="0"/>
    </row>
    <row r="79" customFormat="false" ht="15" hidden="false" customHeight="false" outlineLevel="0" collapsed="false">
      <c r="B79" s="0"/>
      <c r="C79" s="0"/>
      <c r="D79" s="0"/>
      <c r="E79" s="0"/>
      <c r="F79" s="319"/>
      <c r="G79" s="319"/>
    </row>
    <row r="80" customFormat="false" ht="15" hidden="false" customHeight="false" outlineLevel="0" collapsed="false">
      <c r="B80" s="0"/>
      <c r="C80" s="0"/>
      <c r="D80" s="0"/>
      <c r="E80" s="0"/>
      <c r="F80" s="319"/>
      <c r="G80" s="319"/>
      <c r="J80" s="0"/>
    </row>
    <row r="81" customFormat="false" ht="12" hidden="false" customHeight="false" outlineLevel="0" collapsed="false">
      <c r="B81" s="319"/>
      <c r="C81" s="319"/>
      <c r="D81" s="319"/>
      <c r="E81" s="319"/>
      <c r="F81" s="319"/>
      <c r="G81" s="319"/>
    </row>
    <row r="82" customFormat="false" ht="12" hidden="false" customHeight="false" outlineLevel="0" collapsed="false">
      <c r="B82" s="319"/>
      <c r="C82" s="319"/>
      <c r="D82" s="319"/>
      <c r="E82" s="319"/>
      <c r="F82" s="319"/>
      <c r="G82" s="319"/>
    </row>
    <row r="83" customFormat="false" ht="12" hidden="false" customHeight="false" outlineLevel="0" collapsed="false">
      <c r="B83" s="319"/>
      <c r="C83" s="319"/>
      <c r="D83" s="319"/>
      <c r="E83" s="319"/>
      <c r="F83" s="319"/>
      <c r="G83" s="319"/>
    </row>
    <row r="84" customFormat="false" ht="12" hidden="false" customHeight="false" outlineLevel="0" collapsed="false">
      <c r="B84" s="319"/>
      <c r="C84" s="319"/>
      <c r="D84" s="319"/>
      <c r="E84" s="319"/>
      <c r="F84" s="319"/>
      <c r="G84" s="319"/>
    </row>
    <row r="85" customFormat="false" ht="12" hidden="false" customHeight="false" outlineLevel="0" collapsed="false">
      <c r="B85" s="319"/>
      <c r="C85" s="319"/>
      <c r="D85" s="319"/>
      <c r="E85" s="319"/>
      <c r="F85" s="319"/>
      <c r="G85" s="319"/>
    </row>
    <row r="86" customFormat="false" ht="12" hidden="false" customHeight="false" outlineLevel="0" collapsed="false">
      <c r="B86" s="319"/>
      <c r="C86" s="319"/>
      <c r="D86" s="319"/>
      <c r="E86" s="319"/>
      <c r="F86" s="319"/>
      <c r="G86" s="319"/>
    </row>
    <row r="87" customFormat="false" ht="12" hidden="false" customHeight="false" outlineLevel="0" collapsed="false">
      <c r="B87" s="319"/>
      <c r="C87" s="319"/>
      <c r="D87" s="319"/>
      <c r="E87" s="319"/>
      <c r="F87" s="319"/>
      <c r="G87" s="319"/>
    </row>
    <row r="88" customFormat="false" ht="12" hidden="false" customHeight="false" outlineLevel="0" collapsed="false">
      <c r="B88" s="319"/>
      <c r="C88" s="319"/>
      <c r="D88" s="319"/>
      <c r="E88" s="319"/>
      <c r="F88" s="319"/>
      <c r="G88" s="319"/>
    </row>
    <row r="89" customFormat="false" ht="12.75" hidden="false" customHeight="false" outlineLevel="0" collapsed="false">
      <c r="B89" s="319"/>
      <c r="C89" s="319"/>
      <c r="D89" s="319"/>
      <c r="E89" s="319"/>
      <c r="F89" s="319"/>
      <c r="G89" s="319"/>
    </row>
    <row r="90" customFormat="false" ht="16.5" hidden="false" customHeight="false" outlineLevel="0" collapsed="false">
      <c r="A90" s="213" t="s">
        <v>492</v>
      </c>
      <c r="B90" s="214"/>
      <c r="C90" s="214"/>
      <c r="D90" s="214"/>
      <c r="E90" s="215" t="s">
        <v>265</v>
      </c>
      <c r="F90" s="216" t="n">
        <f aca="false">Weather_Input!L5</f>
        <v>1</v>
      </c>
      <c r="G90" s="745" t="s">
        <v>0</v>
      </c>
      <c r="H90" s="218"/>
      <c r="I90" s="219"/>
    </row>
    <row r="91" customFormat="false" ht="15.75" hidden="false" customHeight="false" outlineLevel="0" collapsed="false">
      <c r="A91" s="220"/>
      <c r="B91" s="221" t="s">
        <v>493</v>
      </c>
      <c r="C91" s="233" t="s">
        <v>0</v>
      </c>
      <c r="D91" s="223" t="s">
        <v>494</v>
      </c>
      <c r="E91" s="224"/>
      <c r="F91" s="225" t="s">
        <v>495</v>
      </c>
      <c r="G91" s="224"/>
      <c r="H91" s="225" t="s">
        <v>270</v>
      </c>
      <c r="I91" s="226"/>
    </row>
    <row r="92" customFormat="false" ht="15" hidden="false" customHeight="false" outlineLevel="0" collapsed="false">
      <c r="A92" s="252" t="s">
        <v>496</v>
      </c>
      <c r="B92" s="223" t="s">
        <v>272</v>
      </c>
      <c r="C92" s="228" t="s">
        <v>273</v>
      </c>
      <c r="D92" s="223" t="s">
        <v>18</v>
      </c>
      <c r="E92" s="228" t="s">
        <v>273</v>
      </c>
      <c r="F92" s="223" t="s">
        <v>18</v>
      </c>
      <c r="G92" s="228" t="s">
        <v>273</v>
      </c>
      <c r="H92" s="223" t="s">
        <v>18</v>
      </c>
      <c r="I92" s="226" t="s">
        <v>273</v>
      </c>
    </row>
    <row r="93" customFormat="false" ht="15.75" hidden="false" customHeight="false" outlineLevel="0" collapsed="false">
      <c r="A93" s="220" t="s">
        <v>0</v>
      </c>
      <c r="B93" s="232"/>
      <c r="C93" s="277"/>
      <c r="D93" s="231"/>
      <c r="E93" s="231"/>
      <c r="F93" s="232"/>
      <c r="G93" s="233"/>
      <c r="H93" s="233"/>
      <c r="I93" s="234"/>
    </row>
    <row r="94" customFormat="false" ht="16.5" hidden="false" customHeight="false" outlineLevel="0" collapsed="false">
      <c r="A94" s="220" t="s">
        <v>275</v>
      </c>
      <c r="B94" s="746" t="s">
        <v>0</v>
      </c>
      <c r="C94" s="747" t="s">
        <v>0</v>
      </c>
      <c r="D94" s="748" t="s">
        <v>0</v>
      </c>
      <c r="E94" s="749"/>
      <c r="F94" s="750"/>
      <c r="G94" s="283"/>
      <c r="H94" s="750"/>
      <c r="I94" s="226"/>
    </row>
    <row r="95" customFormat="false" ht="16.5" hidden="false" customHeight="false" outlineLevel="0" collapsed="false">
      <c r="A95" s="248"/>
      <c r="B95" s="249" t="s">
        <v>0</v>
      </c>
      <c r="C95" s="249" t="s">
        <v>0</v>
      </c>
      <c r="D95" s="250"/>
      <c r="E95" s="250"/>
      <c r="F95" s="250"/>
      <c r="G95" s="250"/>
      <c r="H95" s="250"/>
      <c r="I95" s="251"/>
    </row>
    <row r="96" customFormat="false" ht="15" hidden="false" customHeight="false" outlineLevel="0" collapsed="false">
      <c r="A96" s="252" t="s">
        <v>410</v>
      </c>
      <c r="B96" s="253" t="s">
        <v>0</v>
      </c>
      <c r="C96" s="751" t="e">
        <f aca="false">I150</f>
        <v>#REF!</v>
      </c>
      <c r="D96" s="255"/>
      <c r="E96" s="233"/>
      <c r="F96" s="255"/>
      <c r="G96" s="233"/>
      <c r="H96" s="255"/>
      <c r="I96" s="234" t="s">
        <v>0</v>
      </c>
    </row>
    <row r="97" customFormat="false" ht="15" hidden="false" customHeight="false" outlineLevel="0" collapsed="false">
      <c r="A97" s="252" t="s">
        <v>86</v>
      </c>
      <c r="B97" s="261" t="s">
        <v>0</v>
      </c>
      <c r="C97" s="751" t="n">
        <f aca="false">B133</f>
        <v>41.16</v>
      </c>
      <c r="D97" s="231"/>
      <c r="E97" s="254" t="n">
        <f aca="false">+C97</f>
        <v>41.16</v>
      </c>
      <c r="F97" s="231"/>
      <c r="G97" s="254" t="n">
        <f aca="false">+C97</f>
        <v>41.16</v>
      </c>
      <c r="H97" s="231"/>
      <c r="I97" s="260" t="n">
        <f aca="false">+C97</f>
        <v>41.16</v>
      </c>
    </row>
    <row r="98" customFormat="false" ht="15" hidden="false" customHeight="false" outlineLevel="0" collapsed="false">
      <c r="A98" s="252" t="s">
        <v>75</v>
      </c>
      <c r="B98" s="261" t="s">
        <v>0</v>
      </c>
      <c r="C98" s="751" t="n">
        <f aca="false">B149</f>
        <v>1</v>
      </c>
      <c r="D98" s="231"/>
      <c r="E98" s="233"/>
      <c r="F98" s="231"/>
      <c r="G98" s="233"/>
      <c r="H98" s="231"/>
      <c r="I98" s="234"/>
    </row>
    <row r="99" customFormat="false" ht="15" hidden="false" customHeight="false" outlineLevel="0" collapsed="false">
      <c r="A99" s="252" t="s">
        <v>87</v>
      </c>
      <c r="B99" s="261" t="s">
        <v>0</v>
      </c>
      <c r="C99" s="751" t="n">
        <f aca="false">B141</f>
        <v>243.044</v>
      </c>
      <c r="D99" s="237"/>
      <c r="E99" s="233"/>
      <c r="F99" s="231"/>
      <c r="G99" s="233"/>
      <c r="H99" s="231"/>
      <c r="I99" s="234"/>
    </row>
    <row r="100" customFormat="false" ht="15" hidden="false" customHeight="false" outlineLevel="0" collapsed="false">
      <c r="A100" s="252" t="s">
        <v>338</v>
      </c>
      <c r="B100" s="262" t="s">
        <v>0</v>
      </c>
      <c r="C100" s="751" t="n">
        <f aca="false">I157+I158</f>
        <v>0</v>
      </c>
      <c r="D100" s="231"/>
      <c r="E100" s="233"/>
      <c r="F100" s="231"/>
      <c r="G100" s="233"/>
      <c r="H100" s="231"/>
      <c r="I100" s="234"/>
    </row>
    <row r="101" customFormat="false" ht="15" hidden="false" customHeight="false" outlineLevel="0" collapsed="false">
      <c r="A101" s="252" t="s">
        <v>282</v>
      </c>
      <c r="B101" s="261" t="s">
        <v>0</v>
      </c>
      <c r="C101" s="751" t="e">
        <f aca="false">I146</f>
        <v>#REF!</v>
      </c>
      <c r="D101" s="231" t="s">
        <v>0</v>
      </c>
      <c r="E101" s="233"/>
      <c r="F101" s="231"/>
      <c r="G101" s="233"/>
      <c r="H101" s="231"/>
      <c r="I101" s="234"/>
    </row>
    <row r="102" customFormat="false" ht="15" hidden="false" customHeight="false" outlineLevel="0" collapsed="false">
      <c r="A102" s="252" t="s">
        <v>43</v>
      </c>
      <c r="B102" s="261" t="s">
        <v>2</v>
      </c>
      <c r="C102" s="751" t="n">
        <f aca="false">B162</f>
        <v>207.088</v>
      </c>
      <c r="D102" s="231"/>
      <c r="E102" s="233"/>
      <c r="F102" s="231"/>
      <c r="G102" s="233"/>
      <c r="H102" s="231"/>
      <c r="I102" s="234"/>
    </row>
    <row r="103" customFormat="false" ht="15" hidden="false" customHeight="false" outlineLevel="0" collapsed="false">
      <c r="A103" s="252" t="s">
        <v>147</v>
      </c>
      <c r="B103" s="261" t="s">
        <v>0</v>
      </c>
      <c r="C103" s="751" t="n">
        <f aca="false">PGL_Requirements!G7/1000</f>
        <v>0</v>
      </c>
      <c r="D103" s="237"/>
      <c r="E103" s="233"/>
      <c r="F103" s="231"/>
      <c r="G103" s="233"/>
      <c r="H103" s="231"/>
      <c r="I103" s="234"/>
    </row>
    <row r="104" customFormat="false" ht="15.75" hidden="false" customHeight="false" outlineLevel="0" collapsed="false">
      <c r="A104" s="252" t="s">
        <v>166</v>
      </c>
      <c r="B104" s="264" t="s">
        <v>0</v>
      </c>
      <c r="C104" s="751" t="n">
        <f aca="false">PGL_Supplies!B7/1000</f>
        <v>0</v>
      </c>
      <c r="D104" s="223"/>
      <c r="E104" s="233"/>
      <c r="F104" s="231"/>
      <c r="G104" s="233"/>
      <c r="H104" s="231"/>
      <c r="I104" s="234"/>
    </row>
    <row r="105" customFormat="false" ht="16.5" hidden="false" customHeight="false" outlineLevel="0" collapsed="false">
      <c r="A105" s="265" t="s">
        <v>497</v>
      </c>
      <c r="B105" s="266" t="s">
        <v>0</v>
      </c>
      <c r="C105" s="267" t="s">
        <v>0</v>
      </c>
      <c r="D105" s="268" t="s">
        <v>0</v>
      </c>
      <c r="E105" s="269" t="s">
        <v>0</v>
      </c>
      <c r="F105" s="268" t="s">
        <v>0</v>
      </c>
      <c r="G105" s="269" t="s">
        <v>0</v>
      </c>
      <c r="H105" s="268" t="s">
        <v>0</v>
      </c>
      <c r="I105" s="270"/>
    </row>
    <row r="106" customFormat="false" ht="16.5" hidden="false" customHeight="false" outlineLevel="0" collapsed="false">
      <c r="A106" s="271" t="s">
        <v>44</v>
      </c>
      <c r="B106" s="272" t="n">
        <f aca="false">-PGL_Supplies!U7/1000</f>
        <v>-0</v>
      </c>
      <c r="C106" s="752" t="n">
        <f aca="false">-NSG_Supplies!AF7/1000</f>
        <v>-0</v>
      </c>
      <c r="D106" s="274"/>
      <c r="E106" s="753"/>
      <c r="F106" s="274"/>
      <c r="G106" s="753"/>
      <c r="H106" s="275"/>
      <c r="I106" s="754"/>
    </row>
    <row r="107" customFormat="false" ht="15" hidden="false" customHeight="false" outlineLevel="0" collapsed="false">
      <c r="A107" s="252" t="s">
        <v>498</v>
      </c>
      <c r="B107" s="261" t="e">
        <f aca="false">B94+B105+B106</f>
        <v>#VALUE!</v>
      </c>
      <c r="C107" s="650" t="e">
        <f aca="false">C94+C105+C106</f>
        <v>#VALUE!</v>
      </c>
      <c r="D107" s="277"/>
      <c r="E107" s="232"/>
      <c r="F107" s="277"/>
      <c r="G107" s="232"/>
      <c r="H107" s="233"/>
      <c r="I107" s="226"/>
    </row>
    <row r="108" customFormat="false" ht="15" hidden="false" customHeight="false" outlineLevel="0" collapsed="false">
      <c r="A108" s="252" t="s">
        <v>289</v>
      </c>
      <c r="B108" s="261" t="n">
        <v>0</v>
      </c>
      <c r="C108" s="232"/>
      <c r="D108" s="277"/>
      <c r="E108" s="232"/>
      <c r="F108" s="277"/>
      <c r="G108" s="232"/>
      <c r="H108" s="233"/>
      <c r="I108" s="239"/>
    </row>
    <row r="109" customFormat="false" ht="15" hidden="false" customHeight="false" outlineLevel="0" collapsed="false">
      <c r="A109" s="252" t="s">
        <v>290</v>
      </c>
      <c r="B109" s="261" t="n">
        <f aca="false">+B129</f>
        <v>0</v>
      </c>
      <c r="C109" s="232"/>
      <c r="D109" s="277"/>
      <c r="E109" s="232"/>
      <c r="F109" s="279" t="s">
        <v>0</v>
      </c>
      <c r="G109" s="642"/>
      <c r="H109" s="651" t="s">
        <v>0</v>
      </c>
      <c r="I109" s="226"/>
    </row>
    <row r="110" customFormat="false" ht="15.75" hidden="false" customHeight="false" outlineLevel="0" collapsed="false">
      <c r="A110" s="755" t="s">
        <v>291</v>
      </c>
      <c r="B110" s="653" t="e">
        <f aca="false">B107+B108+B109</f>
        <v>#VALUE!</v>
      </c>
      <c r="C110" s="654" t="e">
        <f aca="false">C107</f>
        <v>#VALUE!</v>
      </c>
      <c r="D110" s="277"/>
      <c r="E110" s="232"/>
      <c r="F110" s="238"/>
      <c r="G110" s="232"/>
      <c r="H110" s="655" t="s">
        <v>0</v>
      </c>
      <c r="I110" s="656" t="s">
        <v>0</v>
      </c>
    </row>
    <row r="111" customFormat="false" ht="16.5" hidden="false" customHeight="false" outlineLevel="0" collapsed="false">
      <c r="A111" s="756" t="s">
        <v>292</v>
      </c>
      <c r="B111" s="642" t="n">
        <f aca="false">-NSG_Requirements!$L$7/1000</f>
        <v>-0</v>
      </c>
      <c r="C111" s="642" t="n">
        <f aca="false">NSG_Requirements!$L$7/1000</f>
        <v>0</v>
      </c>
      <c r="D111" s="303" t="n">
        <f aca="false">B111</f>
        <v>-0</v>
      </c>
      <c r="E111" s="642" t="n">
        <f aca="false">C111</f>
        <v>0</v>
      </c>
      <c r="F111" s="303" t="n">
        <f aca="false">B111</f>
        <v>-0</v>
      </c>
      <c r="G111" s="642" t="n">
        <f aca="false">C111</f>
        <v>0</v>
      </c>
      <c r="H111" s="658" t="n">
        <f aca="false">B111</f>
        <v>-0</v>
      </c>
      <c r="I111" s="659" t="n">
        <f aca="false">C111</f>
        <v>0</v>
      </c>
    </row>
    <row r="112" customFormat="false" ht="15" hidden="false" customHeight="false" outlineLevel="0" collapsed="false">
      <c r="A112" s="252" t="s">
        <v>499</v>
      </c>
      <c r="B112" s="642"/>
      <c r="C112" s="642"/>
      <c r="D112" s="303"/>
      <c r="E112" s="642"/>
      <c r="F112" s="303"/>
      <c r="G112" s="642"/>
      <c r="H112" s="298"/>
      <c r="I112" s="757"/>
    </row>
    <row r="113" customFormat="false" ht="15.75" hidden="false" customHeight="false" outlineLevel="0" collapsed="false">
      <c r="A113" s="292" t="s">
        <v>376</v>
      </c>
      <c r="B113" s="661" t="n">
        <f aca="false">PGL_Requirements!V7/1000</f>
        <v>0</v>
      </c>
      <c r="C113" s="661" t="n">
        <f aca="false">NSG_Requirements!Q7/1000</f>
        <v>0</v>
      </c>
      <c r="D113" s="661" t="n">
        <f aca="false">B113</f>
        <v>0</v>
      </c>
      <c r="E113" s="661" t="n">
        <f aca="false">+C113</f>
        <v>0</v>
      </c>
      <c r="F113" s="661" t="n">
        <f aca="false">B113</f>
        <v>0</v>
      </c>
      <c r="G113" s="661" t="n">
        <f aca="false">+C113</f>
        <v>0</v>
      </c>
      <c r="H113" s="662" t="n">
        <f aca="false">B113</f>
        <v>0</v>
      </c>
      <c r="I113" s="663" t="n">
        <f aca="false">+C113</f>
        <v>0</v>
      </c>
    </row>
    <row r="114" customFormat="false" ht="15.75" hidden="false" customHeight="false" outlineLevel="0" collapsed="false">
      <c r="A114" s="292" t="s">
        <v>500</v>
      </c>
      <c r="B114" s="661" t="n">
        <f aca="false">PGL_Requirements!AC7/1000</f>
        <v>0</v>
      </c>
      <c r="C114" s="661" t="n">
        <f aca="false">NSG_Requirements!AA7/1000</f>
        <v>0</v>
      </c>
      <c r="D114" s="661" t="n">
        <f aca="false">PGL_Requirements!AC7/1000</f>
        <v>0</v>
      </c>
      <c r="E114" s="661" t="n">
        <f aca="false">NSG_Requirements!AA7/1000</f>
        <v>0</v>
      </c>
      <c r="F114" s="661" t="n">
        <f aca="false">PGL_Requirements!AC7/1000</f>
        <v>0</v>
      </c>
      <c r="G114" s="661" t="n">
        <f aca="false">NSG_Requirements!AA7/1000</f>
        <v>0</v>
      </c>
      <c r="H114" s="662" t="n">
        <f aca="false">+B114</f>
        <v>0</v>
      </c>
      <c r="I114" s="663" t="n">
        <f aca="false">+C114</f>
        <v>0</v>
      </c>
    </row>
    <row r="115" customFormat="false" ht="15" hidden="false" customHeight="false" outlineLevel="0" collapsed="false">
      <c r="A115" s="292" t="s">
        <v>501</v>
      </c>
      <c r="B115" s="324" t="n">
        <v>0</v>
      </c>
      <c r="C115" s="324" t="n">
        <v>0</v>
      </c>
      <c r="D115" s="324" t="n">
        <v>0</v>
      </c>
      <c r="E115" s="324" t="n">
        <v>0</v>
      </c>
      <c r="F115" s="324" t="n">
        <v>0</v>
      </c>
      <c r="G115" s="324" t="n">
        <f aca="false">C115</f>
        <v>0</v>
      </c>
      <c r="H115" s="665" t="n">
        <f aca="false">B115</f>
        <v>0</v>
      </c>
      <c r="I115" s="666" t="n">
        <f aca="false">C115</f>
        <v>0</v>
      </c>
    </row>
    <row r="116" customFormat="false" ht="15" hidden="false" customHeight="false" outlineLevel="0" collapsed="false">
      <c r="A116" s="292" t="s">
        <v>377</v>
      </c>
      <c r="B116" s="667" t="n">
        <f aca="false">-PGL_Supplies!Z7/1000</f>
        <v>-41.16</v>
      </c>
      <c r="C116" s="667" t="n">
        <f aca="false">-NSG_Supplies!W7/1000</f>
        <v>-0</v>
      </c>
      <c r="D116" s="324" t="n">
        <f aca="false">-PGL_Supplies!Z7/1000</f>
        <v>-41.16</v>
      </c>
      <c r="E116" s="324" t="n">
        <f aca="false">-NSG_Supplies!W7/1000</f>
        <v>-0</v>
      </c>
      <c r="F116" s="324" t="n">
        <f aca="false">-PGL_Supplies!Z7/1000</f>
        <v>-41.16</v>
      </c>
      <c r="G116" s="324" t="n">
        <f aca="false">-NSG_Supplies!W7/1000</f>
        <v>-0</v>
      </c>
      <c r="H116" s="665" t="n">
        <f aca="false">-PGL_Supplies!Z7/1000</f>
        <v>-41.16</v>
      </c>
      <c r="I116" s="666" t="n">
        <f aca="false">-NSG_Supplies!W7/1000</f>
        <v>-0</v>
      </c>
    </row>
    <row r="117" customFormat="false" ht="15" hidden="false" customHeight="false" outlineLevel="0" collapsed="false">
      <c r="A117" s="292" t="s">
        <v>379</v>
      </c>
      <c r="B117" s="324" t="n">
        <f aca="false">-PGL_Supplies!AA7/1000</f>
        <v>-0</v>
      </c>
      <c r="C117" s="324" t="n">
        <f aca="false">-NSG_Supplies!X7/1000</f>
        <v>-0</v>
      </c>
      <c r="D117" s="324" t="n">
        <f aca="false">-PGL_Supplies!AA7/1000</f>
        <v>-0</v>
      </c>
      <c r="E117" s="324" t="n">
        <f aca="false">-NSG_Supplies!X7/1000</f>
        <v>-0</v>
      </c>
      <c r="F117" s="324" t="n">
        <f aca="false">-PGL_Supplies!AA7/1000</f>
        <v>-0</v>
      </c>
      <c r="G117" s="324" t="n">
        <f aca="false">-NSG_Supplies!X7/1000</f>
        <v>-0</v>
      </c>
      <c r="H117" s="665" t="n">
        <f aca="false">-PGL_Supplies!AA7/1000</f>
        <v>-0</v>
      </c>
      <c r="I117" s="666" t="n">
        <f aca="false">-NSG_Supplies!X7/1000</f>
        <v>-0</v>
      </c>
    </row>
    <row r="118" customFormat="false" ht="15.75" hidden="false" customHeight="false" outlineLevel="0" collapsed="false">
      <c r="A118" s="292" t="s">
        <v>294</v>
      </c>
      <c r="B118" s="669" t="n">
        <f aca="false">(PGL_Requirements!$Y$7+PGL_Requirements!$Z$7+PGL_Requirements!$AA$7)/1000+(NSG_Requirements!$V$7+NSG_Requirements!$W$7+NSG_Requirements!$X$7)/1000</f>
        <v>0</v>
      </c>
      <c r="C118" s="669" t="n">
        <f aca="false">-(PGL_Requirements!$Y$7+PGL_Requirements!$Z$7+PGL_Requirements!$AA$7)/1000+(NSG_Requirements!$V$7+NSG_Requirements!$W$7+NSG_Requirements!$X$7)/1000</f>
        <v>0</v>
      </c>
      <c r="D118" s="661" t="n">
        <f aca="false">+B118</f>
        <v>0</v>
      </c>
      <c r="E118" s="324" t="n">
        <f aca="false">+C118</f>
        <v>0</v>
      </c>
      <c r="F118" s="661" t="n">
        <f aca="false">+B118</f>
        <v>0</v>
      </c>
      <c r="G118" s="324" t="n">
        <f aca="false">+E118</f>
        <v>0</v>
      </c>
      <c r="H118" s="662" t="n">
        <f aca="false">+B118</f>
        <v>0</v>
      </c>
      <c r="I118" s="663" t="n">
        <f aca="false">+C118</f>
        <v>0</v>
      </c>
    </row>
    <row r="119" customFormat="false" ht="15" hidden="false" customHeight="false" outlineLevel="0" collapsed="false">
      <c r="A119" s="292" t="s">
        <v>295</v>
      </c>
      <c r="B119" s="324" t="n">
        <f aca="false">-PGL_Supplies!AN7/1000</f>
        <v>-0</v>
      </c>
      <c r="C119" s="324" t="n">
        <f aca="false">-NSG_Supplies!AD7/1000</f>
        <v>-0</v>
      </c>
      <c r="D119" s="324" t="n">
        <f aca="false">B119</f>
        <v>-0</v>
      </c>
      <c r="E119" s="324" t="n">
        <f aca="false">C119</f>
        <v>-0</v>
      </c>
      <c r="F119" s="324" t="n">
        <f aca="false">B119</f>
        <v>-0</v>
      </c>
      <c r="G119" s="324" t="n">
        <f aca="false">C119</f>
        <v>-0</v>
      </c>
      <c r="H119" s="665" t="n">
        <f aca="false">B119</f>
        <v>-0</v>
      </c>
      <c r="I119" s="666" t="n">
        <f aca="false">C119</f>
        <v>-0</v>
      </c>
    </row>
    <row r="120" customFormat="false" ht="15" hidden="false" customHeight="false" outlineLevel="0" collapsed="false">
      <c r="A120" s="292" t="s">
        <v>296</v>
      </c>
      <c r="B120" s="324" t="n">
        <f aca="false">-PGL_Supplies!AJ7/1000</f>
        <v>-0</v>
      </c>
      <c r="C120" s="324" t="n">
        <f aca="false">-NSG_Supplies!AE7/1000</f>
        <v>-0</v>
      </c>
      <c r="D120" s="324" t="n">
        <f aca="false">B120</f>
        <v>-0</v>
      </c>
      <c r="E120" s="324" t="n">
        <f aca="false">C120</f>
        <v>-0</v>
      </c>
      <c r="F120" s="324" t="n">
        <f aca="false">B120</f>
        <v>-0</v>
      </c>
      <c r="G120" s="324" t="n">
        <f aca="false">C120</f>
        <v>-0</v>
      </c>
      <c r="H120" s="665" t="n">
        <f aca="false">B120</f>
        <v>-0</v>
      </c>
      <c r="I120" s="666" t="n">
        <f aca="false">C120</f>
        <v>-0</v>
      </c>
    </row>
    <row r="121" customFormat="false" ht="15.75" hidden="false" customHeight="false" outlineLevel="0" collapsed="false">
      <c r="A121" s="292" t="s">
        <v>380</v>
      </c>
      <c r="B121" s="661" t="n">
        <f aca="false">PGL_Requirements!AD7/1000</f>
        <v>0</v>
      </c>
      <c r="C121" s="661" t="s">
        <v>0</v>
      </c>
      <c r="D121" s="661" t="n">
        <f aca="false">+B121</f>
        <v>0</v>
      </c>
      <c r="E121" s="325"/>
      <c r="F121" s="661" t="n">
        <f aca="false">+D121</f>
        <v>0</v>
      </c>
      <c r="G121" s="325"/>
      <c r="H121" s="662" t="n">
        <f aca="false">+B121</f>
        <v>0</v>
      </c>
      <c r="I121" s="663" t="str">
        <f aca="false">+C121</f>
        <v> </v>
      </c>
    </row>
    <row r="122" customFormat="false" ht="15.75" hidden="false" customHeight="false" outlineLevel="0" collapsed="false">
      <c r="A122" s="292" t="s">
        <v>502</v>
      </c>
      <c r="B122" s="661" t="n">
        <f aca="false">PGL_Requirements!Y7/1000</f>
        <v>0</v>
      </c>
      <c r="C122" s="661" t="n">
        <f aca="false">NSG_Requirements!U7/1000</f>
        <v>0</v>
      </c>
      <c r="D122" s="325"/>
      <c r="E122" s="325"/>
      <c r="F122" s="325"/>
      <c r="G122" s="325"/>
      <c r="H122" s="327"/>
      <c r="I122" s="671"/>
    </row>
    <row r="123" customFormat="false" ht="15" hidden="false" customHeight="false" outlineLevel="0" collapsed="false">
      <c r="A123" s="292" t="s">
        <v>503</v>
      </c>
      <c r="B123" s="324" t="n">
        <f aca="false">-PGL_Supplies!X7/1000</f>
        <v>-5</v>
      </c>
      <c r="C123" s="324" t="n">
        <f aca="false">-NSG_Supplies!S7/1000</f>
        <v>-29.503</v>
      </c>
      <c r="D123" s="325"/>
      <c r="E123" s="325"/>
      <c r="F123" s="325"/>
      <c r="G123" s="325"/>
      <c r="H123" s="327"/>
      <c r="I123" s="671"/>
    </row>
    <row r="124" customFormat="false" ht="16.5" hidden="false" customHeight="false" outlineLevel="0" collapsed="false">
      <c r="A124" s="311" t="s">
        <v>0</v>
      </c>
      <c r="B124" s="312" t="s">
        <v>0</v>
      </c>
      <c r="C124" s="313" t="s">
        <v>86</v>
      </c>
      <c r="D124" s="314"/>
      <c r="E124" s="315"/>
      <c r="F124" s="316" t="s">
        <v>297</v>
      </c>
      <c r="G124" s="316"/>
      <c r="H124" s="316"/>
      <c r="I124" s="316"/>
    </row>
    <row r="125" customFormat="false" ht="15" hidden="false" customHeight="false" outlineLevel="0" collapsed="false">
      <c r="A125" s="292" t="s">
        <v>382</v>
      </c>
      <c r="B125" s="324" t="n">
        <f aca="false">PGL_Requirements!U7/1000</f>
        <v>0</v>
      </c>
      <c r="F125" s="387" t="s">
        <v>0</v>
      </c>
      <c r="G125" s="388"/>
      <c r="H125" s="758"/>
      <c r="I125" s="323"/>
    </row>
    <row r="126" customFormat="false" ht="15" hidden="false" customHeight="false" outlineLevel="0" collapsed="false">
      <c r="A126" s="292" t="s">
        <v>504</v>
      </c>
      <c r="B126" s="318" t="n">
        <f aca="false">PGL_Supplies!R7/1000</f>
        <v>0</v>
      </c>
      <c r="C126" s="324" t="s">
        <v>0</v>
      </c>
      <c r="D126" s="325"/>
      <c r="E126" s="326"/>
      <c r="F126" s="292" t="s">
        <v>299</v>
      </c>
      <c r="G126" s="321"/>
      <c r="H126" s="348"/>
      <c r="I126" s="323"/>
    </row>
    <row r="127" customFormat="false" ht="15" hidden="false" customHeight="false" outlineLevel="0" collapsed="false">
      <c r="A127" s="292" t="s">
        <v>505</v>
      </c>
      <c r="B127" s="324" t="n">
        <f aca="false">PGL_Requirements!O7/1000</f>
        <v>0</v>
      </c>
      <c r="C127" s="324" t="s">
        <v>0</v>
      </c>
      <c r="D127" s="325"/>
      <c r="E127" s="326"/>
      <c r="F127" s="292" t="s">
        <v>301</v>
      </c>
      <c r="G127" s="321"/>
      <c r="H127" s="327"/>
      <c r="I127" s="323"/>
    </row>
    <row r="128" customFormat="false" ht="15" hidden="false" customHeight="false" outlineLevel="0" collapsed="false">
      <c r="A128" s="292" t="s">
        <v>376</v>
      </c>
      <c r="B128" s="324" t="n">
        <f aca="false">PGL_Requirements!I7/1000</f>
        <v>0</v>
      </c>
      <c r="C128" s="324" t="s">
        <v>0</v>
      </c>
      <c r="D128" s="325"/>
      <c r="E128" s="326"/>
      <c r="F128" s="292" t="s">
        <v>303</v>
      </c>
      <c r="G128" s="321"/>
      <c r="H128" s="327"/>
      <c r="I128" s="323"/>
    </row>
    <row r="129" customFormat="false" ht="15" hidden="false" customHeight="false" outlineLevel="0" collapsed="false">
      <c r="A129" s="292" t="s">
        <v>312</v>
      </c>
      <c r="B129" s="324" t="n">
        <f aca="false">PGL_Requirements!C7/1000</f>
        <v>0</v>
      </c>
      <c r="C129" s="325"/>
      <c r="D129" s="325"/>
      <c r="E129" s="326"/>
      <c r="F129" s="292" t="s">
        <v>305</v>
      </c>
      <c r="G129" s="321"/>
      <c r="H129" s="327"/>
      <c r="I129" s="323"/>
    </row>
    <row r="130" customFormat="false" ht="15" hidden="false" customHeight="false" outlineLevel="0" collapsed="false">
      <c r="A130" s="292" t="s">
        <v>314</v>
      </c>
      <c r="B130" s="324" t="n">
        <f aca="false">PGL_Requirements!AA7/1000</f>
        <v>0</v>
      </c>
      <c r="C130" s="317"/>
      <c r="D130" s="325"/>
      <c r="E130" s="326"/>
      <c r="F130" s="292" t="s">
        <v>306</v>
      </c>
      <c r="G130" s="321"/>
      <c r="H130" s="327"/>
      <c r="I130" s="323"/>
    </row>
    <row r="131" customFormat="false" ht="15" hidden="false" customHeight="false" outlineLevel="0" collapsed="false">
      <c r="A131" s="8" t="s">
        <v>159</v>
      </c>
      <c r="B131" s="318" t="n">
        <f aca="false">PGL_Supplies!Z7/1000</f>
        <v>41.16</v>
      </c>
      <c r="C131" s="325"/>
      <c r="D131" s="325"/>
      <c r="E131" s="326"/>
      <c r="F131" s="342" t="s">
        <v>309</v>
      </c>
      <c r="G131" s="321"/>
      <c r="H131" s="327"/>
      <c r="I131" s="323"/>
    </row>
    <row r="132" customFormat="false" ht="15.75" hidden="false" customHeight="false" outlineLevel="0" collapsed="false">
      <c r="A132" s="292" t="s">
        <v>426</v>
      </c>
      <c r="B132" s="318" t="n">
        <f aca="false">PGL_Supplies!U7/1000</f>
        <v>0</v>
      </c>
      <c r="C132" s="330"/>
      <c r="D132" s="330"/>
      <c r="E132" s="331"/>
      <c r="F132" s="292" t="s">
        <v>311</v>
      </c>
      <c r="G132" s="321"/>
      <c r="H132" s="327"/>
      <c r="I132" s="323"/>
    </row>
    <row r="133" customFormat="false" ht="16.5" hidden="false" customHeight="false" outlineLevel="0" collapsed="false">
      <c r="A133" s="332" t="s">
        <v>304</v>
      </c>
      <c r="B133" s="353" t="n">
        <f aca="false">B126+B127+B130+B131+B132-B125-B128-B129</f>
        <v>41.16</v>
      </c>
      <c r="C133" s="335"/>
      <c r="D133" s="335"/>
      <c r="E133" s="336"/>
      <c r="F133" s="292" t="s">
        <v>313</v>
      </c>
      <c r="G133" s="321"/>
      <c r="H133" s="327"/>
      <c r="I133" s="323"/>
    </row>
    <row r="134" customFormat="false" ht="15.75" hidden="false" customHeight="false" outlineLevel="0" collapsed="false">
      <c r="A134" s="355" t="s">
        <v>0</v>
      </c>
      <c r="B134" s="356" t="s">
        <v>0</v>
      </c>
      <c r="C134" s="759" t="s">
        <v>87</v>
      </c>
      <c r="D134" s="357"/>
      <c r="E134" s="357" t="s">
        <v>0</v>
      </c>
      <c r="F134" s="760" t="s">
        <v>315</v>
      </c>
      <c r="G134" s="393"/>
      <c r="H134" s="327"/>
      <c r="I134" s="323"/>
    </row>
    <row r="135" customFormat="false" ht="15" hidden="false" customHeight="false" outlineLevel="0" collapsed="false">
      <c r="A135" s="292" t="s">
        <v>376</v>
      </c>
      <c r="B135" s="761" t="n">
        <f aca="false">PGL_Requirements!J7</f>
        <v>0</v>
      </c>
      <c r="C135" s="319"/>
      <c r="D135" s="319"/>
      <c r="E135" s="319"/>
      <c r="F135" s="351" t="s">
        <v>317</v>
      </c>
      <c r="G135" s="393"/>
      <c r="H135" s="352"/>
      <c r="I135" s="323"/>
    </row>
    <row r="136" customFormat="false" ht="15" hidden="false" customHeight="false" outlineLevel="0" collapsed="false">
      <c r="A136" s="292" t="s">
        <v>506</v>
      </c>
      <c r="B136" s="318" t="n">
        <f aca="false">NSG_Supplies!O7/1011</f>
        <v>0</v>
      </c>
      <c r="C136" s="325"/>
      <c r="D136" s="325"/>
      <c r="E136" s="325"/>
      <c r="F136" s="292" t="s">
        <v>318</v>
      </c>
      <c r="G136" s="321"/>
      <c r="H136" s="354"/>
      <c r="I136" s="323"/>
    </row>
    <row r="137" customFormat="false" ht="15" hidden="false" customHeight="false" outlineLevel="0" collapsed="false">
      <c r="A137" s="292" t="s">
        <v>507</v>
      </c>
      <c r="B137" s="318" t="n">
        <f aca="false">PGL_Supplies!AA7/1000</f>
        <v>0</v>
      </c>
      <c r="C137" s="317"/>
      <c r="D137" s="325"/>
      <c r="E137" s="325"/>
      <c r="F137" s="292" t="s">
        <v>319</v>
      </c>
      <c r="G137" s="321"/>
      <c r="H137" s="327"/>
      <c r="I137" s="323"/>
    </row>
    <row r="138" customFormat="false" ht="15" hidden="false" customHeight="false" outlineLevel="0" collapsed="false">
      <c r="A138" s="292" t="s">
        <v>323</v>
      </c>
      <c r="B138" s="761" t="n">
        <f aca="false">PGL_Requirements!D7</f>
        <v>0</v>
      </c>
      <c r="C138" s="325"/>
      <c r="D138" s="325"/>
      <c r="E138" s="325"/>
      <c r="F138" s="292" t="s">
        <v>51</v>
      </c>
      <c r="G138" s="321"/>
      <c r="H138" s="354"/>
      <c r="I138" s="323"/>
    </row>
    <row r="139" customFormat="false" ht="15" hidden="false" customHeight="false" outlineLevel="0" collapsed="false">
      <c r="A139" s="292" t="s">
        <v>325</v>
      </c>
      <c r="B139" s="318" t="n">
        <f aca="false">PGL_Supplies!D7/1000</f>
        <v>0</v>
      </c>
      <c r="C139" s="325"/>
      <c r="D139" s="325"/>
      <c r="E139" s="325"/>
      <c r="F139" s="342" t="s">
        <v>322</v>
      </c>
      <c r="G139" s="361"/>
      <c r="H139" s="362"/>
      <c r="I139" s="323"/>
    </row>
    <row r="140" customFormat="false" ht="15.75" hidden="false" customHeight="false" outlineLevel="0" collapsed="false">
      <c r="A140" s="292" t="s">
        <v>426</v>
      </c>
      <c r="B140" s="318" t="n">
        <f aca="false">PGL_Supplies!V7/1000</f>
        <v>243.044</v>
      </c>
      <c r="C140" s="330"/>
      <c r="D140" s="330"/>
      <c r="E140" s="330"/>
      <c r="F140" s="342" t="s">
        <v>324</v>
      </c>
      <c r="G140" s="361"/>
      <c r="H140" s="364"/>
      <c r="I140" s="323"/>
    </row>
    <row r="141" customFormat="false" ht="16.5" hidden="false" customHeight="false" outlineLevel="0" collapsed="false">
      <c r="A141" s="332" t="s">
        <v>304</v>
      </c>
      <c r="B141" s="762" t="n">
        <f aca="false">-B135+B136+B137-B138+B139+B140</f>
        <v>243.044</v>
      </c>
      <c r="C141" s="763"/>
      <c r="D141" s="335"/>
      <c r="E141" s="764"/>
      <c r="F141" s="365" t="s">
        <v>326</v>
      </c>
      <c r="G141" s="366"/>
      <c r="H141" s="367"/>
      <c r="I141" s="323"/>
    </row>
    <row r="142" customFormat="false" ht="16.5" hidden="false" customHeight="false" outlineLevel="0" collapsed="false">
      <c r="A142" s="355" t="s">
        <v>0</v>
      </c>
      <c r="B142" s="338" t="s">
        <v>0</v>
      </c>
      <c r="C142" s="759" t="s">
        <v>75</v>
      </c>
      <c r="D142" s="357"/>
      <c r="E142" s="357"/>
      <c r="F142" s="371" t="s">
        <v>0</v>
      </c>
      <c r="G142" s="372" t="s">
        <v>327</v>
      </c>
      <c r="H142" s="373" t="s">
        <v>0</v>
      </c>
      <c r="I142" s="373"/>
    </row>
    <row r="143" customFormat="false" ht="15" hidden="false" customHeight="false" outlineLevel="0" collapsed="false">
      <c r="A143" s="292" t="s">
        <v>93</v>
      </c>
      <c r="B143" s="318" t="n">
        <f aca="false">PGL_Requirements!P7/1000</f>
        <v>150</v>
      </c>
      <c r="C143" s="325"/>
      <c r="D143" s="325"/>
      <c r="E143" s="325"/>
      <c r="F143" s="374" t="s">
        <v>290</v>
      </c>
      <c r="G143" s="375"/>
      <c r="H143" s="376" t="s">
        <v>0</v>
      </c>
      <c r="I143" s="377" t="n">
        <f aca="false">NSG_Supplies!AC7/1000</f>
        <v>0</v>
      </c>
    </row>
    <row r="144" customFormat="false" ht="15" hidden="false" customHeight="false" outlineLevel="0" collapsed="false">
      <c r="A144" s="292" t="s">
        <v>329</v>
      </c>
      <c r="B144" s="318" t="n">
        <f aca="false">PGL_Supplies!M7/1000</f>
        <v>0</v>
      </c>
      <c r="C144" s="325"/>
      <c r="D144" s="325"/>
      <c r="E144" s="325"/>
      <c r="F144" s="378" t="s">
        <v>328</v>
      </c>
      <c r="G144" s="325"/>
      <c r="H144" s="379" t="s">
        <v>0</v>
      </c>
      <c r="I144" s="377" t="n">
        <f aca="false">NSG_Supplies!O7/1000</f>
        <v>0</v>
      </c>
    </row>
    <row r="145" customFormat="false" ht="15.75" hidden="false" customHeight="false" outlineLevel="0" collapsed="false">
      <c r="A145" s="292" t="s">
        <v>331</v>
      </c>
      <c r="B145" s="318" t="n">
        <f aca="false">PGL_Requirements!B7/1000</f>
        <v>0</v>
      </c>
      <c r="C145" s="325"/>
      <c r="D145" s="325"/>
      <c r="E145" s="325"/>
      <c r="F145" s="380" t="s">
        <v>330</v>
      </c>
      <c r="G145" s="381"/>
      <c r="H145" s="382" t="s">
        <v>0</v>
      </c>
      <c r="I145" s="383"/>
    </row>
    <row r="146" customFormat="false" ht="15.75" hidden="false" customHeight="false" outlineLevel="0" collapsed="false">
      <c r="A146" s="292" t="s">
        <v>333</v>
      </c>
      <c r="B146" s="318" t="n">
        <f aca="false">PGL_Supplies!H7/1000</f>
        <v>1</v>
      </c>
      <c r="C146" s="325"/>
      <c r="D146" s="325"/>
      <c r="E146" s="325"/>
      <c r="F146" s="384" t="s">
        <v>332</v>
      </c>
      <c r="G146" s="335"/>
      <c r="H146" s="353" t="s">
        <v>0</v>
      </c>
      <c r="I146" s="765" t="e">
        <f aca="false">#REF!/1000</f>
        <v>#REF!</v>
      </c>
    </row>
    <row r="147" customFormat="false" ht="16.5" hidden="false" customHeight="false" outlineLevel="0" collapsed="false">
      <c r="A147" s="342" t="s">
        <v>291</v>
      </c>
      <c r="B147" s="318" t="s">
        <v>0</v>
      </c>
      <c r="C147" s="325"/>
      <c r="D147" s="325"/>
      <c r="E147" s="325"/>
      <c r="F147" s="386" t="s">
        <v>334</v>
      </c>
      <c r="G147" s="386"/>
      <c r="H147" s="386"/>
      <c r="I147" s="386"/>
    </row>
    <row r="148" customFormat="false" ht="15.75" hidden="false" customHeight="false" outlineLevel="0" collapsed="false">
      <c r="A148" s="292" t="s">
        <v>508</v>
      </c>
      <c r="B148" s="318" t="n">
        <f aca="false">PGL_Requirements!Q7/1000</f>
        <v>2.25</v>
      </c>
      <c r="C148" s="330"/>
      <c r="D148" s="330"/>
      <c r="E148" s="330"/>
      <c r="F148" s="387" t="s">
        <v>336</v>
      </c>
      <c r="G148" s="388"/>
      <c r="H148" s="389" t="s">
        <v>0</v>
      </c>
      <c r="I148" s="390" t="n">
        <f aca="false">+NSG_Supplies!Z7/1000</f>
        <v>0</v>
      </c>
    </row>
    <row r="149" customFormat="false" ht="16.5" hidden="false" customHeight="false" outlineLevel="0" collapsed="false">
      <c r="A149" s="332" t="s">
        <v>332</v>
      </c>
      <c r="B149" s="391" t="n">
        <f aca="false">B144+B146</f>
        <v>1</v>
      </c>
      <c r="C149" s="392"/>
      <c r="D149" s="392"/>
      <c r="E149" s="336"/>
      <c r="F149" s="292" t="s">
        <v>0</v>
      </c>
      <c r="G149" s="321"/>
      <c r="H149" s="766" t="s">
        <v>0</v>
      </c>
      <c r="I149" s="767" t="n">
        <f aca="false">NSG_Supplies!AA7/1000</f>
        <v>0</v>
      </c>
    </row>
    <row r="150" customFormat="false" ht="15.75" hidden="false" customHeight="false" outlineLevel="0" collapsed="false">
      <c r="A150" s="292" t="s">
        <v>340</v>
      </c>
      <c r="B150" s="768" t="n">
        <f aca="false">PGL_Deliveries!AE5</f>
        <v>0</v>
      </c>
      <c r="C150" s="322"/>
      <c r="D150" s="322"/>
      <c r="E150" s="396"/>
      <c r="F150" s="384" t="s">
        <v>332</v>
      </c>
      <c r="G150" s="335"/>
      <c r="H150" s="353" t="s">
        <v>0</v>
      </c>
      <c r="I150" s="765" t="e">
        <f aca="false">#REF!/1000</f>
        <v>#REF!</v>
      </c>
    </row>
    <row r="151" customFormat="false" ht="16.5" hidden="false" customHeight="false" outlineLevel="0" collapsed="false">
      <c r="A151" s="292" t="s">
        <v>342</v>
      </c>
      <c r="B151" s="768" t="n">
        <f aca="false">PGL_Deliveries!AG5</f>
        <v>16</v>
      </c>
      <c r="C151" s="400"/>
      <c r="D151" s="400"/>
      <c r="E151" s="400"/>
      <c r="F151" s="386" t="s">
        <v>338</v>
      </c>
      <c r="G151" s="386"/>
      <c r="H151" s="386"/>
      <c r="I151" s="386"/>
    </row>
    <row r="152" customFormat="false" ht="15.75" hidden="false" customHeight="false" outlineLevel="0" collapsed="false">
      <c r="A152" s="686" t="s">
        <v>0</v>
      </c>
      <c r="B152" s="687"/>
      <c r="C152" s="769" t="s">
        <v>43</v>
      </c>
      <c r="D152" s="688"/>
      <c r="E152" s="709" t="s">
        <v>0</v>
      </c>
      <c r="F152" s="387" t="s">
        <v>509</v>
      </c>
      <c r="G152" s="388"/>
      <c r="H152" s="447"/>
      <c r="I152" s="379" t="n">
        <f aca="false">PGL_Requirements!T7/1000</f>
        <v>0</v>
      </c>
    </row>
    <row r="153" customFormat="false" ht="15" hidden="false" customHeight="false" outlineLevel="0" collapsed="false">
      <c r="A153" s="292" t="s">
        <v>510</v>
      </c>
      <c r="B153" s="379" t="n">
        <f aca="false">PGL_Requirements!N7/1000</f>
        <v>0</v>
      </c>
      <c r="C153" s="325"/>
      <c r="D153" s="325"/>
      <c r="E153" s="710"/>
      <c r="F153" s="770" t="s">
        <v>339</v>
      </c>
      <c r="G153" s="393"/>
      <c r="H153" s="394"/>
      <c r="I153" s="379" t="n">
        <f aca="false">PGL_Requirements!T7/1000</f>
        <v>0</v>
      </c>
    </row>
    <row r="154" customFormat="false" ht="15" hidden="false" customHeight="false" outlineLevel="0" collapsed="false">
      <c r="A154" s="292" t="s">
        <v>344</v>
      </c>
      <c r="B154" s="318" t="n">
        <f aca="false">PGL_Supplies!AE7/1000</f>
        <v>0</v>
      </c>
      <c r="C154" s="407" t="s">
        <v>0</v>
      </c>
      <c r="D154" s="325"/>
      <c r="E154" s="408"/>
      <c r="F154" s="380" t="s">
        <v>341</v>
      </c>
      <c r="G154" s="321"/>
      <c r="H154" s="394"/>
      <c r="I154" s="318" t="n">
        <f aca="false">PGL_Supplies!AL7/1000</f>
        <v>0</v>
      </c>
    </row>
    <row r="155" customFormat="false" ht="15" hidden="false" customHeight="false" outlineLevel="0" collapsed="false">
      <c r="A155" s="292" t="s">
        <v>346</v>
      </c>
      <c r="B155" s="379" t="n">
        <f aca="false">PGL_Requirements!F7/1000</f>
        <v>0</v>
      </c>
      <c r="C155" s="407" t="s">
        <v>0</v>
      </c>
      <c r="D155" s="325"/>
      <c r="E155" s="408"/>
      <c r="F155" s="292" t="s">
        <v>159</v>
      </c>
      <c r="G155" s="402"/>
      <c r="H155" s="394"/>
      <c r="I155" s="318" t="n">
        <f aca="false">PGL_Supplies!AL8/1000</f>
        <v>0</v>
      </c>
    </row>
    <row r="156" customFormat="false" ht="15.75" hidden="false" customHeight="false" outlineLevel="0" collapsed="false">
      <c r="A156" s="292" t="s">
        <v>348</v>
      </c>
      <c r="B156" s="318" t="n">
        <f aca="false">PGL_Supplies!G7/1000</f>
        <v>0</v>
      </c>
      <c r="C156" s="716" t="s">
        <v>0</v>
      </c>
      <c r="D156" s="325"/>
      <c r="E156" s="408"/>
      <c r="F156" s="342" t="s">
        <v>426</v>
      </c>
      <c r="G156" s="402"/>
      <c r="H156" s="364"/>
      <c r="I156" s="318" t="n">
        <f aca="false">PGL_Supplies!AL9/1000</f>
        <v>0</v>
      </c>
    </row>
    <row r="157" customFormat="false" ht="15.75" hidden="false" customHeight="false" outlineLevel="0" collapsed="false">
      <c r="A157" s="292" t="s">
        <v>511</v>
      </c>
      <c r="B157" s="379" t="n">
        <f aca="false">PGL_Requirements!T7/1000</f>
        <v>0</v>
      </c>
      <c r="C157" s="407" t="s">
        <v>0</v>
      </c>
      <c r="D157" s="325"/>
      <c r="E157" s="408"/>
      <c r="F157" s="771" t="s">
        <v>512</v>
      </c>
      <c r="G157" s="772"/>
      <c r="H157" s="447"/>
      <c r="I157" s="773" t="n">
        <v>0</v>
      </c>
    </row>
    <row r="158" customFormat="false" ht="15.75" hidden="false" customHeight="false" outlineLevel="0" collapsed="false">
      <c r="A158" s="292" t="s">
        <v>513</v>
      </c>
      <c r="B158" s="318" t="n">
        <f aca="false">PGL_Supplies!P7/1000</f>
        <v>0</v>
      </c>
      <c r="C158" s="716" t="s">
        <v>0</v>
      </c>
      <c r="D158" s="325"/>
      <c r="E158" s="721"/>
      <c r="F158" s="774" t="s">
        <v>514</v>
      </c>
      <c r="G158" s="718"/>
      <c r="H158" s="775"/>
      <c r="I158" s="776" t="n">
        <v>0</v>
      </c>
    </row>
    <row r="159" customFormat="false" ht="16.5" hidden="false" customHeight="false" outlineLevel="0" collapsed="false">
      <c r="A159" s="292" t="s">
        <v>159</v>
      </c>
      <c r="B159" s="318" t="n">
        <f aca="false">PGL_Supplies!AD7/1000</f>
        <v>0</v>
      </c>
      <c r="C159" s="716" t="s">
        <v>0</v>
      </c>
      <c r="D159" s="325"/>
      <c r="E159" s="408"/>
      <c r="F159" s="777" t="s">
        <v>485</v>
      </c>
      <c r="G159" s="777"/>
      <c r="H159" s="777"/>
      <c r="I159" s="777"/>
    </row>
    <row r="160" customFormat="false" ht="15.75" hidden="false" customHeight="false" outlineLevel="0" collapsed="false">
      <c r="A160" s="292" t="s">
        <v>426</v>
      </c>
      <c r="B160" s="778" t="n">
        <f aca="false">PGL_Supplies!Y7/1000</f>
        <v>207.088</v>
      </c>
      <c r="C160" s="418" t="s">
        <v>0</v>
      </c>
      <c r="D160" s="330"/>
      <c r="E160" s="419"/>
      <c r="F160" s="446" t="s">
        <v>360</v>
      </c>
      <c r="G160" s="375" t="s">
        <v>0</v>
      </c>
      <c r="H160" s="322"/>
      <c r="I160" s="448"/>
    </row>
    <row r="161" customFormat="false" ht="16.5" hidden="false" customHeight="false" outlineLevel="0" collapsed="false">
      <c r="A161" s="779" t="s">
        <v>515</v>
      </c>
      <c r="B161" s="320"/>
      <c r="C161" s="780" t="s">
        <v>0</v>
      </c>
      <c r="D161" s="781"/>
      <c r="E161" s="782"/>
      <c r="F161" s="783" t="s">
        <v>362</v>
      </c>
      <c r="G161" s="330"/>
      <c r="H161" s="784"/>
      <c r="I161" s="785" t="s">
        <v>0</v>
      </c>
    </row>
    <row r="162" customFormat="false" ht="16.5" hidden="false" customHeight="false" outlineLevel="0" collapsed="false">
      <c r="A162" s="726" t="s">
        <v>332</v>
      </c>
      <c r="B162" s="786" t="n">
        <f aca="false">B154+B156+B158+B159+B160-B153-B155-B157-B161</f>
        <v>207.088</v>
      </c>
      <c r="C162" s="727"/>
      <c r="D162" s="728"/>
      <c r="E162" s="787"/>
      <c r="F162" s="788" t="s">
        <v>489</v>
      </c>
      <c r="G162" s="335"/>
      <c r="H162" s="392"/>
      <c r="I162" s="789"/>
    </row>
    <row r="163" customFormat="false" ht="12.75" hidden="false" customHeight="false" outlineLevel="0" collapsed="false">
      <c r="A163" s="790"/>
      <c r="B163" s="791" t="s">
        <v>365</v>
      </c>
      <c r="C163" s="791"/>
      <c r="D163" s="791" t="s">
        <v>366</v>
      </c>
      <c r="E163" s="791"/>
      <c r="F163" s="791"/>
      <c r="G163" s="791"/>
      <c r="H163" s="792" t="s">
        <v>266</v>
      </c>
      <c r="I163" s="793"/>
    </row>
    <row r="164" customFormat="false" ht="12.75" hidden="false" customHeight="false" outlineLevel="0" collapsed="false"/>
    <row r="167" customFormat="false" ht="12" hidden="false" customHeight="false" outlineLevel="0" collapsed="false">
      <c r="B167" s="319"/>
    </row>
    <row r="168" customFormat="false" ht="12" hidden="false" customHeight="false" outlineLevel="0" collapsed="false">
      <c r="B168" s="319"/>
      <c r="C168" s="319"/>
      <c r="D168" s="319"/>
      <c r="E168" s="319"/>
      <c r="F168" s="319"/>
      <c r="G168" s="319"/>
    </row>
    <row r="169" customFormat="false" ht="12" hidden="false" customHeight="false" outlineLevel="0" collapsed="false">
      <c r="B169" s="319"/>
      <c r="C169" s="319"/>
      <c r="D169" s="319"/>
      <c r="E169" s="319"/>
      <c r="F169" s="319"/>
      <c r="G169" s="319"/>
    </row>
    <row r="170" customFormat="false" ht="12" hidden="false" customHeight="false" outlineLevel="0" collapsed="false">
      <c r="B170" s="319"/>
      <c r="C170" s="319"/>
      <c r="D170" s="319"/>
      <c r="E170" s="319"/>
      <c r="F170" s="319"/>
      <c r="G170" s="319"/>
    </row>
    <row r="171" customFormat="false" ht="12" hidden="false" customHeight="false" outlineLevel="0" collapsed="false">
      <c r="B171" s="319"/>
      <c r="C171" s="319"/>
      <c r="D171" s="319"/>
      <c r="E171" s="319"/>
      <c r="F171" s="319"/>
      <c r="G171" s="319"/>
    </row>
    <row r="172" customFormat="false" ht="12" hidden="false" customHeight="false" outlineLevel="0" collapsed="false">
      <c r="B172" s="319"/>
      <c r="C172" s="319"/>
      <c r="D172" s="319"/>
      <c r="E172" s="319"/>
      <c r="F172" s="319"/>
      <c r="G172" s="319"/>
    </row>
    <row r="173" customFormat="false" ht="12" hidden="false" customHeight="false" outlineLevel="0" collapsed="false">
      <c r="B173" s="319"/>
      <c r="C173" s="319"/>
      <c r="D173" s="319"/>
      <c r="E173" s="319"/>
      <c r="F173" s="319"/>
      <c r="G173" s="319"/>
    </row>
    <row r="174" customFormat="false" ht="12" hidden="false" customHeight="false" outlineLevel="0" collapsed="false">
      <c r="B174" s="319"/>
      <c r="C174" s="319"/>
      <c r="D174" s="319"/>
      <c r="E174" s="319"/>
      <c r="F174" s="319"/>
      <c r="G174" s="319"/>
    </row>
    <row r="175" customFormat="false" ht="12" hidden="false" customHeight="false" outlineLevel="0" collapsed="false">
      <c r="B175" s="319"/>
      <c r="C175" s="319"/>
      <c r="D175" s="319"/>
      <c r="E175" s="319"/>
      <c r="F175" s="319"/>
      <c r="G175" s="319"/>
    </row>
    <row r="176" customFormat="false" ht="12" hidden="false" customHeight="false" outlineLevel="0" collapsed="false">
      <c r="B176" s="319"/>
      <c r="C176" s="319"/>
      <c r="D176" s="319"/>
      <c r="E176" s="319"/>
      <c r="F176" s="319"/>
      <c r="G176" s="319"/>
    </row>
    <row r="177" customFormat="false" ht="12" hidden="false" customHeight="false" outlineLevel="0" collapsed="false">
      <c r="B177" s="319"/>
      <c r="C177" s="319"/>
      <c r="D177" s="319"/>
      <c r="E177" s="319"/>
      <c r="F177" s="319"/>
      <c r="G177" s="319"/>
    </row>
    <row r="178" customFormat="false" ht="12" hidden="false" customHeight="false" outlineLevel="0" collapsed="false">
      <c r="B178" s="319"/>
      <c r="C178" s="319"/>
      <c r="D178" s="319"/>
      <c r="E178" s="319"/>
      <c r="F178" s="319"/>
      <c r="G178" s="319"/>
    </row>
    <row r="179" customFormat="false" ht="12" hidden="false" customHeight="false" outlineLevel="0" collapsed="false">
      <c r="B179" s="319"/>
      <c r="C179" s="319"/>
      <c r="D179" s="319"/>
      <c r="E179" s="319"/>
      <c r="F179" s="319"/>
      <c r="G179" s="319"/>
    </row>
    <row r="180" customFormat="false" ht="12" hidden="false" customHeight="false" outlineLevel="0" collapsed="false">
      <c r="B180" s="319"/>
      <c r="C180" s="319"/>
      <c r="D180" s="319"/>
      <c r="E180" s="319"/>
      <c r="G180" s="319"/>
    </row>
    <row r="181" customFormat="false" ht="12" hidden="false" customHeight="false" outlineLevel="0" collapsed="false">
      <c r="B181" s="319"/>
      <c r="C181" s="319"/>
      <c r="D181" s="319"/>
      <c r="E181" s="319"/>
      <c r="G181" s="319"/>
    </row>
    <row r="182" customFormat="false" ht="12" hidden="false" customHeight="false" outlineLevel="0" collapsed="false">
      <c r="B182" s="319"/>
      <c r="C182" s="319"/>
      <c r="D182" s="319"/>
      <c r="E182" s="319"/>
    </row>
    <row r="183" customFormat="false" ht="12" hidden="false" customHeight="false" outlineLevel="0" collapsed="false">
      <c r="B183" s="319"/>
      <c r="C183" s="319"/>
      <c r="D183" s="319"/>
      <c r="E183" s="319"/>
    </row>
    <row r="184" customFormat="false" ht="12" hidden="false" customHeight="false" outlineLevel="0" collapsed="false">
      <c r="B184" s="319"/>
      <c r="C184" s="319"/>
      <c r="D184" s="319"/>
      <c r="E184" s="319"/>
    </row>
    <row r="185" customFormat="false" ht="12" hidden="false" customHeight="false" outlineLevel="0" collapsed="false">
      <c r="B185" s="319"/>
      <c r="C185" s="319"/>
      <c r="D185" s="319"/>
      <c r="E185" s="319"/>
    </row>
    <row r="186" customFormat="false" ht="12" hidden="false" customHeight="false" outlineLevel="0" collapsed="false">
      <c r="B186" s="319"/>
      <c r="C186" s="319"/>
      <c r="D186" s="319"/>
      <c r="E186" s="319"/>
    </row>
    <row r="187" customFormat="false" ht="12" hidden="false" customHeight="false" outlineLevel="0" collapsed="false">
      <c r="B187" s="319"/>
      <c r="C187" s="319"/>
      <c r="D187" s="319"/>
      <c r="E187" s="319"/>
    </row>
    <row r="188" customFormat="false" ht="12" hidden="false" customHeight="false" outlineLevel="0" collapsed="false">
      <c r="B188" s="319"/>
      <c r="C188" s="319"/>
      <c r="D188" s="319"/>
      <c r="E188" s="319"/>
    </row>
    <row r="189" customFormat="false" ht="12" hidden="false" customHeight="false" outlineLevel="0" collapsed="false">
      <c r="B189" s="319"/>
      <c r="C189" s="319"/>
      <c r="D189" s="319"/>
      <c r="E189" s="319"/>
    </row>
    <row r="190" customFormat="false" ht="12" hidden="false" customHeight="false" outlineLevel="0" collapsed="false">
      <c r="B190" s="319"/>
      <c r="C190" s="319"/>
      <c r="D190" s="319"/>
      <c r="E190" s="319"/>
    </row>
    <row r="191" customFormat="false" ht="12" hidden="false" customHeight="false" outlineLevel="0" collapsed="false">
      <c r="B191" s="319"/>
      <c r="C191" s="319"/>
      <c r="D191" s="319"/>
      <c r="E191" s="319"/>
    </row>
    <row r="192" customFormat="false" ht="12" hidden="false" customHeight="false" outlineLevel="0" collapsed="false">
      <c r="B192" s="319"/>
      <c r="C192" s="319"/>
      <c r="D192" s="319"/>
      <c r="E192" s="319"/>
    </row>
    <row r="193" customFormat="false" ht="12" hidden="false" customHeight="false" outlineLevel="0" collapsed="false">
      <c r="B193" s="319"/>
      <c r="C193" s="319"/>
      <c r="D193" s="319"/>
      <c r="E193" s="319"/>
    </row>
    <row r="194" customFormat="false" ht="12" hidden="false" customHeight="false" outlineLevel="0" collapsed="false">
      <c r="B194" s="319"/>
      <c r="C194" s="319"/>
      <c r="D194" s="319"/>
      <c r="E194" s="319"/>
    </row>
    <row r="195" customFormat="false" ht="12" hidden="false" customHeight="false" outlineLevel="0" collapsed="false">
      <c r="B195" s="319"/>
      <c r="C195" s="319"/>
      <c r="D195" s="319"/>
      <c r="E195" s="319"/>
    </row>
    <row r="196" customFormat="false" ht="12" hidden="false" customHeight="false" outlineLevel="0" collapsed="false">
      <c r="B196" s="319"/>
      <c r="C196" s="319"/>
      <c r="D196" s="319"/>
      <c r="E196" s="319"/>
    </row>
    <row r="197" customFormat="false" ht="12" hidden="false" customHeight="false" outlineLevel="0" collapsed="false">
      <c r="B197" s="319"/>
      <c r="C197" s="319"/>
      <c r="D197" s="319"/>
      <c r="E197" s="319"/>
    </row>
    <row r="198" customFormat="false" ht="12" hidden="false" customHeight="false" outlineLevel="0" collapsed="false">
      <c r="B198" s="319"/>
      <c r="C198" s="319"/>
      <c r="D198" s="319"/>
      <c r="E198" s="319"/>
    </row>
    <row r="199" customFormat="false" ht="12" hidden="false" customHeight="false" outlineLevel="0" collapsed="false">
      <c r="B199" s="319"/>
      <c r="C199" s="319"/>
      <c r="D199" s="319"/>
      <c r="E199" s="319"/>
    </row>
    <row r="200" customFormat="false" ht="12" hidden="false" customHeight="false" outlineLevel="0" collapsed="false">
      <c r="B200" s="319"/>
      <c r="C200" s="319"/>
      <c r="D200" s="319"/>
      <c r="E200" s="319"/>
    </row>
    <row r="201" customFormat="false" ht="12" hidden="false" customHeight="false" outlineLevel="0" collapsed="false">
      <c r="B201" s="319"/>
      <c r="C201" s="319"/>
      <c r="D201" s="319"/>
      <c r="E201" s="319"/>
    </row>
    <row r="202" customFormat="false" ht="12" hidden="false" customHeight="false" outlineLevel="0" collapsed="false">
      <c r="B202" s="319"/>
      <c r="C202" s="319"/>
      <c r="D202" s="319"/>
      <c r="E202" s="319"/>
    </row>
    <row r="203" customFormat="false" ht="12" hidden="false" customHeight="false" outlineLevel="0" collapsed="false">
      <c r="B203" s="319"/>
      <c r="C203" s="319"/>
      <c r="D203" s="319"/>
      <c r="E203" s="319"/>
    </row>
    <row r="204" customFormat="false" ht="12" hidden="false" customHeight="false" outlineLevel="0" collapsed="false">
      <c r="B204" s="319"/>
      <c r="C204" s="319"/>
      <c r="D204" s="319"/>
      <c r="E204" s="319"/>
    </row>
    <row r="205" customFormat="false" ht="12" hidden="false" customHeight="false" outlineLevel="0" collapsed="false">
      <c r="B205" s="319"/>
      <c r="C205" s="319"/>
      <c r="D205" s="319"/>
      <c r="E205" s="319"/>
    </row>
    <row r="206" customFormat="false" ht="12" hidden="false" customHeight="false" outlineLevel="0" collapsed="false">
      <c r="B206" s="319"/>
      <c r="C206" s="319"/>
      <c r="D206" s="319"/>
      <c r="E206" s="319"/>
    </row>
    <row r="207" customFormat="false" ht="12" hidden="false" customHeight="false" outlineLevel="0" collapsed="false">
      <c r="B207" s="319"/>
      <c r="C207" s="319"/>
      <c r="D207" s="319"/>
      <c r="E207" s="319"/>
    </row>
    <row r="208" customFormat="false" ht="12" hidden="false" customHeight="false" outlineLevel="0" collapsed="false">
      <c r="B208" s="319"/>
      <c r="C208" s="319"/>
      <c r="D208" s="319"/>
      <c r="E208" s="319"/>
    </row>
    <row r="209" customFormat="false" ht="12" hidden="false" customHeight="false" outlineLevel="0" collapsed="false">
      <c r="B209" s="319"/>
      <c r="C209" s="319"/>
      <c r="D209" s="319"/>
      <c r="E209" s="319"/>
    </row>
    <row r="210" customFormat="false" ht="12" hidden="false" customHeight="false" outlineLevel="0" collapsed="false">
      <c r="B210" s="319"/>
      <c r="C210" s="319"/>
      <c r="D210" s="319"/>
      <c r="E210" s="319"/>
    </row>
    <row r="211" customFormat="false" ht="12" hidden="false" customHeight="false" outlineLevel="0" collapsed="false">
      <c r="B211" s="319"/>
      <c r="C211" s="319"/>
      <c r="D211" s="319"/>
      <c r="E211" s="319"/>
    </row>
    <row r="212" customFormat="false" ht="12" hidden="false" customHeight="false" outlineLevel="0" collapsed="false">
      <c r="B212" s="319"/>
      <c r="C212" s="319"/>
      <c r="D212" s="319"/>
      <c r="E212" s="319"/>
    </row>
    <row r="213" customFormat="false" ht="12" hidden="false" customHeight="false" outlineLevel="0" collapsed="false">
      <c r="B213" s="319"/>
      <c r="C213" s="319"/>
      <c r="D213" s="319"/>
      <c r="E213" s="319"/>
    </row>
    <row r="214" customFormat="false" ht="12" hidden="false" customHeight="false" outlineLevel="0" collapsed="false">
      <c r="B214" s="319"/>
      <c r="C214" s="319"/>
      <c r="D214" s="319"/>
      <c r="E214" s="319"/>
    </row>
    <row r="215" customFormat="false" ht="12" hidden="false" customHeight="false" outlineLevel="0" collapsed="false">
      <c r="B215" s="319"/>
      <c r="C215" s="319"/>
      <c r="D215" s="319"/>
      <c r="E215" s="319"/>
    </row>
    <row r="216" customFormat="false" ht="12" hidden="false" customHeight="false" outlineLevel="0" collapsed="false">
      <c r="B216" s="319"/>
      <c r="C216" s="319"/>
      <c r="D216" s="319"/>
      <c r="E216" s="319"/>
    </row>
    <row r="217" customFormat="false" ht="12" hidden="false" customHeight="false" outlineLevel="0" collapsed="false">
      <c r="B217" s="319"/>
      <c r="C217" s="319"/>
      <c r="D217" s="319"/>
      <c r="E217" s="319"/>
    </row>
    <row r="218" customFormat="false" ht="12" hidden="false" customHeight="false" outlineLevel="0" collapsed="false">
      <c r="B218" s="319"/>
      <c r="C218" s="319"/>
      <c r="D218" s="319"/>
      <c r="E218" s="319"/>
    </row>
    <row r="219" customFormat="false" ht="12" hidden="false" customHeight="false" outlineLevel="0" collapsed="false">
      <c r="B219" s="319"/>
      <c r="C219" s="319"/>
      <c r="D219" s="319"/>
      <c r="E219" s="319"/>
    </row>
    <row r="220" customFormat="false" ht="12" hidden="false" customHeight="false" outlineLevel="0" collapsed="false">
      <c r="B220" s="319"/>
      <c r="C220" s="319"/>
      <c r="D220" s="319"/>
      <c r="E220" s="319"/>
    </row>
    <row r="221" customFormat="false" ht="12" hidden="false" customHeight="false" outlineLevel="0" collapsed="false">
      <c r="B221" s="319"/>
      <c r="C221" s="319"/>
      <c r="D221" s="319"/>
      <c r="E221" s="319"/>
    </row>
    <row r="222" customFormat="false" ht="12" hidden="false" customHeight="false" outlineLevel="0" collapsed="false">
      <c r="B222" s="319"/>
      <c r="C222" s="319"/>
      <c r="D222" s="319"/>
      <c r="E222" s="319"/>
    </row>
    <row r="223" customFormat="false" ht="12" hidden="false" customHeight="false" outlineLevel="0" collapsed="false">
      <c r="B223" s="319"/>
      <c r="C223" s="319"/>
      <c r="D223" s="319"/>
      <c r="E223" s="319"/>
    </row>
    <row r="224" customFormat="false" ht="12" hidden="false" customHeight="false" outlineLevel="0" collapsed="false">
      <c r="B224" s="319"/>
      <c r="C224" s="319"/>
      <c r="D224" s="319"/>
      <c r="E224" s="319"/>
    </row>
    <row r="225" customFormat="false" ht="12" hidden="false" customHeight="false" outlineLevel="0" collapsed="false">
      <c r="B225" s="319"/>
      <c r="C225" s="319"/>
      <c r="D225" s="319"/>
      <c r="E225" s="319"/>
    </row>
    <row r="226" customFormat="false" ht="12" hidden="false" customHeight="false" outlineLevel="0" collapsed="false">
      <c r="B226" s="319"/>
      <c r="C226" s="319"/>
      <c r="D226" s="319"/>
      <c r="E226" s="319"/>
    </row>
    <row r="227" customFormat="false" ht="12" hidden="false" customHeight="false" outlineLevel="0" collapsed="false">
      <c r="B227" s="319"/>
      <c r="C227" s="319"/>
      <c r="D227" s="319"/>
      <c r="E227" s="319"/>
    </row>
    <row r="228" customFormat="false" ht="12" hidden="false" customHeight="false" outlineLevel="0" collapsed="false">
      <c r="B228" s="319"/>
      <c r="C228" s="319"/>
      <c r="D228" s="319"/>
      <c r="E228" s="319"/>
    </row>
    <row r="229" customFormat="false" ht="12" hidden="false" customHeight="false" outlineLevel="0" collapsed="false">
      <c r="B229" s="319"/>
      <c r="C229" s="319"/>
      <c r="D229" s="319"/>
      <c r="E229" s="319"/>
    </row>
    <row r="230" customFormat="false" ht="12" hidden="false" customHeight="false" outlineLevel="0" collapsed="false">
      <c r="B230" s="319"/>
      <c r="C230" s="319"/>
      <c r="D230" s="319"/>
      <c r="E230" s="319"/>
    </row>
    <row r="231" customFormat="false" ht="12" hidden="false" customHeight="false" outlineLevel="0" collapsed="false">
      <c r="B231" s="319"/>
      <c r="C231" s="319"/>
      <c r="D231" s="319"/>
      <c r="E231" s="319"/>
    </row>
    <row r="232" customFormat="false" ht="12" hidden="false" customHeight="false" outlineLevel="0" collapsed="false">
      <c r="B232" s="319"/>
      <c r="C232" s="319"/>
      <c r="D232" s="319"/>
      <c r="E232" s="319"/>
    </row>
    <row r="233" customFormat="false" ht="12" hidden="false" customHeight="false" outlineLevel="0" collapsed="false">
      <c r="B233" s="319"/>
      <c r="C233" s="319"/>
      <c r="D233" s="319"/>
      <c r="E233" s="319"/>
    </row>
    <row r="234" customFormat="false" ht="12" hidden="false" customHeight="false" outlineLevel="0" collapsed="false">
      <c r="B234" s="319"/>
      <c r="C234" s="319"/>
      <c r="D234" s="319"/>
      <c r="E234" s="319"/>
    </row>
    <row r="235" customFormat="false" ht="12" hidden="false" customHeight="false" outlineLevel="0" collapsed="false">
      <c r="B235" s="319"/>
      <c r="C235" s="319"/>
      <c r="D235" s="319"/>
      <c r="E235" s="319"/>
    </row>
    <row r="236" customFormat="false" ht="12" hidden="false" customHeight="false" outlineLevel="0" collapsed="false">
      <c r="B236" s="319"/>
      <c r="C236" s="319"/>
      <c r="D236" s="319"/>
      <c r="E236" s="319"/>
    </row>
    <row r="237" customFormat="false" ht="12" hidden="false" customHeight="false" outlineLevel="0" collapsed="false">
      <c r="B237" s="319"/>
      <c r="C237" s="319"/>
      <c r="D237" s="319"/>
      <c r="E237" s="319"/>
    </row>
    <row r="238" customFormat="false" ht="12" hidden="false" customHeight="false" outlineLevel="0" collapsed="false">
      <c r="C238" s="319"/>
      <c r="D238" s="319"/>
      <c r="E238" s="319"/>
    </row>
    <row r="239" customFormat="false" ht="12" hidden="false" customHeight="false" outlineLevel="0" collapsed="false">
      <c r="C239" s="319"/>
      <c r="D239" s="319"/>
      <c r="E239" s="319"/>
    </row>
    <row r="240" customFormat="false" ht="12" hidden="false" customHeight="false" outlineLevel="0" collapsed="false">
      <c r="C240" s="319"/>
      <c r="D240" s="319"/>
      <c r="E240" s="319"/>
    </row>
    <row r="241" customFormat="false" ht="12" hidden="false" customHeight="false" outlineLevel="0" collapsed="false">
      <c r="C241" s="319"/>
      <c r="D241" s="319"/>
      <c r="E241" s="319"/>
    </row>
    <row r="242" customFormat="false" ht="12" hidden="false" customHeight="false" outlineLevel="0" collapsed="false">
      <c r="C242" s="319"/>
      <c r="D242" s="319"/>
      <c r="E242" s="319"/>
    </row>
    <row r="243" customFormat="false" ht="12" hidden="false" customHeight="false" outlineLevel="0" collapsed="false">
      <c r="C243" s="319"/>
      <c r="D243" s="319"/>
      <c r="E243" s="319"/>
    </row>
    <row r="244" customFormat="false" ht="12" hidden="false" customHeight="false" outlineLevel="0" collapsed="false">
      <c r="C244" s="319"/>
      <c r="D244" s="319"/>
      <c r="E244" s="319"/>
    </row>
    <row r="245" customFormat="false" ht="12" hidden="false" customHeight="false" outlineLevel="0" collapsed="false">
      <c r="C245" s="319"/>
      <c r="D245" s="319"/>
      <c r="E245" s="319"/>
    </row>
    <row r="246" customFormat="false" ht="12" hidden="false" customHeight="false" outlineLevel="0" collapsed="false">
      <c r="C246" s="319"/>
      <c r="D246" s="319"/>
      <c r="E246" s="319"/>
    </row>
    <row r="247" customFormat="false" ht="12" hidden="false" customHeight="false" outlineLevel="0" collapsed="false">
      <c r="C247" s="319"/>
      <c r="D247" s="319"/>
      <c r="E247" s="319"/>
    </row>
    <row r="248" customFormat="false" ht="12" hidden="false" customHeight="false" outlineLevel="0" collapsed="false">
      <c r="C248" s="319"/>
      <c r="D248" s="319"/>
      <c r="E248" s="319"/>
    </row>
    <row r="249" customFormat="false" ht="12" hidden="false" customHeight="false" outlineLevel="0" collapsed="false">
      <c r="C249" s="319"/>
      <c r="D249" s="319"/>
      <c r="E249" s="319"/>
    </row>
    <row r="250" customFormat="false" ht="12" hidden="false" customHeight="false" outlineLevel="0" collapsed="false">
      <c r="C250" s="319"/>
      <c r="D250" s="319"/>
      <c r="E250" s="319"/>
    </row>
    <row r="251" customFormat="false" ht="12" hidden="false" customHeight="false" outlineLevel="0" collapsed="false">
      <c r="C251" s="319"/>
      <c r="D251" s="319"/>
      <c r="E251" s="319"/>
    </row>
    <row r="252" customFormat="false" ht="12" hidden="false" customHeight="false" outlineLevel="0" collapsed="false">
      <c r="C252" s="319"/>
      <c r="D252" s="319"/>
      <c r="E252" s="319"/>
    </row>
    <row r="253" customFormat="false" ht="12" hidden="false" customHeight="false" outlineLevel="0" collapsed="false">
      <c r="C253" s="319"/>
      <c r="D253" s="319"/>
      <c r="E253" s="319"/>
    </row>
    <row r="254" customFormat="false" ht="12" hidden="false" customHeight="false" outlineLevel="0" collapsed="false">
      <c r="C254" s="319"/>
      <c r="D254" s="319"/>
      <c r="E254" s="319"/>
    </row>
    <row r="255" customFormat="false" ht="12" hidden="false" customHeight="false" outlineLevel="0" collapsed="false">
      <c r="C255" s="319"/>
      <c r="D255" s="319"/>
      <c r="E255" s="319"/>
    </row>
    <row r="256" customFormat="false" ht="12" hidden="false" customHeight="false" outlineLevel="0" collapsed="false">
      <c r="C256" s="319"/>
      <c r="D256" s="319"/>
      <c r="E256" s="319"/>
    </row>
    <row r="257" customFormat="false" ht="12" hidden="false" customHeight="false" outlineLevel="0" collapsed="false">
      <c r="C257" s="319"/>
      <c r="D257" s="319"/>
      <c r="E257" s="319"/>
    </row>
    <row r="258" customFormat="false" ht="12" hidden="false" customHeight="false" outlineLevel="0" collapsed="false">
      <c r="C258" s="319"/>
      <c r="D258" s="319"/>
      <c r="E258" s="319"/>
    </row>
    <row r="259" customFormat="false" ht="12" hidden="false" customHeight="false" outlineLevel="0" collapsed="false">
      <c r="C259" s="319"/>
      <c r="D259" s="319"/>
      <c r="E259" s="319"/>
    </row>
    <row r="260" customFormat="false" ht="12" hidden="false" customHeight="false" outlineLevel="0" collapsed="false">
      <c r="C260" s="319"/>
      <c r="D260" s="319"/>
      <c r="E260" s="319"/>
    </row>
    <row r="261" customFormat="false" ht="12" hidden="false" customHeight="false" outlineLevel="0" collapsed="false">
      <c r="C261" s="319"/>
      <c r="D261" s="319"/>
      <c r="E261" s="319"/>
    </row>
    <row r="262" customFormat="false" ht="12" hidden="false" customHeight="false" outlineLevel="0" collapsed="false">
      <c r="C262" s="319"/>
      <c r="D262" s="319"/>
      <c r="E262" s="319"/>
    </row>
    <row r="263" customFormat="false" ht="12" hidden="false" customHeight="false" outlineLevel="0" collapsed="false">
      <c r="C263" s="319"/>
      <c r="D263" s="319"/>
      <c r="E263" s="319"/>
    </row>
    <row r="264" customFormat="false" ht="12" hidden="false" customHeight="false" outlineLevel="0" collapsed="false">
      <c r="C264" s="319"/>
      <c r="D264" s="319"/>
      <c r="E264" s="319"/>
    </row>
    <row r="265" customFormat="false" ht="12" hidden="false" customHeight="false" outlineLevel="0" collapsed="false">
      <c r="C265" s="319"/>
      <c r="D265" s="319"/>
      <c r="E265" s="319"/>
    </row>
    <row r="266" customFormat="false" ht="12" hidden="false" customHeight="false" outlineLevel="0" collapsed="false">
      <c r="C266" s="319"/>
      <c r="D266" s="319"/>
      <c r="E266" s="319"/>
    </row>
    <row r="267" customFormat="false" ht="12" hidden="false" customHeight="false" outlineLevel="0" collapsed="false">
      <c r="C267" s="319"/>
      <c r="D267" s="319"/>
      <c r="E267" s="319"/>
    </row>
    <row r="268" customFormat="false" ht="12" hidden="false" customHeight="false" outlineLevel="0" collapsed="false">
      <c r="C268" s="319"/>
      <c r="D268" s="319"/>
      <c r="E268" s="319"/>
    </row>
    <row r="269" customFormat="false" ht="12" hidden="false" customHeight="false" outlineLevel="0" collapsed="false">
      <c r="C269" s="319"/>
      <c r="D269" s="319"/>
      <c r="E269" s="319"/>
    </row>
    <row r="270" customFormat="false" ht="12" hidden="false" customHeight="false" outlineLevel="0" collapsed="false">
      <c r="C270" s="319"/>
      <c r="D270" s="319"/>
      <c r="E270" s="319"/>
    </row>
    <row r="271" customFormat="false" ht="12" hidden="false" customHeight="false" outlineLevel="0" collapsed="false">
      <c r="C271" s="319"/>
      <c r="D271" s="319"/>
      <c r="E271" s="319"/>
    </row>
    <row r="272" customFormat="false" ht="12" hidden="false" customHeight="false" outlineLevel="0" collapsed="false">
      <c r="C272" s="319"/>
      <c r="D272" s="319"/>
      <c r="E272" s="319"/>
    </row>
    <row r="273" customFormat="false" ht="12" hidden="false" customHeight="false" outlineLevel="0" collapsed="false">
      <c r="C273" s="319"/>
      <c r="D273" s="319"/>
      <c r="E273" s="319"/>
    </row>
    <row r="274" customFormat="false" ht="12" hidden="false" customHeight="false" outlineLevel="0" collapsed="false">
      <c r="C274" s="319"/>
      <c r="D274" s="319"/>
      <c r="E274" s="319"/>
    </row>
    <row r="275" customFormat="false" ht="12" hidden="false" customHeight="false" outlineLevel="0" collapsed="false">
      <c r="C275" s="319"/>
      <c r="D275" s="319"/>
      <c r="E275" s="319"/>
    </row>
    <row r="276" customFormat="false" ht="12" hidden="false" customHeight="false" outlineLevel="0" collapsed="false">
      <c r="C276" s="319"/>
      <c r="D276" s="319"/>
      <c r="E276" s="319"/>
    </row>
    <row r="277" customFormat="false" ht="12" hidden="false" customHeight="false" outlineLevel="0" collapsed="false">
      <c r="C277" s="319"/>
      <c r="D277" s="319"/>
      <c r="E277" s="319"/>
    </row>
    <row r="278" customFormat="false" ht="12" hidden="false" customHeight="false" outlineLevel="0" collapsed="false">
      <c r="C278" s="319"/>
      <c r="D278" s="319"/>
      <c r="E278" s="319"/>
    </row>
    <row r="279" customFormat="false" ht="12" hidden="false" customHeight="false" outlineLevel="0" collapsed="false">
      <c r="C279" s="319"/>
      <c r="D279" s="319"/>
      <c r="E279" s="319"/>
    </row>
    <row r="280" customFormat="false" ht="12" hidden="false" customHeight="false" outlineLevel="0" collapsed="false">
      <c r="C280" s="319"/>
      <c r="D280" s="319"/>
      <c r="E280" s="319"/>
    </row>
    <row r="281" customFormat="false" ht="12" hidden="false" customHeight="false" outlineLevel="0" collapsed="false">
      <c r="C281" s="319"/>
      <c r="D281" s="319"/>
      <c r="E281" s="319"/>
    </row>
    <row r="282" customFormat="false" ht="12" hidden="false" customHeight="false" outlineLevel="0" collapsed="false">
      <c r="C282" s="319"/>
      <c r="D282" s="319"/>
      <c r="E282" s="319"/>
    </row>
    <row r="283" customFormat="false" ht="12" hidden="false" customHeight="false" outlineLevel="0" collapsed="false">
      <c r="C283" s="319"/>
      <c r="D283" s="319"/>
      <c r="E283" s="319"/>
    </row>
    <row r="284" customFormat="false" ht="12" hidden="false" customHeight="false" outlineLevel="0" collapsed="false">
      <c r="C284" s="319"/>
      <c r="D284" s="319"/>
    </row>
    <row r="285" customFormat="false" ht="12" hidden="false" customHeight="false" outlineLevel="0" collapsed="false">
      <c r="C285" s="319"/>
      <c r="D285" s="319"/>
    </row>
    <row r="286" customFormat="false" ht="12" hidden="false" customHeight="false" outlineLevel="0" collapsed="false">
      <c r="C286" s="319"/>
      <c r="D286" s="319"/>
    </row>
    <row r="287" customFormat="false" ht="12" hidden="false" customHeight="false" outlineLevel="0" collapsed="false">
      <c r="C287" s="319"/>
      <c r="D287" s="319"/>
    </row>
    <row r="288" customFormat="false" ht="12" hidden="false" customHeight="false" outlineLevel="0" collapsed="false">
      <c r="C288" s="319"/>
      <c r="D288" s="319"/>
    </row>
    <row r="289" customFormat="false" ht="12" hidden="false" customHeight="false" outlineLevel="0" collapsed="false">
      <c r="C289" s="319"/>
      <c r="D289" s="319"/>
    </row>
    <row r="290" customFormat="false" ht="12" hidden="false" customHeight="false" outlineLevel="0" collapsed="false">
      <c r="C290" s="319"/>
      <c r="D290" s="319"/>
    </row>
    <row r="291" customFormat="false" ht="12" hidden="false" customHeight="false" outlineLevel="0" collapsed="false">
      <c r="C291" s="319"/>
      <c r="D291" s="319"/>
    </row>
    <row r="292" customFormat="false" ht="12" hidden="false" customHeight="false" outlineLevel="0" collapsed="false">
      <c r="C292" s="319"/>
      <c r="D292" s="319"/>
    </row>
    <row r="293" customFormat="false" ht="12" hidden="false" customHeight="false" outlineLevel="0" collapsed="false">
      <c r="C293" s="319"/>
      <c r="D293" s="319"/>
    </row>
    <row r="294" customFormat="false" ht="12" hidden="false" customHeight="false" outlineLevel="0" collapsed="false">
      <c r="C294" s="319"/>
      <c r="D294" s="319"/>
    </row>
    <row r="295" customFormat="false" ht="12" hidden="false" customHeight="false" outlineLevel="0" collapsed="false">
      <c r="C295" s="319"/>
      <c r="D295" s="319"/>
    </row>
    <row r="296" customFormat="false" ht="12" hidden="false" customHeight="false" outlineLevel="0" collapsed="false">
      <c r="C296" s="319"/>
      <c r="D296" s="319"/>
    </row>
    <row r="297" customFormat="false" ht="12" hidden="false" customHeight="false" outlineLevel="0" collapsed="false">
      <c r="C297" s="319"/>
      <c r="D297" s="319"/>
    </row>
    <row r="298" customFormat="false" ht="12" hidden="false" customHeight="false" outlineLevel="0" collapsed="false">
      <c r="C298" s="319"/>
      <c r="D298" s="319"/>
    </row>
    <row r="299" customFormat="false" ht="12" hidden="false" customHeight="false" outlineLevel="0" collapsed="false">
      <c r="C299" s="319"/>
      <c r="D299" s="319"/>
    </row>
    <row r="300" customFormat="false" ht="12" hidden="false" customHeight="false" outlineLevel="0" collapsed="false">
      <c r="C300" s="319"/>
      <c r="D300" s="319"/>
    </row>
    <row r="301" customFormat="false" ht="12" hidden="false" customHeight="false" outlineLevel="0" collapsed="false">
      <c r="C301" s="319"/>
      <c r="D301" s="319"/>
    </row>
    <row r="302" customFormat="false" ht="12" hidden="false" customHeight="false" outlineLevel="0" collapsed="false">
      <c r="C302" s="319"/>
      <c r="D302" s="319"/>
    </row>
    <row r="303" customFormat="false" ht="12" hidden="false" customHeight="false" outlineLevel="0" collapsed="false">
      <c r="C303" s="319"/>
      <c r="D303" s="319"/>
    </row>
    <row r="304" customFormat="false" ht="12" hidden="false" customHeight="false" outlineLevel="0" collapsed="false">
      <c r="C304" s="319"/>
      <c r="D304" s="319"/>
    </row>
    <row r="305" customFormat="false" ht="12" hidden="false" customHeight="false" outlineLevel="0" collapsed="false">
      <c r="C305" s="319"/>
      <c r="D305" s="319"/>
    </row>
    <row r="306" customFormat="false" ht="12" hidden="false" customHeight="false" outlineLevel="0" collapsed="false">
      <c r="C306" s="319"/>
      <c r="D306" s="319"/>
    </row>
    <row r="307" customFormat="false" ht="12" hidden="false" customHeight="false" outlineLevel="0" collapsed="false">
      <c r="C307" s="319"/>
      <c r="D307" s="319"/>
    </row>
    <row r="308" customFormat="false" ht="12" hidden="false" customHeight="false" outlineLevel="0" collapsed="false">
      <c r="C308" s="319"/>
      <c r="D308" s="319"/>
    </row>
    <row r="309" customFormat="false" ht="12" hidden="false" customHeight="false" outlineLevel="0" collapsed="false">
      <c r="C309" s="319"/>
      <c r="D309" s="319"/>
    </row>
    <row r="310" customFormat="false" ht="12" hidden="false" customHeight="false" outlineLevel="0" collapsed="false">
      <c r="C310" s="319"/>
      <c r="D310" s="319"/>
    </row>
    <row r="311" customFormat="false" ht="12" hidden="false" customHeight="false" outlineLevel="0" collapsed="false">
      <c r="C311" s="319"/>
      <c r="D311" s="319"/>
    </row>
    <row r="312" customFormat="false" ht="12" hidden="false" customHeight="false" outlineLevel="0" collapsed="false">
      <c r="C312" s="319"/>
      <c r="D312" s="319"/>
    </row>
    <row r="313" customFormat="false" ht="12" hidden="false" customHeight="false" outlineLevel="0" collapsed="false">
      <c r="C313" s="319"/>
      <c r="D313" s="319"/>
    </row>
    <row r="314" customFormat="false" ht="12" hidden="false" customHeight="false" outlineLevel="0" collapsed="false">
      <c r="C314" s="319"/>
      <c r="D314" s="319"/>
    </row>
    <row r="315" customFormat="false" ht="12" hidden="false" customHeight="false" outlineLevel="0" collapsed="false">
      <c r="C315" s="319"/>
      <c r="D315" s="319"/>
    </row>
    <row r="316" customFormat="false" ht="12" hidden="false" customHeight="false" outlineLevel="0" collapsed="false">
      <c r="C316" s="319"/>
      <c r="D316" s="319"/>
    </row>
    <row r="317" customFormat="false" ht="12" hidden="false" customHeight="false" outlineLevel="0" collapsed="false">
      <c r="C317" s="319"/>
      <c r="D317" s="319"/>
    </row>
    <row r="318" customFormat="false" ht="12" hidden="false" customHeight="false" outlineLevel="0" collapsed="false">
      <c r="C318" s="319"/>
      <c r="D318" s="319"/>
    </row>
    <row r="319" customFormat="false" ht="12" hidden="false" customHeight="false" outlineLevel="0" collapsed="false">
      <c r="C319" s="319"/>
      <c r="D319" s="319"/>
    </row>
    <row r="320" customFormat="false" ht="12" hidden="false" customHeight="false" outlineLevel="0" collapsed="false">
      <c r="C320" s="319"/>
      <c r="D320" s="319"/>
    </row>
    <row r="321" customFormat="false" ht="12" hidden="false" customHeight="false" outlineLevel="0" collapsed="false">
      <c r="C321" s="319"/>
      <c r="D321" s="319"/>
    </row>
    <row r="322" customFormat="false" ht="12" hidden="false" customHeight="false" outlineLevel="0" collapsed="false">
      <c r="C322" s="319"/>
      <c r="D322" s="319"/>
    </row>
    <row r="323" customFormat="false" ht="12" hidden="false" customHeight="false" outlineLevel="0" collapsed="false">
      <c r="C323" s="319"/>
      <c r="D323" s="319"/>
    </row>
    <row r="324" customFormat="false" ht="12" hidden="false" customHeight="false" outlineLevel="0" collapsed="false">
      <c r="C324" s="319"/>
      <c r="D324" s="319"/>
    </row>
    <row r="325" customFormat="false" ht="12" hidden="false" customHeight="false" outlineLevel="0" collapsed="false">
      <c r="C325" s="319"/>
      <c r="D325" s="319"/>
    </row>
    <row r="326" customFormat="false" ht="12" hidden="false" customHeight="false" outlineLevel="0" collapsed="false">
      <c r="C326" s="319"/>
      <c r="D326" s="319"/>
    </row>
    <row r="327" customFormat="false" ht="12" hidden="false" customHeight="false" outlineLevel="0" collapsed="false">
      <c r="C327" s="319"/>
      <c r="D327" s="319"/>
    </row>
    <row r="328" customFormat="false" ht="12" hidden="false" customHeight="false" outlineLevel="0" collapsed="false">
      <c r="C328" s="319"/>
      <c r="D328" s="319"/>
    </row>
    <row r="329" customFormat="false" ht="12" hidden="false" customHeight="false" outlineLevel="0" collapsed="false">
      <c r="C329" s="319"/>
      <c r="D329" s="319"/>
    </row>
    <row r="330" customFormat="false" ht="12" hidden="false" customHeight="false" outlineLevel="0" collapsed="false">
      <c r="C330" s="319"/>
      <c r="D330" s="319"/>
    </row>
    <row r="331" customFormat="false" ht="12" hidden="false" customHeight="false" outlineLevel="0" collapsed="false">
      <c r="C331" s="319"/>
      <c r="D331" s="319"/>
    </row>
    <row r="332" customFormat="false" ht="12" hidden="false" customHeight="false" outlineLevel="0" collapsed="false">
      <c r="C332" s="319"/>
      <c r="D332" s="319"/>
    </row>
    <row r="333" customFormat="false" ht="12" hidden="false" customHeight="false" outlineLevel="0" collapsed="false">
      <c r="C333" s="319"/>
      <c r="D333" s="319"/>
    </row>
    <row r="334" customFormat="false" ht="12" hidden="false" customHeight="false" outlineLevel="0" collapsed="false">
      <c r="C334" s="319"/>
      <c r="D334" s="319"/>
    </row>
    <row r="335" customFormat="false" ht="12" hidden="false" customHeight="false" outlineLevel="0" collapsed="false">
      <c r="C335" s="319"/>
      <c r="D335" s="319"/>
    </row>
    <row r="336" customFormat="false" ht="12" hidden="false" customHeight="false" outlineLevel="0" collapsed="false">
      <c r="C336" s="319"/>
      <c r="D336" s="319"/>
    </row>
    <row r="337" customFormat="false" ht="12" hidden="false" customHeight="false" outlineLevel="0" collapsed="false">
      <c r="C337" s="319"/>
      <c r="D337" s="319"/>
    </row>
    <row r="338" customFormat="false" ht="12" hidden="false" customHeight="false" outlineLevel="0" collapsed="false">
      <c r="C338" s="319"/>
      <c r="D338" s="319"/>
    </row>
    <row r="339" customFormat="false" ht="12" hidden="false" customHeight="false" outlineLevel="0" collapsed="false">
      <c r="C339" s="319"/>
      <c r="D339" s="319"/>
    </row>
    <row r="340" customFormat="false" ht="12" hidden="false" customHeight="false" outlineLevel="0" collapsed="false">
      <c r="C340" s="319"/>
      <c r="D340" s="319"/>
    </row>
    <row r="341" customFormat="false" ht="12" hidden="false" customHeight="false" outlineLevel="0" collapsed="false">
      <c r="C341" s="319"/>
      <c r="D341" s="319"/>
    </row>
    <row r="342" customFormat="false" ht="12" hidden="false" customHeight="false" outlineLevel="0" collapsed="false">
      <c r="C342" s="319"/>
      <c r="D342" s="319"/>
    </row>
    <row r="343" customFormat="false" ht="12" hidden="false" customHeight="false" outlineLevel="0" collapsed="false">
      <c r="C343" s="319"/>
      <c r="D343" s="319"/>
    </row>
    <row r="344" customFormat="false" ht="12" hidden="false" customHeight="false" outlineLevel="0" collapsed="false">
      <c r="C344" s="319"/>
      <c r="D344" s="319"/>
    </row>
    <row r="345" customFormat="false" ht="12" hidden="false" customHeight="false" outlineLevel="0" collapsed="false">
      <c r="C345" s="319"/>
      <c r="D345" s="319"/>
    </row>
    <row r="346" customFormat="false" ht="12" hidden="false" customHeight="false" outlineLevel="0" collapsed="false">
      <c r="C346" s="319"/>
      <c r="D346" s="319"/>
    </row>
    <row r="347" customFormat="false" ht="12" hidden="false" customHeight="false" outlineLevel="0" collapsed="false">
      <c r="C347" s="319"/>
      <c r="D347" s="319"/>
    </row>
    <row r="348" customFormat="false" ht="12" hidden="false" customHeight="false" outlineLevel="0" collapsed="false">
      <c r="C348" s="319"/>
      <c r="D348" s="319"/>
    </row>
    <row r="349" customFormat="false" ht="12" hidden="false" customHeight="false" outlineLevel="0" collapsed="false">
      <c r="C349" s="319"/>
      <c r="D349" s="319"/>
    </row>
    <row r="350" customFormat="false" ht="12" hidden="false" customHeight="false" outlineLevel="0" collapsed="false">
      <c r="C350" s="319"/>
      <c r="D350" s="319"/>
    </row>
    <row r="351" customFormat="false" ht="12" hidden="false" customHeight="false" outlineLevel="0" collapsed="false">
      <c r="C351" s="319"/>
      <c r="D351" s="319"/>
    </row>
    <row r="352" customFormat="false" ht="12" hidden="false" customHeight="false" outlineLevel="0" collapsed="false">
      <c r="C352" s="319"/>
      <c r="D352" s="319"/>
    </row>
    <row r="353" customFormat="false" ht="12" hidden="false" customHeight="false" outlineLevel="0" collapsed="false">
      <c r="C353" s="319"/>
      <c r="D353" s="319"/>
    </row>
    <row r="354" customFormat="false" ht="12" hidden="false" customHeight="false" outlineLevel="0" collapsed="false">
      <c r="C354" s="319"/>
      <c r="D354" s="319"/>
    </row>
    <row r="355" customFormat="false" ht="12" hidden="false" customHeight="false" outlineLevel="0" collapsed="false">
      <c r="C355" s="319"/>
      <c r="D355" s="319"/>
    </row>
    <row r="356" customFormat="false" ht="12" hidden="false" customHeight="false" outlineLevel="0" collapsed="false">
      <c r="C356" s="319"/>
      <c r="D356" s="319"/>
    </row>
    <row r="357" customFormat="false" ht="12" hidden="false" customHeight="false" outlineLevel="0" collapsed="false">
      <c r="C357" s="319"/>
      <c r="D357" s="319"/>
    </row>
    <row r="358" customFormat="false" ht="12" hidden="false" customHeight="false" outlineLevel="0" collapsed="false">
      <c r="C358" s="319"/>
      <c r="D358" s="319"/>
    </row>
    <row r="359" customFormat="false" ht="12" hidden="false" customHeight="false" outlineLevel="0" collapsed="false">
      <c r="C359" s="319"/>
      <c r="D359" s="319"/>
    </row>
    <row r="360" customFormat="false" ht="12" hidden="false" customHeight="false" outlineLevel="0" collapsed="false">
      <c r="C360" s="319"/>
      <c r="D360" s="319"/>
    </row>
    <row r="361" customFormat="false" ht="12" hidden="false" customHeight="false" outlineLevel="0" collapsed="false">
      <c r="C361" s="319"/>
      <c r="D361" s="319"/>
    </row>
    <row r="362" customFormat="false" ht="12" hidden="false" customHeight="false" outlineLevel="0" collapsed="false">
      <c r="C362" s="319"/>
      <c r="D362" s="319"/>
    </row>
    <row r="363" customFormat="false" ht="12" hidden="false" customHeight="false" outlineLevel="0" collapsed="false">
      <c r="C363" s="319"/>
      <c r="D363" s="319"/>
    </row>
    <row r="364" customFormat="false" ht="12" hidden="false" customHeight="false" outlineLevel="0" collapsed="false">
      <c r="C364" s="319"/>
      <c r="D364" s="319"/>
    </row>
    <row r="365" customFormat="false" ht="12" hidden="false" customHeight="false" outlineLevel="0" collapsed="false">
      <c r="C365" s="319"/>
      <c r="D365" s="319"/>
    </row>
    <row r="366" customFormat="false" ht="12" hidden="false" customHeight="false" outlineLevel="0" collapsed="false">
      <c r="C366" s="319"/>
      <c r="D366" s="319"/>
    </row>
    <row r="367" customFormat="false" ht="12" hidden="false" customHeight="false" outlineLevel="0" collapsed="false">
      <c r="C367" s="319"/>
      <c r="D367" s="319"/>
    </row>
    <row r="368" customFormat="false" ht="12" hidden="false" customHeight="false" outlineLevel="0" collapsed="false">
      <c r="C368" s="319"/>
      <c r="D368" s="319"/>
    </row>
    <row r="369" customFormat="false" ht="12" hidden="false" customHeight="false" outlineLevel="0" collapsed="false">
      <c r="C369" s="319"/>
      <c r="D369" s="319"/>
    </row>
    <row r="370" customFormat="false" ht="12" hidden="false" customHeight="false" outlineLevel="0" collapsed="false">
      <c r="C370" s="319"/>
      <c r="D370" s="319"/>
    </row>
    <row r="371" customFormat="false" ht="12" hidden="false" customHeight="false" outlineLevel="0" collapsed="false">
      <c r="C371" s="319"/>
      <c r="D371" s="319"/>
    </row>
    <row r="372" customFormat="false" ht="12" hidden="false" customHeight="false" outlineLevel="0" collapsed="false">
      <c r="C372" s="319"/>
      <c r="D372" s="319"/>
    </row>
    <row r="373" customFormat="false" ht="12" hidden="false" customHeight="false" outlineLevel="0" collapsed="false">
      <c r="C373" s="319"/>
      <c r="D373" s="319"/>
    </row>
    <row r="374" customFormat="false" ht="12" hidden="false" customHeight="false" outlineLevel="0" collapsed="false">
      <c r="C374" s="319"/>
      <c r="D374" s="319"/>
    </row>
    <row r="375" customFormat="false" ht="12" hidden="false" customHeight="false" outlineLevel="0" collapsed="false">
      <c r="C375" s="319"/>
      <c r="D375" s="319"/>
    </row>
    <row r="376" customFormat="false" ht="12" hidden="false" customHeight="false" outlineLevel="0" collapsed="false">
      <c r="C376" s="319"/>
      <c r="D376" s="319"/>
    </row>
    <row r="377" customFormat="false" ht="12" hidden="false" customHeight="false" outlineLevel="0" collapsed="false">
      <c r="C377" s="319"/>
      <c r="D377" s="319"/>
    </row>
    <row r="378" customFormat="false" ht="12" hidden="false" customHeight="false" outlineLevel="0" collapsed="false">
      <c r="C378" s="319"/>
      <c r="D378" s="319"/>
    </row>
    <row r="379" customFormat="false" ht="12" hidden="false" customHeight="false" outlineLevel="0" collapsed="false">
      <c r="C379" s="319"/>
      <c r="D379" s="319"/>
    </row>
    <row r="380" customFormat="false" ht="12" hidden="false" customHeight="false" outlineLevel="0" collapsed="false">
      <c r="C380" s="319"/>
      <c r="D380" s="319"/>
    </row>
    <row r="381" customFormat="false" ht="12" hidden="false" customHeight="false" outlineLevel="0" collapsed="false">
      <c r="C381" s="319"/>
      <c r="D381" s="319"/>
    </row>
    <row r="382" customFormat="false" ht="12" hidden="false" customHeight="false" outlineLevel="0" collapsed="false">
      <c r="C382" s="319"/>
      <c r="D382" s="319"/>
    </row>
    <row r="383" customFormat="false" ht="12" hidden="false" customHeight="false" outlineLevel="0" collapsed="false">
      <c r="C383" s="319"/>
      <c r="D383" s="319"/>
    </row>
    <row r="384" customFormat="false" ht="12" hidden="false" customHeight="false" outlineLevel="0" collapsed="false">
      <c r="C384" s="319"/>
      <c r="D384" s="319"/>
    </row>
    <row r="385" customFormat="false" ht="12" hidden="false" customHeight="false" outlineLevel="0" collapsed="false">
      <c r="C385" s="319"/>
      <c r="D385" s="319"/>
    </row>
    <row r="386" customFormat="false" ht="12" hidden="false" customHeight="false" outlineLevel="0" collapsed="false">
      <c r="C386" s="319"/>
      <c r="D386" s="319"/>
    </row>
    <row r="387" customFormat="false" ht="12" hidden="false" customHeight="false" outlineLevel="0" collapsed="false">
      <c r="C387" s="319"/>
      <c r="D387" s="319"/>
    </row>
    <row r="388" customFormat="false" ht="12" hidden="false" customHeight="false" outlineLevel="0" collapsed="false">
      <c r="C388" s="319"/>
      <c r="D388" s="319"/>
    </row>
    <row r="389" customFormat="false" ht="12" hidden="false" customHeight="false" outlineLevel="0" collapsed="false">
      <c r="C389" s="319"/>
      <c r="D389" s="319"/>
    </row>
    <row r="390" customFormat="false" ht="12" hidden="false" customHeight="false" outlineLevel="0" collapsed="false">
      <c r="C390" s="319"/>
      <c r="D390" s="319"/>
    </row>
    <row r="391" customFormat="false" ht="12" hidden="false" customHeight="false" outlineLevel="0" collapsed="false">
      <c r="C391" s="319"/>
      <c r="D391" s="319"/>
    </row>
    <row r="392" customFormat="false" ht="12" hidden="false" customHeight="false" outlineLevel="0" collapsed="false">
      <c r="C392" s="319"/>
      <c r="D392" s="319"/>
    </row>
    <row r="393" customFormat="false" ht="12" hidden="false" customHeight="false" outlineLevel="0" collapsed="false">
      <c r="C393" s="319"/>
      <c r="D393" s="319"/>
    </row>
    <row r="394" customFormat="false" ht="12" hidden="false" customHeight="false" outlineLevel="0" collapsed="false">
      <c r="C394" s="319"/>
      <c r="D394" s="319"/>
    </row>
    <row r="395" customFormat="false" ht="12" hidden="false" customHeight="false" outlineLevel="0" collapsed="false">
      <c r="C395" s="319"/>
      <c r="D395" s="319"/>
    </row>
    <row r="396" customFormat="false" ht="12" hidden="false" customHeight="false" outlineLevel="0" collapsed="false">
      <c r="C396" s="319"/>
      <c r="D396" s="319"/>
    </row>
    <row r="397" customFormat="false" ht="12" hidden="false" customHeight="false" outlineLevel="0" collapsed="false">
      <c r="C397" s="319"/>
      <c r="D397" s="319"/>
    </row>
    <row r="398" customFormat="false" ht="12" hidden="false" customHeight="false" outlineLevel="0" collapsed="false">
      <c r="C398" s="319"/>
      <c r="D398" s="319"/>
    </row>
    <row r="399" customFormat="false" ht="12" hidden="false" customHeight="false" outlineLevel="0" collapsed="false">
      <c r="C399" s="319"/>
      <c r="D399" s="319"/>
    </row>
    <row r="400" customFormat="false" ht="12" hidden="false" customHeight="false" outlineLevel="0" collapsed="false">
      <c r="C400" s="319"/>
      <c r="D400" s="319"/>
    </row>
    <row r="401" customFormat="false" ht="12" hidden="false" customHeight="false" outlineLevel="0" collapsed="false">
      <c r="C401" s="319"/>
      <c r="D401" s="319"/>
    </row>
    <row r="402" customFormat="false" ht="12" hidden="false" customHeight="false" outlineLevel="0" collapsed="false">
      <c r="C402" s="319"/>
      <c r="D402" s="319"/>
    </row>
    <row r="403" customFormat="false" ht="12" hidden="false" customHeight="false" outlineLevel="0" collapsed="false">
      <c r="C403" s="319"/>
      <c r="D403" s="319"/>
    </row>
    <row r="404" customFormat="false" ht="12" hidden="false" customHeight="false" outlineLevel="0" collapsed="false">
      <c r="C404" s="319"/>
      <c r="D404" s="319"/>
    </row>
    <row r="405" customFormat="false" ht="12" hidden="false" customHeight="false" outlineLevel="0" collapsed="false">
      <c r="C405" s="319"/>
      <c r="D405" s="319"/>
    </row>
    <row r="406" customFormat="false" ht="12" hidden="false" customHeight="false" outlineLevel="0" collapsed="false">
      <c r="C406" s="319"/>
      <c r="D406" s="319"/>
    </row>
    <row r="407" customFormat="false" ht="12" hidden="false" customHeight="false" outlineLevel="0" collapsed="false">
      <c r="C407" s="319"/>
      <c r="D407" s="319"/>
    </row>
    <row r="408" customFormat="false" ht="12" hidden="false" customHeight="false" outlineLevel="0" collapsed="false">
      <c r="C408" s="319"/>
      <c r="D408" s="319"/>
    </row>
    <row r="409" customFormat="false" ht="12" hidden="false" customHeight="false" outlineLevel="0" collapsed="false">
      <c r="C409" s="319"/>
      <c r="D409" s="319"/>
    </row>
    <row r="410" customFormat="false" ht="12" hidden="false" customHeight="false" outlineLevel="0" collapsed="false">
      <c r="C410" s="319"/>
      <c r="D410" s="319"/>
    </row>
    <row r="411" customFormat="false" ht="12" hidden="false" customHeight="false" outlineLevel="0" collapsed="false">
      <c r="C411" s="319"/>
      <c r="D411" s="319"/>
    </row>
    <row r="412" customFormat="false" ht="12" hidden="false" customHeight="false" outlineLevel="0" collapsed="false">
      <c r="C412" s="319"/>
      <c r="D412" s="319"/>
    </row>
    <row r="413" customFormat="false" ht="12" hidden="false" customHeight="false" outlineLevel="0" collapsed="false">
      <c r="C413" s="319"/>
      <c r="D413" s="319"/>
    </row>
    <row r="414" customFormat="false" ht="12" hidden="false" customHeight="false" outlineLevel="0" collapsed="false">
      <c r="C414" s="319"/>
      <c r="D414" s="319"/>
    </row>
    <row r="415" customFormat="false" ht="12" hidden="false" customHeight="false" outlineLevel="0" collapsed="false">
      <c r="C415" s="319"/>
      <c r="D415" s="319"/>
    </row>
    <row r="416" customFormat="false" ht="12" hidden="false" customHeight="false" outlineLevel="0" collapsed="false">
      <c r="C416" s="319"/>
      <c r="D416" s="319"/>
    </row>
    <row r="417" customFormat="false" ht="12" hidden="false" customHeight="false" outlineLevel="0" collapsed="false">
      <c r="C417" s="319"/>
      <c r="D417" s="319"/>
    </row>
    <row r="418" customFormat="false" ht="12" hidden="false" customHeight="false" outlineLevel="0" collapsed="false">
      <c r="C418" s="319"/>
      <c r="D418" s="319"/>
    </row>
    <row r="419" customFormat="false" ht="12" hidden="false" customHeight="false" outlineLevel="0" collapsed="false">
      <c r="C419" s="319"/>
      <c r="D419" s="319"/>
    </row>
    <row r="420" customFormat="false" ht="12" hidden="false" customHeight="false" outlineLevel="0" collapsed="false">
      <c r="C420" s="319"/>
      <c r="D420" s="319"/>
    </row>
    <row r="421" customFormat="false" ht="12" hidden="false" customHeight="false" outlineLevel="0" collapsed="false">
      <c r="C421" s="319"/>
      <c r="D421" s="319"/>
    </row>
    <row r="422" customFormat="false" ht="12" hidden="false" customHeight="false" outlineLevel="0" collapsed="false">
      <c r="C422" s="319"/>
      <c r="D422" s="319"/>
    </row>
    <row r="423" customFormat="false" ht="12" hidden="false" customHeight="false" outlineLevel="0" collapsed="false">
      <c r="C423" s="319"/>
      <c r="D423" s="319"/>
    </row>
    <row r="424" customFormat="false" ht="12" hidden="false" customHeight="false" outlineLevel="0" collapsed="false">
      <c r="C424" s="319"/>
      <c r="D424" s="319"/>
    </row>
    <row r="425" customFormat="false" ht="12" hidden="false" customHeight="false" outlineLevel="0" collapsed="false">
      <c r="C425" s="319"/>
      <c r="D425" s="319"/>
    </row>
    <row r="426" customFormat="false" ht="12" hidden="false" customHeight="false" outlineLevel="0" collapsed="false">
      <c r="C426" s="319"/>
      <c r="D426" s="319"/>
    </row>
    <row r="427" customFormat="false" ht="12" hidden="false" customHeight="false" outlineLevel="0" collapsed="false">
      <c r="C427" s="319"/>
      <c r="D427" s="319"/>
    </row>
    <row r="428" customFormat="false" ht="12" hidden="false" customHeight="false" outlineLevel="0" collapsed="false">
      <c r="C428" s="319"/>
      <c r="D428" s="319"/>
    </row>
    <row r="429" customFormat="false" ht="12" hidden="false" customHeight="false" outlineLevel="0" collapsed="false">
      <c r="C429" s="319"/>
      <c r="D429" s="319"/>
    </row>
    <row r="430" customFormat="false" ht="12" hidden="false" customHeight="false" outlineLevel="0" collapsed="false">
      <c r="C430" s="319"/>
      <c r="D430" s="319"/>
    </row>
    <row r="431" customFormat="false" ht="12" hidden="false" customHeight="false" outlineLevel="0" collapsed="false">
      <c r="C431" s="319"/>
      <c r="D431" s="319"/>
    </row>
    <row r="432" customFormat="false" ht="12" hidden="false" customHeight="false" outlineLevel="0" collapsed="false">
      <c r="C432" s="319"/>
      <c r="D432" s="319"/>
    </row>
    <row r="433" customFormat="false" ht="12" hidden="false" customHeight="false" outlineLevel="0" collapsed="false">
      <c r="C433" s="319"/>
      <c r="D433" s="319"/>
    </row>
    <row r="434" customFormat="false" ht="12" hidden="false" customHeight="false" outlineLevel="0" collapsed="false">
      <c r="C434" s="319"/>
      <c r="D434" s="319"/>
    </row>
    <row r="435" customFormat="false" ht="12" hidden="false" customHeight="false" outlineLevel="0" collapsed="false">
      <c r="C435" s="319"/>
      <c r="D435" s="319"/>
    </row>
    <row r="436" customFormat="false" ht="12" hidden="false" customHeight="false" outlineLevel="0" collapsed="false">
      <c r="C436" s="319"/>
      <c r="D436" s="319"/>
    </row>
    <row r="437" customFormat="false" ht="12" hidden="false" customHeight="false" outlineLevel="0" collapsed="false">
      <c r="C437" s="319"/>
      <c r="D437" s="319"/>
    </row>
    <row r="438" customFormat="false" ht="12" hidden="false" customHeight="false" outlineLevel="0" collapsed="false">
      <c r="C438" s="319"/>
      <c r="D438" s="319"/>
    </row>
    <row r="439" customFormat="false" ht="12" hidden="false" customHeight="false" outlineLevel="0" collapsed="false">
      <c r="C439" s="319"/>
      <c r="D439" s="319"/>
    </row>
    <row r="440" customFormat="false" ht="12" hidden="false" customHeight="false" outlineLevel="0" collapsed="false">
      <c r="C440" s="319"/>
      <c r="D440" s="319"/>
    </row>
    <row r="441" customFormat="false" ht="12" hidden="false" customHeight="false" outlineLevel="0" collapsed="false">
      <c r="C441" s="319"/>
      <c r="D441" s="319"/>
    </row>
    <row r="442" customFormat="false" ht="12" hidden="false" customHeight="false" outlineLevel="0" collapsed="false">
      <c r="C442" s="319"/>
      <c r="D442" s="319"/>
    </row>
    <row r="443" customFormat="false" ht="12" hidden="false" customHeight="false" outlineLevel="0" collapsed="false">
      <c r="C443" s="319"/>
      <c r="D443" s="319"/>
    </row>
    <row r="444" customFormat="false" ht="12" hidden="false" customHeight="false" outlineLevel="0" collapsed="false">
      <c r="C444" s="319"/>
      <c r="D444" s="319"/>
    </row>
    <row r="445" customFormat="false" ht="12" hidden="false" customHeight="false" outlineLevel="0" collapsed="false">
      <c r="C445" s="319"/>
      <c r="D445" s="319"/>
    </row>
    <row r="446" customFormat="false" ht="12" hidden="false" customHeight="false" outlineLevel="0" collapsed="false">
      <c r="C446" s="319"/>
      <c r="D446" s="319"/>
    </row>
    <row r="447" customFormat="false" ht="12" hidden="false" customHeight="false" outlineLevel="0" collapsed="false">
      <c r="C447" s="319"/>
      <c r="D447" s="319"/>
    </row>
    <row r="448" customFormat="false" ht="12" hidden="false" customHeight="false" outlineLevel="0" collapsed="false">
      <c r="C448" s="319"/>
      <c r="D448" s="319"/>
    </row>
    <row r="449" customFormat="false" ht="12" hidden="false" customHeight="false" outlineLevel="0" collapsed="false">
      <c r="C449" s="319"/>
      <c r="D449" s="319"/>
    </row>
    <row r="450" customFormat="false" ht="12" hidden="false" customHeight="false" outlineLevel="0" collapsed="false">
      <c r="C450" s="319"/>
      <c r="D450" s="319"/>
    </row>
    <row r="451" customFormat="false" ht="12" hidden="false" customHeight="false" outlineLevel="0" collapsed="false">
      <c r="C451" s="319"/>
      <c r="D451" s="319"/>
    </row>
    <row r="452" customFormat="false" ht="12" hidden="false" customHeight="false" outlineLevel="0" collapsed="false">
      <c r="C452" s="319"/>
      <c r="D452" s="319"/>
    </row>
    <row r="453" customFormat="false" ht="12" hidden="false" customHeight="false" outlineLevel="0" collapsed="false">
      <c r="C453" s="319"/>
      <c r="D453" s="319"/>
    </row>
    <row r="454" customFormat="false" ht="12" hidden="false" customHeight="false" outlineLevel="0" collapsed="false">
      <c r="C454" s="319"/>
      <c r="D454" s="319"/>
    </row>
    <row r="455" customFormat="false" ht="12" hidden="false" customHeight="false" outlineLevel="0" collapsed="false">
      <c r="C455" s="319"/>
      <c r="D455" s="319"/>
    </row>
    <row r="456" customFormat="false" ht="12" hidden="false" customHeight="false" outlineLevel="0" collapsed="false">
      <c r="C456" s="319"/>
      <c r="D456" s="319"/>
    </row>
    <row r="457" customFormat="false" ht="12" hidden="false" customHeight="false" outlineLevel="0" collapsed="false">
      <c r="C457" s="319"/>
      <c r="D457" s="319"/>
    </row>
    <row r="458" customFormat="false" ht="12" hidden="false" customHeight="false" outlineLevel="0" collapsed="false">
      <c r="C458" s="319"/>
      <c r="D458" s="319"/>
    </row>
    <row r="459" customFormat="false" ht="12" hidden="false" customHeight="false" outlineLevel="0" collapsed="false">
      <c r="C459" s="319"/>
      <c r="D459" s="319"/>
    </row>
    <row r="460" customFormat="false" ht="12" hidden="false" customHeight="false" outlineLevel="0" collapsed="false">
      <c r="C460" s="319"/>
      <c r="D460" s="319"/>
    </row>
    <row r="461" customFormat="false" ht="12" hidden="false" customHeight="false" outlineLevel="0" collapsed="false">
      <c r="C461" s="319"/>
      <c r="D461" s="319"/>
    </row>
    <row r="462" customFormat="false" ht="12" hidden="false" customHeight="false" outlineLevel="0" collapsed="false">
      <c r="C462" s="319"/>
      <c r="D462" s="319"/>
    </row>
    <row r="463" customFormat="false" ht="12" hidden="false" customHeight="false" outlineLevel="0" collapsed="false">
      <c r="C463" s="319"/>
      <c r="D463" s="319"/>
    </row>
    <row r="464" customFormat="false" ht="12" hidden="false" customHeight="false" outlineLevel="0" collapsed="false">
      <c r="C464" s="319"/>
      <c r="D464" s="319"/>
    </row>
    <row r="465" customFormat="false" ht="12" hidden="false" customHeight="false" outlineLevel="0" collapsed="false">
      <c r="C465" s="319"/>
      <c r="D465" s="319"/>
    </row>
    <row r="466" customFormat="false" ht="12" hidden="false" customHeight="false" outlineLevel="0" collapsed="false">
      <c r="C466" s="319"/>
      <c r="D466" s="319"/>
    </row>
    <row r="467" customFormat="false" ht="12" hidden="false" customHeight="false" outlineLevel="0" collapsed="false">
      <c r="C467" s="319"/>
      <c r="D467" s="319"/>
    </row>
    <row r="468" customFormat="false" ht="12" hidden="false" customHeight="false" outlineLevel="0" collapsed="false">
      <c r="C468" s="319"/>
      <c r="D468" s="319"/>
    </row>
    <row r="469" customFormat="false" ht="12" hidden="false" customHeight="false" outlineLevel="0" collapsed="false">
      <c r="C469" s="319"/>
      <c r="D469" s="319"/>
    </row>
    <row r="470" customFormat="false" ht="12" hidden="false" customHeight="false" outlineLevel="0" collapsed="false">
      <c r="C470" s="319"/>
      <c r="D470" s="319"/>
    </row>
    <row r="471" customFormat="false" ht="12" hidden="false" customHeight="false" outlineLevel="0" collapsed="false">
      <c r="C471" s="319"/>
      <c r="D471" s="319"/>
    </row>
    <row r="472" customFormat="false" ht="12" hidden="false" customHeight="false" outlineLevel="0" collapsed="false">
      <c r="C472" s="319"/>
      <c r="D472" s="319"/>
    </row>
    <row r="473" customFormat="false" ht="12" hidden="false" customHeight="false" outlineLevel="0" collapsed="false">
      <c r="C473" s="319"/>
      <c r="D473" s="319"/>
    </row>
    <row r="474" customFormat="false" ht="12" hidden="false" customHeight="false" outlineLevel="0" collapsed="false">
      <c r="C474" s="319"/>
      <c r="D474" s="319"/>
    </row>
    <row r="475" customFormat="false" ht="12" hidden="false" customHeight="false" outlineLevel="0" collapsed="false">
      <c r="C475" s="319"/>
      <c r="D475" s="319"/>
    </row>
    <row r="476" customFormat="false" ht="12" hidden="false" customHeight="false" outlineLevel="0" collapsed="false">
      <c r="C476" s="319"/>
      <c r="D476" s="319"/>
    </row>
    <row r="477" customFormat="false" ht="12" hidden="false" customHeight="false" outlineLevel="0" collapsed="false">
      <c r="C477" s="319"/>
      <c r="D477" s="319"/>
    </row>
    <row r="478" customFormat="false" ht="12" hidden="false" customHeight="false" outlineLevel="0" collapsed="false">
      <c r="C478" s="319"/>
      <c r="D478" s="319"/>
    </row>
    <row r="479" customFormat="false" ht="12" hidden="false" customHeight="false" outlineLevel="0" collapsed="false">
      <c r="C479" s="319"/>
      <c r="D479" s="319"/>
    </row>
    <row r="480" customFormat="false" ht="12" hidden="false" customHeight="false" outlineLevel="0" collapsed="false">
      <c r="C480" s="319"/>
      <c r="D480" s="319"/>
    </row>
    <row r="481" customFormat="false" ht="12" hidden="false" customHeight="false" outlineLevel="0" collapsed="false">
      <c r="C481" s="319"/>
      <c r="D481" s="319"/>
    </row>
    <row r="482" customFormat="false" ht="12" hidden="false" customHeight="false" outlineLevel="0" collapsed="false">
      <c r="C482" s="319"/>
      <c r="D482" s="319"/>
    </row>
    <row r="483" customFormat="false" ht="12" hidden="false" customHeight="false" outlineLevel="0" collapsed="false">
      <c r="C483" s="319"/>
      <c r="D483" s="319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794" t="s">
        <v>516</v>
      </c>
      <c r="B2" s="794"/>
      <c r="C2" s="794"/>
      <c r="D2" s="794"/>
      <c r="E2" s="794"/>
      <c r="F2" s="794"/>
      <c r="G2" s="794"/>
      <c r="H2" s="794"/>
      <c r="I2" s="794"/>
      <c r="J2" s="794"/>
    </row>
    <row r="5" customFormat="false" ht="15.75" hidden="false" customHeight="false" outlineLevel="0" collapsed="false">
      <c r="C5" s="795" t="s">
        <v>517</v>
      </c>
      <c r="D5" s="9" t="s">
        <v>518</v>
      </c>
      <c r="F5" s="795" t="s">
        <v>519</v>
      </c>
      <c r="G5" s="9" t="s">
        <v>520</v>
      </c>
    </row>
    <row r="6" customFormat="false" ht="15" hidden="false" customHeight="false" outlineLevel="0" collapsed="false">
      <c r="D6" s="9" t="s">
        <v>521</v>
      </c>
      <c r="G6" s="9" t="s">
        <v>522</v>
      </c>
    </row>
    <row r="7" customFormat="false" ht="15" hidden="false" customHeight="false" outlineLevel="0" collapsed="false">
      <c r="D7" s="9" t="s">
        <v>522</v>
      </c>
    </row>
    <row r="8" customFormat="false" ht="15" hidden="false" customHeight="false" outlineLevel="0" collapsed="false">
      <c r="G8" s="9" t="s">
        <v>523</v>
      </c>
    </row>
    <row r="9" customFormat="false" ht="15" hidden="false" customHeight="false" outlineLevel="0" collapsed="false">
      <c r="D9" s="9" t="s">
        <v>524</v>
      </c>
      <c r="G9" s="9" t="s">
        <v>525</v>
      </c>
    </row>
    <row r="10" customFormat="false" ht="15" hidden="false" customHeight="false" outlineLevel="0" collapsed="false">
      <c r="D10" s="9" t="s">
        <v>526</v>
      </c>
    </row>
    <row r="11" customFormat="false" ht="15.75" hidden="false" customHeight="false" outlineLevel="0" collapsed="false">
      <c r="D11" s="795" t="s">
        <v>527</v>
      </c>
    </row>
    <row r="12" customFormat="false" ht="15.75" hidden="false" customHeight="false" outlineLevel="0" collapsed="false">
      <c r="D12" s="795" t="s">
        <v>528</v>
      </c>
    </row>
    <row r="14" customFormat="false" ht="30" hidden="false" customHeight="false" outlineLevel="0" collapsed="false">
      <c r="A14" s="794" t="s">
        <v>529</v>
      </c>
      <c r="B14" s="794"/>
      <c r="C14" s="794"/>
      <c r="D14" s="794"/>
      <c r="E14" s="794"/>
      <c r="F14" s="794"/>
      <c r="G14" s="794"/>
      <c r="H14" s="794"/>
      <c r="I14" s="794"/>
      <c r="J14" s="794"/>
    </row>
    <row r="16" customFormat="false" ht="15" hidden="false" customHeight="false" outlineLevel="0" collapsed="false">
      <c r="B16" s="4" t="s">
        <v>530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531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796" t="s">
        <v>532</v>
      </c>
      <c r="C18" s="796"/>
      <c r="D18" s="796"/>
      <c r="E18" s="796"/>
      <c r="F18" s="796"/>
      <c r="G18" s="796"/>
      <c r="H18" s="796"/>
      <c r="I18" s="796"/>
    </row>
    <row r="19" customFormat="false" ht="15.75" hidden="false" customHeight="false" outlineLevel="0" collapsed="false"/>
    <row r="20" customFormat="false" ht="21" hidden="false" customHeight="false" outlineLevel="0" collapsed="false">
      <c r="B20" s="797" t="s">
        <v>533</v>
      </c>
      <c r="C20" s="797"/>
      <c r="D20" s="797"/>
      <c r="E20" s="797"/>
      <c r="F20" s="797"/>
      <c r="G20" s="797"/>
      <c r="H20" s="797"/>
      <c r="I20" s="797"/>
    </row>
    <row r="22" customFormat="false" ht="15" hidden="false" customHeight="false" outlineLevel="0" collapsed="false">
      <c r="B22" s="9" t="s">
        <v>534</v>
      </c>
      <c r="D22" s="798" t="n">
        <f aca="true">NOW()</f>
        <v>45927.0033322516</v>
      </c>
      <c r="F22" s="9" t="s">
        <v>535</v>
      </c>
      <c r="G22" s="799" t="n">
        <f aca="true">NOW()</f>
        <v>45927.0033322517</v>
      </c>
    </row>
    <row r="24" customFormat="false" ht="15" hidden="false" customHeight="false" outlineLevel="0" collapsed="false">
      <c r="B24" s="9" t="s">
        <v>536</v>
      </c>
      <c r="D24" s="800" t="s">
        <v>537</v>
      </c>
      <c r="F24" s="9" t="s">
        <v>538</v>
      </c>
      <c r="G24" s="801" t="s">
        <v>539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02" t="s">
        <v>0</v>
      </c>
      <c r="C26" s="9" t="s">
        <v>540</v>
      </c>
    </row>
    <row r="27" customFormat="false" ht="15.75" hidden="false" customHeight="false" outlineLevel="0" collapsed="false">
      <c r="B27" s="802" t="s">
        <v>0</v>
      </c>
      <c r="C27" s="9" t="s">
        <v>541</v>
      </c>
    </row>
    <row r="28" customFormat="false" ht="15.75" hidden="false" customHeight="false" outlineLevel="0" collapsed="false">
      <c r="B28" s="802" t="s">
        <v>542</v>
      </c>
      <c r="C28" s="9" t="s">
        <v>543</v>
      </c>
    </row>
    <row r="29" customFormat="false" ht="15" hidden="false" customHeight="false" outlineLevel="0" collapsed="false">
      <c r="C29" s="9" t="s">
        <v>544</v>
      </c>
    </row>
    <row r="30" customFormat="false" ht="15" hidden="false" customHeight="false" outlineLevel="0" collapsed="false">
      <c r="C30" s="9" t="s">
        <v>0</v>
      </c>
    </row>
    <row r="32" customFormat="false" ht="15" hidden="false" customHeight="false" outlineLevel="0" collapsed="false">
      <c r="A32" s="0" t="s">
        <v>0</v>
      </c>
      <c r="B32" s="9" t="s">
        <v>545</v>
      </c>
      <c r="E32" s="803" t="n">
        <v>35915</v>
      </c>
    </row>
    <row r="34" customFormat="false" ht="15.75" hidden="false" customHeight="false" outlineLevel="0" collapsed="false">
      <c r="B34" s="9" t="s">
        <v>546</v>
      </c>
      <c r="E34" s="804" t="n">
        <v>0</v>
      </c>
      <c r="F34" s="0" t="s">
        <v>547</v>
      </c>
    </row>
    <row r="36" customFormat="false" ht="15.75" hidden="false" customHeight="false" outlineLevel="0" collapsed="false">
      <c r="B36" s="9" t="s">
        <v>548</v>
      </c>
      <c r="E36" s="804" t="n">
        <v>15000</v>
      </c>
      <c r="F36" s="0" t="s">
        <v>547</v>
      </c>
    </row>
    <row r="38" customFormat="false" ht="15.75" hidden="false" customHeight="false" outlineLevel="0" collapsed="false">
      <c r="B38" s="0" t="s">
        <v>549</v>
      </c>
      <c r="E38" s="798" t="n">
        <f aca="false">+E32+1</f>
        <v>35916</v>
      </c>
      <c r="F38" s="804" t="n">
        <v>0</v>
      </c>
      <c r="G38" s="0" t="s">
        <v>547</v>
      </c>
    </row>
    <row r="39" customFormat="false" ht="15.75" hidden="false" customHeight="false" outlineLevel="0" collapsed="false">
      <c r="E39" s="798" t="n">
        <f aca="false">+E38+1</f>
        <v>35917</v>
      </c>
      <c r="F39" s="804" t="n">
        <v>0</v>
      </c>
      <c r="G39" s="0" t="s">
        <v>547</v>
      </c>
    </row>
    <row r="40" customFormat="false" ht="15.75" hidden="false" customHeight="false" outlineLevel="0" collapsed="false">
      <c r="E40" s="798" t="n">
        <f aca="false">+E39+1</f>
        <v>35918</v>
      </c>
      <c r="F40" s="804" t="n">
        <v>0</v>
      </c>
      <c r="G40" s="0" t="s">
        <v>547</v>
      </c>
    </row>
    <row r="41" customFormat="false" ht="15.75" hidden="false" customHeight="false" outlineLevel="0" collapsed="false">
      <c r="E41" s="798" t="n">
        <f aca="false">+E40+1</f>
        <v>35919</v>
      </c>
      <c r="F41" s="804" t="n">
        <v>0</v>
      </c>
      <c r="G41" s="0" t="s">
        <v>547</v>
      </c>
    </row>
    <row r="42" customFormat="false" ht="15.75" hidden="false" customHeight="false" outlineLevel="0" collapsed="false">
      <c r="E42" s="798" t="n">
        <f aca="false">+E41+1</f>
        <v>35920</v>
      </c>
      <c r="F42" s="804" t="n">
        <v>0</v>
      </c>
      <c r="G42" s="0" t="s">
        <v>547</v>
      </c>
    </row>
    <row r="44" customFormat="false" ht="15" hidden="false" customHeight="false" outlineLevel="0" collapsed="false">
      <c r="B44" s="9" t="s">
        <v>550</v>
      </c>
      <c r="D44" s="801" t="s">
        <v>551</v>
      </c>
      <c r="E44" s="801"/>
      <c r="F44" s="801"/>
      <c r="G44" s="801"/>
      <c r="H44" s="801"/>
    </row>
    <row r="45" customFormat="false" ht="15" hidden="false" customHeight="false" outlineLevel="0" collapsed="false">
      <c r="D45" s="801" t="s">
        <v>552</v>
      </c>
      <c r="E45" s="801"/>
      <c r="F45" s="801"/>
      <c r="G45" s="801"/>
      <c r="H45" s="801"/>
    </row>
    <row r="47" customFormat="false" ht="15" hidden="false" customHeight="false" outlineLevel="0" collapsed="false">
      <c r="B47" s="805" t="s">
        <v>383</v>
      </c>
      <c r="C47" s="805" t="s">
        <v>0</v>
      </c>
      <c r="D47" s="806"/>
    </row>
    <row r="48" customFormat="false" ht="15" hidden="false" customHeight="false" outlineLevel="0" collapsed="false">
      <c r="B48" s="807"/>
      <c r="C48" s="805" t="s">
        <v>0</v>
      </c>
      <c r="D48" s="806"/>
    </row>
    <row r="49" customFormat="false" ht="15" hidden="false" customHeight="false" outlineLevel="0" collapsed="false">
      <c r="B49" s="807"/>
      <c r="C49" s="805" t="s">
        <v>553</v>
      </c>
      <c r="D49" s="806"/>
    </row>
    <row r="50" customFormat="false" ht="15" hidden="false" customHeight="false" outlineLevel="0" collapsed="false">
      <c r="B50" s="807"/>
      <c r="C50" s="805" t="s">
        <v>554</v>
      </c>
    </row>
    <row r="51" customFormat="false" ht="15" hidden="false" customHeight="false" outlineLevel="0" collapsed="false">
      <c r="B51" s="807"/>
      <c r="C51" s="805" t="s">
        <v>555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0</v>
      </c>
    </row>
    <row r="2" customFormat="false" ht="30" hidden="false" customHeight="false" outlineLevel="0" collapsed="false">
      <c r="A2" s="794" t="s">
        <v>516</v>
      </c>
      <c r="B2" s="794"/>
      <c r="C2" s="794"/>
      <c r="D2" s="794"/>
      <c r="E2" s="794"/>
      <c r="F2" s="794"/>
      <c r="G2" s="794"/>
      <c r="H2" s="794"/>
      <c r="I2" s="794"/>
      <c r="J2" s="794"/>
    </row>
    <row r="5" customFormat="false" ht="15.75" hidden="false" customHeight="false" outlineLevel="0" collapsed="false">
      <c r="C5" s="795" t="s">
        <v>517</v>
      </c>
      <c r="D5" s="9" t="s">
        <v>518</v>
      </c>
      <c r="F5" s="795" t="s">
        <v>519</v>
      </c>
      <c r="G5" s="9" t="s">
        <v>520</v>
      </c>
    </row>
    <row r="6" customFormat="false" ht="15" hidden="false" customHeight="false" outlineLevel="0" collapsed="false">
      <c r="D6" s="9" t="s">
        <v>521</v>
      </c>
      <c r="G6" s="9" t="s">
        <v>522</v>
      </c>
    </row>
    <row r="7" customFormat="false" ht="15" hidden="false" customHeight="false" outlineLevel="0" collapsed="false">
      <c r="D7" s="9" t="s">
        <v>522</v>
      </c>
    </row>
    <row r="8" customFormat="false" ht="15" hidden="false" customHeight="false" outlineLevel="0" collapsed="false">
      <c r="G8" s="9" t="s">
        <v>523</v>
      </c>
    </row>
    <row r="9" customFormat="false" ht="15" hidden="false" customHeight="false" outlineLevel="0" collapsed="false">
      <c r="D9" s="9" t="s">
        <v>524</v>
      </c>
      <c r="G9" s="9" t="s">
        <v>525</v>
      </c>
    </row>
    <row r="10" customFormat="false" ht="15" hidden="false" customHeight="false" outlineLevel="0" collapsed="false">
      <c r="D10" s="9" t="s">
        <v>526</v>
      </c>
    </row>
    <row r="11" customFormat="false" ht="15.75" hidden="false" customHeight="false" outlineLevel="0" collapsed="false">
      <c r="D11" s="795" t="s">
        <v>527</v>
      </c>
    </row>
    <row r="12" customFormat="false" ht="15.75" hidden="false" customHeight="false" outlineLevel="0" collapsed="false">
      <c r="D12" s="795" t="s">
        <v>528</v>
      </c>
    </row>
    <row r="14" customFormat="false" ht="30" hidden="false" customHeight="false" outlineLevel="0" collapsed="false">
      <c r="A14" s="794" t="s">
        <v>529</v>
      </c>
      <c r="B14" s="794"/>
      <c r="C14" s="794"/>
      <c r="D14" s="794"/>
      <c r="E14" s="794"/>
      <c r="F14" s="794"/>
      <c r="G14" s="794"/>
      <c r="H14" s="794"/>
      <c r="I14" s="794"/>
      <c r="J14" s="794"/>
    </row>
    <row r="16" customFormat="false" ht="15" hidden="false" customHeight="false" outlineLevel="0" collapsed="false">
      <c r="B16" s="4" t="s">
        <v>530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531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796" t="s">
        <v>532</v>
      </c>
      <c r="C18" s="796"/>
      <c r="D18" s="796"/>
      <c r="E18" s="796"/>
      <c r="F18" s="796"/>
      <c r="G18" s="796"/>
      <c r="H18" s="796"/>
      <c r="I18" s="796"/>
    </row>
    <row r="19" customFormat="false" ht="15.75" hidden="false" customHeight="false" outlineLevel="0" collapsed="false"/>
    <row r="20" customFormat="false" ht="21" hidden="false" customHeight="false" outlineLevel="0" collapsed="false">
      <c r="B20" s="797" t="s">
        <v>556</v>
      </c>
      <c r="C20" s="797"/>
      <c r="D20" s="797"/>
      <c r="E20" s="797"/>
      <c r="F20" s="797"/>
      <c r="G20" s="797"/>
      <c r="H20" s="797"/>
      <c r="I20" s="797"/>
    </row>
    <row r="22" customFormat="false" ht="15" hidden="false" customHeight="false" outlineLevel="0" collapsed="false">
      <c r="B22" s="9" t="s">
        <v>534</v>
      </c>
      <c r="D22" s="798" t="n">
        <f aca="true">NOW()</f>
        <v>45927.0033322713</v>
      </c>
      <c r="F22" s="9" t="s">
        <v>535</v>
      </c>
      <c r="G22" s="799" t="n">
        <f aca="true">NOW()</f>
        <v>45927.0033322714</v>
      </c>
    </row>
    <row r="24" customFormat="false" ht="15" hidden="false" customHeight="false" outlineLevel="0" collapsed="false">
      <c r="B24" s="9" t="s">
        <v>536</v>
      </c>
      <c r="D24" s="800" t="s">
        <v>537</v>
      </c>
      <c r="E24" s="0" t="s">
        <v>0</v>
      </c>
      <c r="F24" s="9" t="s">
        <v>538</v>
      </c>
      <c r="G24" s="801" t="s">
        <v>539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02" t="s">
        <v>0</v>
      </c>
      <c r="C26" s="9" t="s">
        <v>540</v>
      </c>
    </row>
    <row r="27" customFormat="false" ht="15.75" hidden="false" customHeight="false" outlineLevel="0" collapsed="false">
      <c r="B27" s="802" t="s">
        <v>0</v>
      </c>
      <c r="C27" s="9" t="s">
        <v>541</v>
      </c>
    </row>
    <row r="28" customFormat="false" ht="15.75" hidden="false" customHeight="false" outlineLevel="0" collapsed="false">
      <c r="B28" s="802" t="s">
        <v>542</v>
      </c>
      <c r="C28" s="9" t="s">
        <v>543</v>
      </c>
    </row>
    <row r="29" customFormat="false" ht="15" hidden="false" customHeight="false" outlineLevel="0" collapsed="false">
      <c r="B29" s="0" t="s">
        <v>0</v>
      </c>
      <c r="C29" s="9" t="s">
        <v>544</v>
      </c>
    </row>
    <row r="30" customFormat="false" ht="15" hidden="false" customHeight="false" outlineLevel="0" collapsed="false">
      <c r="C30" s="9" t="s">
        <v>0</v>
      </c>
    </row>
    <row r="32" customFormat="false" ht="15" hidden="false" customHeight="false" outlineLevel="0" collapsed="false">
      <c r="B32" s="9" t="s">
        <v>545</v>
      </c>
      <c r="E32" s="803" t="n">
        <v>35915</v>
      </c>
    </row>
    <row r="34" customFormat="false" ht="15.75" hidden="false" customHeight="false" outlineLevel="0" collapsed="false">
      <c r="B34" s="9" t="s">
        <v>546</v>
      </c>
      <c r="E34" s="804" t="n">
        <v>0</v>
      </c>
      <c r="F34" s="0" t="s">
        <v>547</v>
      </c>
    </row>
    <row r="36" customFormat="false" ht="15.75" hidden="false" customHeight="false" outlineLevel="0" collapsed="false">
      <c r="B36" s="9" t="s">
        <v>548</v>
      </c>
      <c r="E36" s="804" t="n">
        <v>0</v>
      </c>
      <c r="F36" s="0" t="s">
        <v>547</v>
      </c>
    </row>
    <row r="38" customFormat="false" ht="15.75" hidden="false" customHeight="false" outlineLevel="0" collapsed="false">
      <c r="B38" s="0" t="s">
        <v>549</v>
      </c>
      <c r="E38" s="798" t="n">
        <f aca="false">+E32+1</f>
        <v>35916</v>
      </c>
      <c r="F38" s="804" t="n">
        <v>0</v>
      </c>
      <c r="G38" s="0" t="s">
        <v>547</v>
      </c>
    </row>
    <row r="39" customFormat="false" ht="15.75" hidden="false" customHeight="false" outlineLevel="0" collapsed="false">
      <c r="E39" s="798" t="n">
        <f aca="false">+E38+1</f>
        <v>35917</v>
      </c>
      <c r="F39" s="804" t="n">
        <v>0</v>
      </c>
      <c r="G39" s="0" t="s">
        <v>547</v>
      </c>
    </row>
    <row r="40" customFormat="false" ht="15.75" hidden="false" customHeight="false" outlineLevel="0" collapsed="false">
      <c r="E40" s="798" t="n">
        <f aca="false">+E39+1</f>
        <v>35918</v>
      </c>
      <c r="F40" s="804" t="n">
        <v>0</v>
      </c>
      <c r="G40" s="0" t="s">
        <v>547</v>
      </c>
    </row>
    <row r="41" customFormat="false" ht="15.75" hidden="false" customHeight="false" outlineLevel="0" collapsed="false">
      <c r="E41" s="798" t="n">
        <f aca="false">+E40+1</f>
        <v>35919</v>
      </c>
      <c r="F41" s="804" t="n">
        <v>0</v>
      </c>
      <c r="G41" s="0" t="s">
        <v>547</v>
      </c>
    </row>
    <row r="42" customFormat="false" ht="15.75" hidden="false" customHeight="false" outlineLevel="0" collapsed="false">
      <c r="E42" s="798" t="n">
        <f aca="false">+E41+1</f>
        <v>35920</v>
      </c>
      <c r="F42" s="804" t="n">
        <v>0</v>
      </c>
      <c r="G42" s="0" t="s">
        <v>547</v>
      </c>
    </row>
    <row r="44" customFormat="false" ht="15" hidden="false" customHeight="false" outlineLevel="0" collapsed="false">
      <c r="B44" s="9" t="s">
        <v>550</v>
      </c>
      <c r="D44" s="801"/>
      <c r="E44" s="801"/>
      <c r="F44" s="801"/>
      <c r="G44" s="801"/>
      <c r="H44" s="801"/>
    </row>
    <row r="45" customFormat="false" ht="15" hidden="false" customHeight="false" outlineLevel="0" collapsed="false">
      <c r="D45" s="801"/>
      <c r="E45" s="801"/>
      <c r="F45" s="801"/>
      <c r="G45" s="801"/>
      <c r="H45" s="801"/>
    </row>
    <row r="47" customFormat="false" ht="15" hidden="false" customHeight="false" outlineLevel="0" collapsed="false">
      <c r="B47" s="805" t="s">
        <v>383</v>
      </c>
      <c r="C47" s="805" t="s">
        <v>0</v>
      </c>
      <c r="D47" s="806"/>
    </row>
    <row r="48" customFormat="false" ht="15" hidden="false" customHeight="false" outlineLevel="0" collapsed="false">
      <c r="B48" s="807"/>
      <c r="C48" s="805" t="s">
        <v>0</v>
      </c>
      <c r="D48" s="806"/>
    </row>
    <row r="49" customFormat="false" ht="15" hidden="false" customHeight="false" outlineLevel="0" collapsed="false">
      <c r="B49" s="807"/>
      <c r="C49" s="805" t="s">
        <v>553</v>
      </c>
      <c r="D49" s="806"/>
    </row>
    <row r="50" customFormat="false" ht="15" hidden="false" customHeight="false" outlineLevel="0" collapsed="false">
      <c r="B50" s="807"/>
      <c r="C50" s="805" t="s">
        <v>557</v>
      </c>
    </row>
    <row r="51" customFormat="false" ht="15" hidden="false" customHeight="false" outlineLevel="0" collapsed="false">
      <c r="B51" s="807"/>
      <c r="C51" s="805" t="s">
        <v>558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7" width="13.65"/>
    <col collapsed="false" customWidth="false" hidden="false" outlineLevel="0" max="2" min="2" style="808" width="12.66"/>
    <col collapsed="false" customWidth="false" hidden="false" outlineLevel="0" max="4" min="3" style="27" width="12.66"/>
    <col collapsed="false" customWidth="true" hidden="false" outlineLevel="0" max="5" min="5" style="27" width="8.21"/>
    <col collapsed="false" customWidth="true" hidden="false" outlineLevel="0" max="6" min="6" style="809" width="13.65"/>
    <col collapsed="false" customWidth="true" hidden="false" outlineLevel="0" max="7" min="7" style="27" width="8.21"/>
    <col collapsed="false" customWidth="false" hidden="false" outlineLevel="0" max="8" min="8" style="810" width="12.66"/>
    <col collapsed="false" customWidth="true" hidden="false" outlineLevel="0" max="9" min="9" style="27" width="6.77"/>
    <col collapsed="false" customWidth="false" hidden="false" outlineLevel="0" max="257" min="10" style="27" width="12.66"/>
  </cols>
  <sheetData>
    <row r="1" customFormat="false" ht="15" hidden="false" customHeight="false" outlineLevel="0" collapsed="false">
      <c r="A1" s="811" t="s">
        <v>559</v>
      </c>
      <c r="B1" s="27"/>
      <c r="C1" s="13"/>
      <c r="D1" s="812" t="s">
        <v>0</v>
      </c>
      <c r="E1" s="13"/>
      <c r="F1" s="16"/>
      <c r="G1" s="13"/>
      <c r="H1" s="813"/>
      <c r="I1" s="13"/>
    </row>
    <row r="2" customFormat="false" ht="15" hidden="false" customHeight="false" outlineLevel="0" collapsed="false">
      <c r="A2" s="13"/>
      <c r="B2" s="814"/>
      <c r="C2" s="13"/>
      <c r="D2" s="13"/>
      <c r="E2" s="13"/>
      <c r="F2" s="16"/>
      <c r="G2" s="13"/>
      <c r="H2" s="813"/>
      <c r="I2" s="13"/>
    </row>
    <row r="3" customFormat="false" ht="15" hidden="false" customHeight="false" outlineLevel="0" collapsed="false">
      <c r="A3" s="815" t="s">
        <v>8</v>
      </c>
      <c r="B3" s="816" t="s">
        <v>0</v>
      </c>
      <c r="C3" s="13"/>
      <c r="D3" s="13"/>
      <c r="E3" s="13"/>
      <c r="F3" s="16"/>
      <c r="G3" s="13"/>
      <c r="H3" s="813"/>
      <c r="I3" s="13"/>
    </row>
    <row r="4" customFormat="false" ht="15" hidden="false" customHeight="false" outlineLevel="0" collapsed="false">
      <c r="A4" s="13"/>
      <c r="B4" s="816"/>
      <c r="C4" s="13"/>
      <c r="D4" s="817" t="s">
        <v>560</v>
      </c>
      <c r="E4" s="817"/>
      <c r="F4" s="817" t="s">
        <v>561</v>
      </c>
      <c r="G4" s="817"/>
      <c r="H4" s="818"/>
      <c r="I4" s="819" t="s">
        <v>562</v>
      </c>
    </row>
    <row r="5" customFormat="false" ht="15" hidden="false" customHeight="false" outlineLevel="0" collapsed="false">
      <c r="A5" s="814" t="str">
        <f aca="false">CHOOSE(WEEKDAY(B5),"Sunday","Monday","Tuesday","Wednesday","Thursday","Friday","Saturday")</f>
        <v>Wednesday</v>
      </c>
      <c r="B5" s="820" t="n">
        <f aca="false">Weather_Input!A5</f>
        <v>36999</v>
      </c>
      <c r="C5" s="13"/>
      <c r="D5" s="821" t="s">
        <v>563</v>
      </c>
      <c r="E5" s="822" t="n">
        <f aca="false">Weather_Input!B5</f>
        <v>54</v>
      </c>
      <c r="F5" s="823" t="s">
        <v>564</v>
      </c>
      <c r="G5" s="824" t="n">
        <f aca="false">Weather_Input!H5</f>
        <v>24</v>
      </c>
      <c r="H5" s="825" t="s">
        <v>565</v>
      </c>
      <c r="I5" s="826" t="n">
        <f aca="true">G5-(VLOOKUP(B5,DD_Normal_Data,CELL("Col",B6),FALSE()))</f>
        <v>8</v>
      </c>
    </row>
    <row r="6" customFormat="false" ht="15" hidden="false" customHeight="false" outlineLevel="0" collapsed="false">
      <c r="A6" s="814"/>
      <c r="B6" s="820"/>
      <c r="C6" s="13"/>
      <c r="D6" s="821" t="s">
        <v>273</v>
      </c>
      <c r="E6" s="822" t="n">
        <f aca="false">Weather_Input!C5</f>
        <v>35</v>
      </c>
      <c r="F6" s="823" t="s">
        <v>566</v>
      </c>
      <c r="G6" s="824" t="n">
        <f aca="false">Weather_Input!F5</f>
        <v>292</v>
      </c>
      <c r="H6" s="825" t="s">
        <v>567</v>
      </c>
      <c r="I6" s="826" t="n">
        <f aca="true">G6-(VLOOKUP(B5,DD_Normal_Data,CELL("Col",C7),FALSE()))</f>
        <v>-52</v>
      </c>
      <c r="J6" s="827"/>
      <c r="DE6" s="27" t="s">
        <v>11</v>
      </c>
    </row>
    <row r="7" customFormat="false" ht="15" hidden="false" customHeight="false" outlineLevel="0" collapsed="false">
      <c r="A7" s="814"/>
      <c r="B7" s="820"/>
      <c r="C7" s="13"/>
      <c r="D7" s="821" t="s">
        <v>568</v>
      </c>
      <c r="E7" s="822" t="n">
        <f aca="false">IF(Weather_Input!E5="N/A",(Weather_Input!C5+Weather_Input!B5)/2,Weather_Input!E5)</f>
        <v>44.5</v>
      </c>
      <c r="F7" s="823" t="s">
        <v>569</v>
      </c>
      <c r="G7" s="824" t="n">
        <f aca="false">Weather_Input!G5</f>
        <v>6325</v>
      </c>
      <c r="H7" s="825" t="s">
        <v>569</v>
      </c>
      <c r="I7" s="828" t="n">
        <f aca="true">G7-(VLOOKUP(B5,DD_Normal_Data,CELL("Col",D4),FALSE()))</f>
        <v>333</v>
      </c>
      <c r="J7" s="828"/>
    </row>
    <row r="8" customFormat="false" ht="15" hidden="false" customHeight="false" outlineLevel="0" collapsed="false">
      <c r="A8" s="814"/>
      <c r="B8" s="816"/>
      <c r="C8" s="13"/>
      <c r="D8" s="829" t="str">
        <f aca="false">IF(Weather_Input!I5=""," ",Weather_Input!I5)</f>
        <v>MOSTLY SUNNY AND MILD.  LOWER TEMPS ALONG LAKE MICHIGAN WITH LAKE  </v>
      </c>
      <c r="E8" s="830"/>
      <c r="F8" s="822"/>
      <c r="G8" s="824"/>
      <c r="H8" s="825"/>
      <c r="I8" s="826"/>
    </row>
    <row r="9" customFormat="false" ht="15" hidden="false" customHeight="false" outlineLevel="0" collapsed="false">
      <c r="A9" s="814"/>
      <c r="B9" s="820"/>
      <c r="C9" s="13"/>
      <c r="D9" s="829" t="str">
        <f aca="false">IF(Weather_Input!J5=""," ",Weather_Input!J5)</f>
        <v>BREEZES.</v>
      </c>
      <c r="E9" s="831"/>
      <c r="F9" s="824"/>
      <c r="G9" s="824"/>
      <c r="H9" s="825"/>
      <c r="I9" s="826"/>
    </row>
    <row r="10" customFormat="false" ht="15" hidden="false" customHeight="false" outlineLevel="0" collapsed="false">
      <c r="A10" s="814" t="str">
        <f aca="false">CHOOSE(WEEKDAY(B10),"Sunday","Monday","Tuesday","Wednesday","Thursday","Friday","Saturday")</f>
        <v>Thursday</v>
      </c>
      <c r="B10" s="820" t="n">
        <f aca="false">Weather_Input!A6</f>
        <v>37000</v>
      </c>
      <c r="C10" s="13"/>
      <c r="D10" s="821" t="s">
        <v>563</v>
      </c>
      <c r="E10" s="822" t="n">
        <f aca="false">Weather_Input!B6</f>
        <v>67</v>
      </c>
      <c r="F10" s="823" t="s">
        <v>564</v>
      </c>
      <c r="G10" s="824" t="n">
        <f aca="false">IF(E12&lt;65,65-(Weather_Input!B6+Weather_Input!C6)/2,0)</f>
        <v>6.5</v>
      </c>
      <c r="H10" s="825" t="s">
        <v>565</v>
      </c>
      <c r="I10" s="826" t="n">
        <f aca="true">G10-(VLOOKUP(B10,DD_Normal_Data,CELL("Col",B11),FALSE()))</f>
        <v>-8.5</v>
      </c>
    </row>
    <row r="11" customFormat="false" ht="15" hidden="false" customHeight="false" outlineLevel="0" collapsed="false">
      <c r="A11" s="814"/>
      <c r="B11" s="820"/>
      <c r="C11" s="13"/>
      <c r="D11" s="821" t="s">
        <v>273</v>
      </c>
      <c r="E11" s="822" t="n">
        <f aca="false">Weather_Input!C6</f>
        <v>50</v>
      </c>
      <c r="F11" s="823" t="s">
        <v>566</v>
      </c>
      <c r="G11" s="824" t="n">
        <f aca="false">IF(DAY(B10)=1,G10,G6+G10)</f>
        <v>298.5</v>
      </c>
      <c r="H11" s="825" t="s">
        <v>567</v>
      </c>
      <c r="I11" s="826" t="n">
        <f aca="true">G11-(VLOOKUP(B10,DD_Normal_Data,CELL("Col",C12),FALSE()))</f>
        <v>-60.5</v>
      </c>
      <c r="DE11" s="27" t="s">
        <v>570</v>
      </c>
    </row>
    <row r="12" customFormat="false" ht="15" hidden="false" customHeight="false" outlineLevel="0" collapsed="false">
      <c r="A12" s="814"/>
      <c r="B12" s="816"/>
      <c r="C12" s="13"/>
      <c r="D12" s="821" t="s">
        <v>568</v>
      </c>
      <c r="E12" s="822" t="n">
        <f aca="false">(Weather_Input!C6+Weather_Input!B6)/2</f>
        <v>58.5</v>
      </c>
      <c r="F12" s="823" t="s">
        <v>569</v>
      </c>
      <c r="G12" s="824" t="n">
        <f aca="false">IF(AND(DAY(B10)=1,MONTH(B10)=8),G10,G7+G10)</f>
        <v>6331.5</v>
      </c>
      <c r="H12" s="825" t="s">
        <v>569</v>
      </c>
      <c r="I12" s="826" t="n">
        <f aca="true">G12-(VLOOKUP(B10,DD_Normal_Data,CELL("Col",D9),FALSE()))</f>
        <v>324.5</v>
      </c>
    </row>
    <row r="13" customFormat="false" ht="15" hidden="false" customHeight="false" outlineLevel="0" collapsed="false">
      <c r="A13" s="814"/>
      <c r="B13" s="820"/>
      <c r="C13" s="13"/>
      <c r="D13" s="829" t="str">
        <f aca="false">IF(Weather_Input!I6=""," ",Weather_Input!I6)</f>
        <v>BECOMING MOSTLY CLOUDY WITH CHANCE OF SHOWERS AFTER DARK.</v>
      </c>
      <c r="E13" s="822"/>
      <c r="F13" s="822"/>
      <c r="G13" s="824"/>
      <c r="H13" s="825"/>
      <c r="I13" s="826"/>
    </row>
    <row r="14" customFormat="false" ht="15" hidden="false" customHeight="false" outlineLevel="0" collapsed="false">
      <c r="A14" s="814"/>
      <c r="B14" s="820"/>
      <c r="C14" s="13"/>
      <c r="D14" s="829" t="str">
        <f aca="false">IF(Weather_Input!J6=""," ",Weather_Input!J6)</f>
        <v> </v>
      </c>
      <c r="E14" s="822"/>
      <c r="F14" s="824"/>
      <c r="G14" s="824"/>
      <c r="H14" s="825"/>
      <c r="I14" s="826"/>
    </row>
    <row r="15" customFormat="false" ht="15" hidden="false" customHeight="false" outlineLevel="0" collapsed="false">
      <c r="A15" s="814" t="str">
        <f aca="false">CHOOSE(WEEKDAY(B15),"Sunday","Monday","Tuesday","Wednesday","Thursday","Friday","Saturday")</f>
        <v>Friday</v>
      </c>
      <c r="B15" s="820" t="n">
        <f aca="false">Weather_Input!A7</f>
        <v>37001</v>
      </c>
      <c r="C15" s="13"/>
      <c r="D15" s="821" t="s">
        <v>563</v>
      </c>
      <c r="E15" s="822" t="n">
        <f aca="false">Weather_Input!B7</f>
        <v>76</v>
      </c>
      <c r="F15" s="823" t="s">
        <v>564</v>
      </c>
      <c r="G15" s="824" t="n">
        <f aca="false">IF(E17&lt;65,65-(Weather_Input!B7+Weather_Input!C7)/2,0)</f>
        <v>0</v>
      </c>
      <c r="H15" s="825" t="s">
        <v>565</v>
      </c>
      <c r="I15" s="826" t="n">
        <f aca="true">G15-(VLOOKUP(B15,DD_Normal_Data,CELL("Col",B16),FALSE()))</f>
        <v>-15</v>
      </c>
    </row>
    <row r="16" customFormat="false" ht="15" hidden="false" customHeight="false" outlineLevel="0" collapsed="false">
      <c r="A16" s="814"/>
      <c r="B16" s="816"/>
      <c r="C16" s="13"/>
      <c r="D16" s="821" t="s">
        <v>273</v>
      </c>
      <c r="E16" s="822" t="n">
        <f aca="false">Weather_Input!C7</f>
        <v>56</v>
      </c>
      <c r="F16" s="823" t="s">
        <v>566</v>
      </c>
      <c r="G16" s="824" t="n">
        <f aca="false">IF(DAY(B15)=1,G15,G11+G15)</f>
        <v>298.5</v>
      </c>
      <c r="H16" s="825" t="s">
        <v>567</v>
      </c>
      <c r="I16" s="826" t="n">
        <f aca="true">G16-(VLOOKUP(B15,DD_Normal_Data,CELL("Col",C17),FALSE()))</f>
        <v>-75.5</v>
      </c>
      <c r="DE16" s="27" t="s">
        <v>32</v>
      </c>
    </row>
    <row r="17" customFormat="false" ht="15" hidden="false" customHeight="false" outlineLevel="0" collapsed="false">
      <c r="A17" s="814"/>
      <c r="B17" s="820"/>
      <c r="C17" s="13"/>
      <c r="D17" s="821" t="s">
        <v>568</v>
      </c>
      <c r="E17" s="822" t="n">
        <f aca="false">(Weather_Input!C7+Weather_Input!B7)/2</f>
        <v>66</v>
      </c>
      <c r="F17" s="823" t="s">
        <v>569</v>
      </c>
      <c r="G17" s="824" t="n">
        <f aca="false">IF(AND(DAY(B15)=1,MONTH(B15)=8),G15,G12+G15)</f>
        <v>6331.5</v>
      </c>
      <c r="H17" s="825" t="s">
        <v>569</v>
      </c>
      <c r="I17" s="826" t="n">
        <f aca="true">G17-(VLOOKUP(B15,DD_Normal_Data,CELL("Col",D14),FALSE()))</f>
        <v>309.5</v>
      </c>
    </row>
    <row r="18" customFormat="false" ht="15" hidden="false" customHeight="false" outlineLevel="0" collapsed="false">
      <c r="A18" s="814"/>
      <c r="B18" s="816"/>
      <c r="C18" s="13"/>
      <c r="D18" s="829" t="str">
        <f aca="false">IF(Weather_Input!I7=""," ",Weather_Input!I7)</f>
        <v>MOSTLY CLOUDY WITH A 50% CHANCE OF SHOWERS AND T-STORMS.</v>
      </c>
      <c r="E18" s="822"/>
      <c r="F18" s="822"/>
      <c r="G18" s="824"/>
      <c r="H18" s="825"/>
      <c r="I18" s="826"/>
    </row>
    <row r="19" customFormat="false" ht="15" hidden="false" customHeight="false" outlineLevel="0" collapsed="false">
      <c r="A19" s="814"/>
      <c r="B19" s="820"/>
      <c r="C19" s="13"/>
      <c r="D19" s="829" t="str">
        <f aca="false">IF(Weather_Input!J7=""," ",Weather_Input!J7)</f>
        <v> </v>
      </c>
      <c r="E19" s="822"/>
      <c r="F19" s="822"/>
      <c r="G19" s="824"/>
      <c r="H19" s="825"/>
      <c r="I19" s="826"/>
    </row>
    <row r="20" customFormat="false" ht="15" hidden="false" customHeight="false" outlineLevel="0" collapsed="false">
      <c r="A20" s="814" t="str">
        <f aca="false">CHOOSE(WEEKDAY(B20),"Sunday","Monday","Tuesday","Wednesday","Thursday","Friday","Saturday")</f>
        <v>Saturday</v>
      </c>
      <c r="B20" s="820" t="n">
        <f aca="false">Weather_Input!A8</f>
        <v>37002</v>
      </c>
      <c r="C20" s="13"/>
      <c r="D20" s="821" t="s">
        <v>563</v>
      </c>
      <c r="E20" s="822" t="n">
        <f aca="false">Weather_Input!B8</f>
        <v>80</v>
      </c>
      <c r="F20" s="823" t="s">
        <v>564</v>
      </c>
      <c r="G20" s="824" t="n">
        <f aca="false">IF(E22&lt;65,65-(Weather_Input!B8+Weather_Input!C8)/2,0)</f>
        <v>0</v>
      </c>
      <c r="H20" s="825" t="s">
        <v>565</v>
      </c>
      <c r="I20" s="826" t="n">
        <f aca="true">G20-(VLOOKUP(B20,DD_Normal_Data,CELL("Col",B21),FALSE()))</f>
        <v>-14</v>
      </c>
    </row>
    <row r="21" customFormat="false" ht="15" hidden="false" customHeight="false" outlineLevel="0" collapsed="false">
      <c r="A21" s="814"/>
      <c r="B21" s="820"/>
      <c r="C21" s="13"/>
      <c r="D21" s="821" t="s">
        <v>273</v>
      </c>
      <c r="E21" s="822" t="n">
        <f aca="false">Weather_Input!C8</f>
        <v>55</v>
      </c>
      <c r="F21" s="823" t="s">
        <v>566</v>
      </c>
      <c r="G21" s="824" t="n">
        <f aca="false">IF(DAY(B20)=1,G20,G16+G20)</f>
        <v>298.5</v>
      </c>
      <c r="H21" s="825" t="s">
        <v>567</v>
      </c>
      <c r="I21" s="826" t="n">
        <f aca="true">G21-(VLOOKUP(B20,DD_Normal_Data,CELL("Col",C22),FALSE()))</f>
        <v>-89.5</v>
      </c>
      <c r="DE21" s="27" t="s">
        <v>571</v>
      </c>
    </row>
    <row r="22" customFormat="false" ht="15" hidden="false" customHeight="false" outlineLevel="0" collapsed="false">
      <c r="A22" s="814"/>
      <c r="B22" s="820"/>
      <c r="C22" s="13"/>
      <c r="D22" s="821" t="s">
        <v>568</v>
      </c>
      <c r="E22" s="822" t="n">
        <f aca="false">(Weather_Input!C8+Weather_Input!B8)/2</f>
        <v>67.5</v>
      </c>
      <c r="F22" s="823" t="s">
        <v>569</v>
      </c>
      <c r="G22" s="824" t="n">
        <f aca="false">IF(AND(DAY(B20)=1,MONTH(B20)=8),G20,G17+G20)</f>
        <v>6331.5</v>
      </c>
      <c r="H22" s="825" t="s">
        <v>569</v>
      </c>
      <c r="I22" s="826" t="n">
        <f aca="true">G22-(VLOOKUP(B20,DD_Normal_Data,CELL("Col",D19),FALSE()))</f>
        <v>295.5</v>
      </c>
    </row>
    <row r="23" customFormat="false" ht="15" hidden="false" customHeight="false" outlineLevel="0" collapsed="false">
      <c r="A23" s="814"/>
      <c r="B23" s="820"/>
      <c r="C23" s="13"/>
      <c r="D23" s="829" t="str">
        <f aca="false">IF(Weather_Input!I8=""," ",Weather_Input!I8)</f>
        <v>PARTLY CLOUDY WITH A CHANCE OF SHOWERS AND T-STORMS. </v>
      </c>
      <c r="E23" s="824"/>
      <c r="F23" s="822"/>
      <c r="G23" s="824"/>
      <c r="H23" s="825"/>
      <c r="I23" s="826"/>
    </row>
    <row r="24" customFormat="false" ht="15" hidden="false" customHeight="false" outlineLevel="0" collapsed="false">
      <c r="A24" s="814"/>
      <c r="B24" s="816"/>
      <c r="C24" s="13"/>
      <c r="D24" s="829" t="str">
        <f aca="false">IF(Weather_Input!J8=""," ",Weather_Input!J8)</f>
        <v> </v>
      </c>
      <c r="E24" s="824"/>
      <c r="F24" s="822"/>
      <c r="G24" s="824"/>
      <c r="H24" s="825"/>
      <c r="I24" s="826"/>
    </row>
    <row r="25" customFormat="false" ht="15" hidden="false" customHeight="false" outlineLevel="0" collapsed="false">
      <c r="A25" s="814" t="str">
        <f aca="false">CHOOSE(WEEKDAY(B25),"Sunday","Monday","Tuesday","Wednesday","Thursday","Friday","Saturday")</f>
        <v>Sunday</v>
      </c>
      <c r="B25" s="820" t="n">
        <f aca="false">Weather_Input!A9</f>
        <v>37003</v>
      </c>
      <c r="C25" s="13"/>
      <c r="D25" s="821" t="s">
        <v>563</v>
      </c>
      <c r="E25" s="822" t="n">
        <f aca="false">Weather_Input!B9</f>
        <v>70</v>
      </c>
      <c r="F25" s="823" t="s">
        <v>564</v>
      </c>
      <c r="G25" s="824" t="n">
        <f aca="false">IF(E27&lt;65,65-(Weather_Input!B9+Weather_Input!C9)/2,0)</f>
        <v>5.5</v>
      </c>
      <c r="H25" s="825" t="s">
        <v>565</v>
      </c>
      <c r="I25" s="826" t="n">
        <f aca="true">G25-(VLOOKUP(B25,DD_Normal_Data,CELL("Col",B26),FALSE()))</f>
        <v>-8.5</v>
      </c>
    </row>
    <row r="26" customFormat="false" ht="15" hidden="false" customHeight="false" outlineLevel="0" collapsed="false">
      <c r="A26" s="814"/>
      <c r="B26" s="820"/>
      <c r="C26" s="13"/>
      <c r="D26" s="821" t="s">
        <v>273</v>
      </c>
      <c r="E26" s="822" t="n">
        <f aca="false">Weather_Input!C9</f>
        <v>49</v>
      </c>
      <c r="F26" s="823" t="s">
        <v>566</v>
      </c>
      <c r="G26" s="824" t="n">
        <f aca="false">IF(DAY(B25)=1,G25,G21+G25)</f>
        <v>304</v>
      </c>
      <c r="H26" s="825" t="s">
        <v>567</v>
      </c>
      <c r="I26" s="826" t="n">
        <f aca="true">G26-(VLOOKUP(B25,DD_Normal_Data,CELL("Col",C27),FALSE()))</f>
        <v>-98</v>
      </c>
      <c r="DE26" s="27" t="s">
        <v>572</v>
      </c>
    </row>
    <row r="27" customFormat="false" ht="15" hidden="false" customHeight="false" outlineLevel="0" collapsed="false">
      <c r="A27" s="814"/>
      <c r="B27" s="816"/>
      <c r="C27" s="13"/>
      <c r="D27" s="821" t="s">
        <v>568</v>
      </c>
      <c r="E27" s="822" t="n">
        <f aca="false">(Weather_Input!C9+Weather_Input!B9)/2</f>
        <v>59.5</v>
      </c>
      <c r="F27" s="823" t="s">
        <v>569</v>
      </c>
      <c r="G27" s="824" t="n">
        <f aca="false">IF(AND(DAY(B25)=1,MONTH(B25)=8),G25,G22+G25)</f>
        <v>6337</v>
      </c>
      <c r="H27" s="825" t="s">
        <v>569</v>
      </c>
      <c r="I27" s="826" t="n">
        <f aca="true">G27-(VLOOKUP(B25,DD_Normal_Data,CELL("Col",D24),FALSE()))</f>
        <v>287</v>
      </c>
    </row>
    <row r="28" customFormat="false" ht="15" hidden="false" customHeight="false" outlineLevel="0" collapsed="false">
      <c r="A28" s="814"/>
      <c r="B28" s="816"/>
      <c r="C28" s="13"/>
      <c r="D28" s="829" t="str">
        <f aca="false">IF(Weather_Input!I9=""," ",Weather_Input!I9)</f>
        <v>MOSTLY CLOUDY WITH A CHANCE OF SHOWERS AND T-STORMS.</v>
      </c>
      <c r="E28" s="824"/>
      <c r="F28" s="822"/>
      <c r="G28" s="824"/>
      <c r="H28" s="825"/>
      <c r="I28" s="826"/>
    </row>
    <row r="29" customFormat="false" ht="15" hidden="false" customHeight="false" outlineLevel="0" collapsed="false">
      <c r="A29" s="814"/>
      <c r="B29" s="816"/>
      <c r="C29" s="13"/>
      <c r="D29" s="829" t="str">
        <f aca="false">IF(Weather_Input!J9=""," ",Weather_Input!J9)</f>
        <v> </v>
      </c>
      <c r="E29" s="824"/>
      <c r="F29" s="824"/>
      <c r="G29" s="824"/>
      <c r="H29" s="825"/>
      <c r="I29" s="826"/>
    </row>
    <row r="30" customFormat="false" ht="15" hidden="false" customHeight="false" outlineLevel="0" collapsed="false">
      <c r="A30" s="814" t="str">
        <f aca="false">CHOOSE(WEEKDAY(B30),"Sunday","Monday","Tuesday","Wednesday","Thursday","Friday","Saturday")</f>
        <v>Monday</v>
      </c>
      <c r="B30" s="820" t="n">
        <f aca="false">Weather_Input!A10</f>
        <v>37004</v>
      </c>
      <c r="C30" s="13"/>
      <c r="D30" s="821" t="s">
        <v>563</v>
      </c>
      <c r="E30" s="822" t="n">
        <f aca="false">Weather_Input!B10</f>
        <v>70</v>
      </c>
      <c r="F30" s="823" t="s">
        <v>564</v>
      </c>
      <c r="G30" s="824" t="n">
        <f aca="false">IF(E32&lt;65,65-(Weather_Input!B10+Weather_Input!C10)/2,0)</f>
        <v>5.5</v>
      </c>
      <c r="H30" s="825" t="s">
        <v>565</v>
      </c>
      <c r="I30" s="826" t="n">
        <f aca="true">G30-(VLOOKUP(B30,DD_Normal_Data,CELL("Col",B31),FALSE()))</f>
        <v>-8.5</v>
      </c>
    </row>
    <row r="31" customFormat="false" ht="15" hidden="false" customHeight="false" outlineLevel="0" collapsed="false">
      <c r="A31" s="13"/>
      <c r="B31" s="13"/>
      <c r="C31" s="13"/>
      <c r="D31" s="821" t="s">
        <v>273</v>
      </c>
      <c r="E31" s="822" t="n">
        <f aca="false">Weather_Input!C10</f>
        <v>49</v>
      </c>
      <c r="F31" s="823" t="s">
        <v>566</v>
      </c>
      <c r="G31" s="824" t="n">
        <f aca="false">IF(DAY(B30)=1,G30,G26+G30)</f>
        <v>309.5</v>
      </c>
      <c r="H31" s="825" t="s">
        <v>567</v>
      </c>
      <c r="I31" s="826" t="n">
        <f aca="true">G31-(VLOOKUP(B30,DD_Normal_Data,CELL("Col",C32),FALSE()))</f>
        <v>-106.5</v>
      </c>
      <c r="DE31" s="27" t="s">
        <v>28</v>
      </c>
    </row>
    <row r="32" customFormat="false" ht="15" hidden="false" customHeight="false" outlineLevel="0" collapsed="false">
      <c r="A32" s="13"/>
      <c r="B32" s="13"/>
      <c r="C32" s="13"/>
      <c r="D32" s="821" t="s">
        <v>568</v>
      </c>
      <c r="E32" s="822" t="n">
        <f aca="false">(Weather_Input!C10+Weather_Input!B10)/2</f>
        <v>59.5</v>
      </c>
      <c r="F32" s="823" t="s">
        <v>569</v>
      </c>
      <c r="G32" s="824" t="n">
        <f aca="false">IF(AND(DAY(B30)=1,MONTH(B30)=8),G30,G27+G30)</f>
        <v>6342.5</v>
      </c>
      <c r="H32" s="825" t="s">
        <v>569</v>
      </c>
      <c r="I32" s="826" t="n">
        <f aca="true">G32-(VLOOKUP(B30,DD_Normal_Data,CELL("Col",D29),FALSE()))</f>
        <v>278.5</v>
      </c>
    </row>
    <row r="33" customFormat="false" ht="15" hidden="false" customHeight="false" outlineLevel="0" collapsed="false">
      <c r="A33" s="13"/>
      <c r="B33" s="832"/>
      <c r="C33" s="13"/>
      <c r="D33" s="829" t="str">
        <f aca="false">IF(Weather_Input!I10=""," ",Weather_Input!I10)</f>
        <v>MOSTLY CLOUDY WITH A CHANCE OF SHOWERS AND T-STORMS.</v>
      </c>
      <c r="E33" s="13"/>
      <c r="F33" s="833"/>
      <c r="G33" s="13"/>
      <c r="H33" s="813"/>
      <c r="I33" s="13"/>
    </row>
    <row r="34" customFormat="false" ht="15.75" hidden="false" customHeight="false" outlineLevel="0" collapsed="false">
      <c r="A34" s="834"/>
      <c r="B34" s="835"/>
      <c r="C34" s="834"/>
      <c r="D34" s="836" t="str">
        <f aca="false">IF(Weather_Input!J10=""," ",Weather_Input!J10)</f>
        <v> </v>
      </c>
      <c r="E34" s="834"/>
      <c r="F34" s="837"/>
      <c r="G34" s="834"/>
      <c r="H34" s="838"/>
      <c r="I34" s="835"/>
    </row>
    <row r="35" customFormat="false" ht="15" hidden="false" customHeight="false" outlineLevel="0" collapsed="false">
      <c r="A35" s="815" t="s">
        <v>573</v>
      </c>
      <c r="B35" s="814" t="s">
        <v>247</v>
      </c>
      <c r="C35" s="13"/>
      <c r="D35" s="13"/>
      <c r="E35" s="13"/>
      <c r="F35" s="16"/>
      <c r="G35" s="839"/>
      <c r="H35" s="839"/>
      <c r="I35" s="13"/>
    </row>
    <row r="36" customFormat="false" ht="15" hidden="false" customHeight="false" outlineLevel="0" collapsed="false">
      <c r="A36" s="840" t="s">
        <v>64</v>
      </c>
      <c r="B36" s="841" t="n">
        <f aca="false">B5</f>
        <v>36999</v>
      </c>
      <c r="C36" s="841" t="n">
        <f aca="false">B10</f>
        <v>37000</v>
      </c>
      <c r="D36" s="841" t="n">
        <f aca="false">B15</f>
        <v>37001</v>
      </c>
      <c r="E36" s="841" t="n">
        <f aca="false">B20</f>
        <v>37002</v>
      </c>
      <c r="F36" s="841" t="n">
        <f aca="false">B25</f>
        <v>37003</v>
      </c>
      <c r="G36" s="841" t="n">
        <f aca="false">B30</f>
        <v>37004</v>
      </c>
      <c r="H36" s="27"/>
      <c r="I36" s="13"/>
    </row>
    <row r="37" customFormat="false" ht="15" hidden="false" customHeight="false" outlineLevel="0" collapsed="false">
      <c r="A37" s="13" t="s">
        <v>71</v>
      </c>
      <c r="B37" s="842" t="n">
        <f aca="true">(VLOOKUP(B36,PGL_Sendouts,(CELL("COL",PGL_Deliveries!C6))))/1000</f>
        <v>605</v>
      </c>
      <c r="C37" s="842" t="n">
        <f aca="true">(VLOOKUP(C36,PGL_Sendouts,(CELL("COL",PGL_Deliveries!C7))))/1000</f>
        <v>370</v>
      </c>
      <c r="D37" s="842" t="n">
        <f aca="true">(VLOOKUP(D36,PGL_Sendouts,(CELL("COL",PGL_Deliveries!C8))))/1000</f>
        <v>280</v>
      </c>
      <c r="E37" s="842" t="n">
        <f aca="true">(VLOOKUP(E36,PGL_Sendouts,(CELL("COL",PGL_Deliveries!C9))))/1000</f>
        <v>240</v>
      </c>
      <c r="F37" s="842" t="n">
        <f aca="true">(VLOOKUP(F36,PGL_Sendouts,(CELL("COL",PGL_Deliveries!C10))))/1000</f>
        <v>315</v>
      </c>
      <c r="G37" s="842" t="n">
        <f aca="true">(VLOOKUP(G36,PGL_Sendouts,(CELL("COL",PGL_Deliveries!C10))))/1000</f>
        <v>330</v>
      </c>
      <c r="H37" s="27"/>
      <c r="I37" s="13"/>
    </row>
    <row r="38" customFormat="false" ht="15" hidden="false" customHeight="false" outlineLevel="0" collapsed="false">
      <c r="A38" s="13" t="s">
        <v>574</v>
      </c>
      <c r="B38" s="842" t="n">
        <f aca="false">PGL_6_Day_Report!D30</f>
        <v>757.89</v>
      </c>
      <c r="C38" s="842" t="n">
        <f aca="false">PGL_6_Day_Report!E30</f>
        <v>560.0015</v>
      </c>
      <c r="D38" s="842" t="n">
        <f aca="false">PGL_6_Day_Report!F30</f>
        <v>468.415</v>
      </c>
      <c r="E38" s="842" t="n">
        <f aca="false">PGL_6_Day_Report!G30</f>
        <v>428.415</v>
      </c>
      <c r="F38" s="842" t="n">
        <f aca="false">PGL_6_Day_Report!H30</f>
        <v>503.415</v>
      </c>
      <c r="G38" s="842" t="n">
        <f aca="false">PGL_6_Day_Report!I30</f>
        <v>518.415</v>
      </c>
      <c r="H38" s="27"/>
      <c r="I38" s="13"/>
    </row>
    <row r="39" customFormat="false" ht="15" hidden="false" customHeight="false" outlineLevel="0" collapsed="false">
      <c r="A39" s="843" t="s">
        <v>159</v>
      </c>
      <c r="B39" s="842" t="n">
        <f aca="false">SUM(PGL_Supplies!Z7:AE7)/1000</f>
        <v>489.52</v>
      </c>
      <c r="C39" s="842" t="n">
        <f aca="false">SUM(PGL_Supplies!Z8:AE8)/1000</f>
        <v>557.934</v>
      </c>
      <c r="D39" s="842" t="n">
        <f aca="false">SUM(PGL_Supplies!Z9:AE9)/1000</f>
        <v>557.934</v>
      </c>
      <c r="E39" s="842" t="n">
        <f aca="false">SUM(PGL_Supplies!Z10:AE10)/1000</f>
        <v>557.934</v>
      </c>
      <c r="F39" s="842" t="n">
        <f aca="false">SUM(PGL_Supplies!Z11:AE11)/1000</f>
        <v>557.934</v>
      </c>
      <c r="G39" s="842" t="n">
        <f aca="false">SUM(PGL_Supplies!Z12:AE12)/1000</f>
        <v>557.934</v>
      </c>
      <c r="H39" s="27"/>
      <c r="I39" s="13"/>
    </row>
    <row r="40" customFormat="false" ht="15" hidden="false" customHeight="false" outlineLevel="0" collapsed="false">
      <c r="A40" s="843" t="s">
        <v>575</v>
      </c>
      <c r="B40" s="842" t="n">
        <f aca="false">(PGL_Supplies!N7+PGL_Supplies!O7+PGL_Supplies!P7+PGL_Supplies!R7+PGL_Supplies!S7)/1000</f>
        <v>0</v>
      </c>
      <c r="C40" s="842" t="n">
        <f aca="false">(PGL_Supplies!N8+PGL_Supplies!O8+PGL_Supplies!P8+PGL_Supplies!R8+PGL_Supplies!S8)/1000</f>
        <v>0</v>
      </c>
      <c r="D40" s="842" t="n">
        <f aca="false">(PGL_Supplies!N9+PGL_Supplies!O9+PGL_Supplies!P9+PGL_Supplies!R9+PGL_Supplies!S9)/1000</f>
        <v>0</v>
      </c>
      <c r="E40" s="842" t="n">
        <f aca="false">(PGL_Supplies!N10+PGL_Supplies!O10+PGL_Supplies!P10+PGL_Supplies!R10+PGL_Supplies!S10)/1000</f>
        <v>0</v>
      </c>
      <c r="F40" s="842" t="n">
        <f aca="false">(PGL_Supplies!N11+PGL_Supplies!O11+PGL_Supplies!P11+PGL_Supplies!R11+PGL_Supplies!S11)/1000</f>
        <v>0</v>
      </c>
      <c r="G40" s="842" t="n">
        <f aca="false">(PGL_Supplies!N12+PGL_Supplies!O12+PGL_Supplies!P12+PGL_Supplies!R12+PGL_Supplies!S12)/1000</f>
        <v>0</v>
      </c>
      <c r="H40" s="27"/>
      <c r="I40" s="13"/>
    </row>
    <row r="41" customFormat="false" ht="15" hidden="false" customHeight="false" outlineLevel="0" collapsed="false">
      <c r="A41" s="843" t="s">
        <v>576</v>
      </c>
      <c r="B41" s="842" t="n">
        <f aca="false">SUM(PGL_Requirements!R7:U7)/1000</f>
        <v>0.64</v>
      </c>
      <c r="C41" s="842" t="n">
        <f aca="false">SUM(PGL_Requirements!R7:U7)/1000</f>
        <v>0.64</v>
      </c>
      <c r="D41" s="842" t="n">
        <f aca="false">SUM(PGL_Requirements!R7:U7)/1000</f>
        <v>0.64</v>
      </c>
      <c r="E41" s="842" t="n">
        <f aca="false">SUM(PGL_Requirements!R7:U7)/1000</f>
        <v>0.64</v>
      </c>
      <c r="F41" s="842" t="n">
        <f aca="false">SUM(PGL_Requirements!R7:U7)/1000</f>
        <v>0.64</v>
      </c>
      <c r="G41" s="842" t="n">
        <f aca="false">SUM(PGL_Requirements!R7:U7)/1000</f>
        <v>0.64</v>
      </c>
      <c r="H41" s="27"/>
      <c r="I41" s="13"/>
    </row>
    <row r="42" customFormat="false" ht="15" hidden="false" customHeight="false" outlineLevel="0" collapsed="false">
      <c r="A42" s="13" t="s">
        <v>577</v>
      </c>
      <c r="B42" s="842" t="n">
        <f aca="false">PGL_Supplies!V7/1000</f>
        <v>243.044</v>
      </c>
      <c r="C42" s="842" t="n">
        <f aca="false">PGL_Supplies!V8/1000</f>
        <v>243.044</v>
      </c>
      <c r="D42" s="842" t="n">
        <f aca="false">PGL_Supplies!V9/1000</f>
        <v>243.044</v>
      </c>
      <c r="E42" s="842" t="n">
        <f aca="false">PGL_Supplies!V10/1000</f>
        <v>243.044</v>
      </c>
      <c r="F42" s="842" t="n">
        <f aca="false">PGL_Supplies!V11/1000</f>
        <v>243.044</v>
      </c>
      <c r="G42" s="842" t="n">
        <f aca="false">PGL_Supplies!V12/1000</f>
        <v>243.044</v>
      </c>
      <c r="H42" s="27"/>
      <c r="I42" s="13"/>
    </row>
    <row r="43" customFormat="false" ht="15" hidden="false" customHeight="false" outlineLevel="0" collapsed="false">
      <c r="B43" s="844"/>
      <c r="C43" s="844"/>
      <c r="D43" s="844"/>
      <c r="E43" s="845"/>
      <c r="F43" s="844"/>
      <c r="G43" s="844"/>
      <c r="H43" s="27"/>
      <c r="I43" s="13"/>
    </row>
    <row r="44" customFormat="false" ht="15" hidden="false" customHeight="false" outlineLevel="0" collapsed="false">
      <c r="A44" s="840" t="s">
        <v>125</v>
      </c>
      <c r="B44" s="841" t="n">
        <f aca="false">B36</f>
        <v>36999</v>
      </c>
      <c r="C44" s="841" t="n">
        <f aca="false">C36</f>
        <v>37000</v>
      </c>
      <c r="D44" s="841" t="n">
        <f aca="false">D36</f>
        <v>37001</v>
      </c>
      <c r="E44" s="841" t="n">
        <f aca="false">E36</f>
        <v>37002</v>
      </c>
      <c r="F44" s="841" t="n">
        <f aca="false">F36</f>
        <v>37003</v>
      </c>
      <c r="G44" s="841" t="n">
        <f aca="false">G36</f>
        <v>37004</v>
      </c>
      <c r="H44" s="27"/>
      <c r="I44" s="13"/>
    </row>
    <row r="45" customFormat="false" ht="15" hidden="false" customHeight="false" outlineLevel="0" collapsed="false">
      <c r="A45" s="13" t="s">
        <v>71</v>
      </c>
      <c r="B45" s="842" t="n">
        <f aca="false">NSG_6_Day_Report!D6</f>
        <v>101</v>
      </c>
      <c r="C45" s="842" t="n">
        <f aca="false">NSG_6_Day_Report!E6</f>
        <v>52</v>
      </c>
      <c r="D45" s="842" t="n">
        <f aca="false">NSG_6_Day_Report!F6</f>
        <v>45</v>
      </c>
      <c r="E45" s="842" t="n">
        <f aca="false">NSG_6_Day_Report!G6</f>
        <v>39</v>
      </c>
      <c r="F45" s="842" t="n">
        <f aca="false">NSG_6_Day_Report!H6</f>
        <v>51</v>
      </c>
      <c r="G45" s="842" t="n">
        <f aca="false">NSG_6_Day_Report!I6</f>
        <v>53</v>
      </c>
      <c r="H45" s="27"/>
      <c r="I45" s="13"/>
    </row>
    <row r="46" customFormat="false" ht="15" hidden="false" customHeight="false" outlineLevel="0" collapsed="false">
      <c r="A46" s="843" t="s">
        <v>574</v>
      </c>
      <c r="B46" s="842" t="n">
        <f aca="false">NSG_6_Day_Report!D19</f>
        <v>121</v>
      </c>
      <c r="C46" s="842" t="n">
        <f aca="false">NSG_6_Day_Report!E19</f>
        <v>52</v>
      </c>
      <c r="D46" s="842" t="n">
        <f aca="false">NSG_6_Day_Report!F19</f>
        <v>45</v>
      </c>
      <c r="E46" s="842" t="n">
        <f aca="false">NSG_6_Day_Report!G19</f>
        <v>39</v>
      </c>
      <c r="F46" s="842" t="n">
        <f aca="false">NSG_6_Day_Report!H19</f>
        <v>51</v>
      </c>
      <c r="G46" s="842" t="n">
        <f aca="false">NSG_6_Day_Report!I19</f>
        <v>53</v>
      </c>
      <c r="H46" s="27"/>
      <c r="I46" s="13"/>
    </row>
    <row r="47" customFormat="false" ht="15" hidden="false" customHeight="false" outlineLevel="0" collapsed="false">
      <c r="A47" s="843" t="s">
        <v>159</v>
      </c>
      <c r="B47" s="842" t="n">
        <f aca="false">SUM(NSG_Supplies!P7:R7)/1000</f>
        <v>100.464</v>
      </c>
      <c r="C47" s="842" t="n">
        <f aca="false">SUM(NSG_Supplies!P8:R8)/1000</f>
        <v>81.203</v>
      </c>
      <c r="D47" s="842" t="n">
        <f aca="false">SUM(NSG_Supplies!P9:R9)/1000</f>
        <v>81.118</v>
      </c>
      <c r="E47" s="842" t="n">
        <f aca="false">SUM(NSG_Supplies!P10:R10)/1000</f>
        <v>81.118</v>
      </c>
      <c r="F47" s="842" t="n">
        <f aca="false">SUM(NSG_Supplies!P11:R11)/1000</f>
        <v>81.118</v>
      </c>
      <c r="G47" s="842" t="n">
        <f aca="false">SUM(NSG_Supplies!P12:R12)/1000</f>
        <v>81.118</v>
      </c>
      <c r="H47" s="27"/>
      <c r="I47" s="13"/>
    </row>
    <row r="48" customFormat="false" ht="15" hidden="false" customHeight="false" outlineLevel="0" collapsed="false">
      <c r="A48" s="843" t="s">
        <v>575</v>
      </c>
      <c r="B48" s="842" t="n">
        <f aca="false">SUM(NSG_Supplies!I7:M7)/1000</f>
        <v>15</v>
      </c>
      <c r="C48" s="842" t="n">
        <f aca="false">SUM(NSG_Supplies!I8:M8)/1000</f>
        <v>0</v>
      </c>
      <c r="D48" s="842" t="n">
        <f aca="false">SUM(NSG_Supplies!I9:M9)/1000</f>
        <v>0</v>
      </c>
      <c r="E48" s="842" t="n">
        <f aca="false">SUM(NSG_Supplies!I10:M10)/1000</f>
        <v>0</v>
      </c>
      <c r="F48" s="842" t="n">
        <f aca="false">SUM(NSG_Supplies!I11:M11)/1000</f>
        <v>0</v>
      </c>
      <c r="G48" s="842" t="n">
        <f aca="false">SUM(NSG_Supplies!I12:M12)/1000</f>
        <v>0</v>
      </c>
      <c r="H48" s="27"/>
      <c r="I48" s="13"/>
    </row>
    <row r="49" customFormat="false" ht="15" hidden="false" customHeight="false" outlineLevel="0" collapsed="false">
      <c r="A49" s="843" t="s">
        <v>576</v>
      </c>
      <c r="B49" s="842" t="n">
        <f aca="false">SUM(NSG_Requirements!L7:R7)/1000</f>
        <v>0</v>
      </c>
      <c r="C49" s="842" t="n">
        <f aca="false">SUM(NSG_Requirements!L8:R8)/1000</f>
        <v>0</v>
      </c>
      <c r="D49" s="842" t="n">
        <f aca="false">SUM(NSG_Requirements!L9:R9)/1000</f>
        <v>0</v>
      </c>
      <c r="E49" s="842" t="n">
        <f aca="false">SUM(NSG_Requirements!L10:R10)/1000</f>
        <v>0</v>
      </c>
      <c r="F49" s="842" t="n">
        <f aca="false">SUM(NSG_Requirements!L11:R11)/1000</f>
        <v>0</v>
      </c>
      <c r="G49" s="842" t="n">
        <f aca="false">SUM(NSG_Requirements!L12:R12)/1000</f>
        <v>0</v>
      </c>
      <c r="H49" s="27"/>
      <c r="I49" s="13"/>
    </row>
    <row r="50" customFormat="false" ht="15" hidden="false" customHeight="false" outlineLevel="0" collapsed="false">
      <c r="A50" s="13" t="s">
        <v>577</v>
      </c>
      <c r="B50" s="842" t="n">
        <f aca="false">NSG_Supplies!S7/1000</f>
        <v>29.503</v>
      </c>
      <c r="C50" s="842" t="n">
        <f aca="false">NSG_Supplies!S8/1000</f>
        <v>29.503</v>
      </c>
      <c r="D50" s="842" t="n">
        <f aca="false">NSG_Supplies!S9/1000</f>
        <v>29.503</v>
      </c>
      <c r="E50" s="842" t="n">
        <f aca="false">NSG_Supplies!S10/1000</f>
        <v>29.503</v>
      </c>
      <c r="F50" s="842" t="n">
        <f aca="false">NSG_Supplies!S11/1000</f>
        <v>29.503</v>
      </c>
      <c r="G50" s="842" t="n">
        <f aca="false">NSG_Supplies!S12/1000</f>
        <v>29.503</v>
      </c>
      <c r="H50" s="27"/>
      <c r="I50" s="13"/>
    </row>
    <row r="51" customFormat="false" ht="15" hidden="false" customHeight="false" outlineLevel="0" collapsed="false">
      <c r="B51" s="844"/>
      <c r="C51" s="844"/>
      <c r="D51" s="844"/>
      <c r="E51" s="845"/>
      <c r="F51" s="844"/>
      <c r="G51" s="844"/>
      <c r="H51" s="27"/>
      <c r="I51" s="13"/>
    </row>
    <row r="52" customFormat="false" ht="15" hidden="false" customHeight="false" outlineLevel="0" collapsed="false">
      <c r="A52" s="840" t="s">
        <v>578</v>
      </c>
      <c r="B52" s="841" t="n">
        <f aca="false">B36</f>
        <v>36999</v>
      </c>
      <c r="C52" s="841" t="n">
        <f aca="false">C36</f>
        <v>37000</v>
      </c>
      <c r="D52" s="841" t="n">
        <f aca="false">D36</f>
        <v>37001</v>
      </c>
      <c r="E52" s="841" t="n">
        <f aca="false">E36</f>
        <v>37002</v>
      </c>
      <c r="F52" s="841" t="n">
        <f aca="false">F36</f>
        <v>37003</v>
      </c>
      <c r="G52" s="841" t="n">
        <f aca="false">G36</f>
        <v>37004</v>
      </c>
      <c r="H52" s="27"/>
      <c r="I52" s="13"/>
    </row>
    <row r="53" customFormat="false" ht="15" hidden="false" customHeight="false" outlineLevel="0" collapsed="false">
      <c r="A53" s="846" t="s">
        <v>579</v>
      </c>
      <c r="B53" s="842" t="n">
        <f aca="false">PGL_Requirements!P7/1000</f>
        <v>150</v>
      </c>
      <c r="C53" s="842" t="n">
        <f aca="false">PGL_Requirements!P8/1000</f>
        <v>185</v>
      </c>
      <c r="D53" s="842" t="n">
        <f aca="false">PGL_Requirements!P9/1000</f>
        <v>185</v>
      </c>
      <c r="E53" s="842" t="n">
        <f aca="false">PGL_Requirements!P10/1000</f>
        <v>185</v>
      </c>
      <c r="F53" s="842" t="n">
        <f aca="false">PGL_Requirements!P11/1000</f>
        <v>185</v>
      </c>
      <c r="G53" s="842" t="n">
        <f aca="false">PGL_Requirements!P12/1000</f>
        <v>185</v>
      </c>
      <c r="H53" s="27"/>
      <c r="I53" s="13"/>
    </row>
    <row r="54" customFormat="false" ht="15" hidden="false" customHeight="false" outlineLevel="0" collapsed="false">
      <c r="A54" s="13" t="s">
        <v>580</v>
      </c>
      <c r="B54" s="842" t="n">
        <f aca="false">PGL_Supplies!M7/1000</f>
        <v>0</v>
      </c>
      <c r="C54" s="842" t="n">
        <f aca="false">PGL_Supplies!M8/1000</f>
        <v>0</v>
      </c>
      <c r="D54" s="842" t="n">
        <f aca="false">PGL_Supplies!M9/1000</f>
        <v>0</v>
      </c>
      <c r="E54" s="842" t="n">
        <f aca="false">PGL_Supplies!M10/1000</f>
        <v>0</v>
      </c>
      <c r="F54" s="842" t="n">
        <f aca="false">PGL_Supplies!M11/1000</f>
        <v>0</v>
      </c>
      <c r="G54" s="842" t="n">
        <f aca="false">PGL_Supplies!M12/1000</f>
        <v>0</v>
      </c>
      <c r="H54" s="27"/>
      <c r="I54" s="13"/>
    </row>
    <row r="56" customFormat="false" ht="15.75" hidden="false" customHeight="false" outlineLevel="0" collapsed="false">
      <c r="A56" s="847" t="s">
        <v>581</v>
      </c>
    </row>
    <row r="57" customFormat="false" ht="15.75" hidden="false" customHeight="false" outlineLevel="0" collapsed="false">
      <c r="A57" s="811" t="s">
        <v>582</v>
      </c>
    </row>
    <row r="58" customFormat="false" ht="15.75" hidden="false" customHeight="false" outlineLevel="0" collapsed="false">
      <c r="A58" s="811" t="s">
        <v>583</v>
      </c>
      <c r="G58" s="848"/>
    </row>
    <row r="59" customFormat="false" ht="15.75" hidden="false" customHeight="false" outlineLevel="0" collapsed="false">
      <c r="A59" s="811" t="s">
        <v>584</v>
      </c>
    </row>
    <row r="60" customFormat="false" ht="15.75" hidden="false" customHeight="false" outlineLevel="0" collapsed="false">
      <c r="A60" s="811" t="s">
        <v>585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849" t="s">
        <v>0</v>
      </c>
      <c r="B1" s="849"/>
      <c r="C1" s="850" t="s">
        <v>0</v>
      </c>
      <c r="D1" s="850"/>
      <c r="E1" s="850"/>
      <c r="F1" s="850"/>
    </row>
    <row r="2" customFormat="false" ht="15.75" hidden="false" customHeight="false" outlineLevel="0" collapsed="false">
      <c r="A2" s="0" t="s">
        <v>0</v>
      </c>
      <c r="C2" s="851"/>
      <c r="D2" s="851"/>
      <c r="E2" s="851"/>
      <c r="F2" s="852"/>
    </row>
    <row r="3" customFormat="false" ht="15.75" hidden="false" customHeight="false" outlineLevel="0" collapsed="false">
      <c r="A3" s="107" t="s">
        <v>586</v>
      </c>
    </row>
    <row r="4" customFormat="false" ht="15" hidden="false" customHeight="false" outlineLevel="0" collapsed="false">
      <c r="A4" s="853"/>
      <c r="B4" s="854" t="str">
        <f aca="false">Six_Day_Summary!A10</f>
        <v>Thursday</v>
      </c>
      <c r="C4" s="855" t="str">
        <f aca="false">Six_Day_Summary!A15</f>
        <v>Friday</v>
      </c>
      <c r="D4" s="855" t="str">
        <f aca="false">Six_Day_Summary!A20</f>
        <v>Saturday</v>
      </c>
      <c r="E4" s="855" t="str">
        <f aca="false">Six_Day_Summary!A25</f>
        <v>Sunday</v>
      </c>
      <c r="F4" s="856" t="str">
        <f aca="false">Six_Day_Summary!A30</f>
        <v>Monday</v>
      </c>
      <c r="G4" s="857"/>
    </row>
    <row r="5" customFormat="false" ht="15" hidden="false" customHeight="false" outlineLevel="0" collapsed="false">
      <c r="A5" s="858" t="s">
        <v>587</v>
      </c>
      <c r="B5" s="859" t="n">
        <f aca="false">Weather_Input!A6</f>
        <v>37000</v>
      </c>
      <c r="C5" s="860" t="n">
        <f aca="false">Weather_Input!A7</f>
        <v>37001</v>
      </c>
      <c r="D5" s="860" t="n">
        <f aca="false">Weather_Input!A8</f>
        <v>37002</v>
      </c>
      <c r="E5" s="860" t="n">
        <f aca="false">Weather_Input!A9</f>
        <v>37003</v>
      </c>
      <c r="F5" s="861" t="n">
        <f aca="false">Weather_Input!A10</f>
        <v>37004</v>
      </c>
      <c r="G5" s="857"/>
    </row>
    <row r="6" customFormat="false" ht="15" hidden="false" customHeight="false" outlineLevel="0" collapsed="false">
      <c r="A6" s="857" t="s">
        <v>588</v>
      </c>
      <c r="B6" s="862" t="n">
        <f aca="false">PGL_Supplies!AC8/1000+PGL_Supplies!L8/1000-PGL_Requirements!O8/1000-PGL_Requirements!T8/1000+B8</f>
        <v>179.557</v>
      </c>
      <c r="C6" s="862" t="n">
        <f aca="false">PGL_Supplies!AC9/1000+PGL_Supplies!L9/1000-PGL_Requirements!O9/1000+C15-PGL_Requirements!T9/1000</f>
        <v>179.557</v>
      </c>
      <c r="D6" s="862" t="n">
        <f aca="false">PGL_Supplies!AC10/1000+PGL_Supplies!L10/1000-PGL_Requirements!O10/1000+D15-PGL_Requirements!T10/1000</f>
        <v>179.557</v>
      </c>
      <c r="E6" s="862" t="n">
        <f aca="false">PGL_Supplies!AC11/1000+PGL_Supplies!L11/1000-PGL_Requirements!O11/1000+E15-PGL_Requirements!T11/1000</f>
        <v>179.557</v>
      </c>
      <c r="F6" s="863" t="n">
        <f aca="false">PGL_Supplies!AC12/1000+PGL_Supplies!L12/1000-PGL_Requirements!O12/1000+F15-PGL_Requirements!T12/1000</f>
        <v>179.557</v>
      </c>
      <c r="G6" s="857"/>
      <c r="H6" s="0" t="s">
        <v>0</v>
      </c>
    </row>
    <row r="7" customFormat="false" ht="15" hidden="false" customHeight="false" outlineLevel="0" collapsed="false">
      <c r="A7" s="857" t="s">
        <v>589</v>
      </c>
      <c r="B7" s="862" t="n">
        <f aca="false">PGL_Supplies!N8/1000</f>
        <v>0</v>
      </c>
      <c r="C7" s="862" t="n">
        <f aca="false">PGL_Supplies!N9/1000</f>
        <v>0</v>
      </c>
      <c r="D7" s="862" t="n">
        <f aca="false">PGL_Supplies!N10/1000</f>
        <v>0</v>
      </c>
      <c r="E7" s="862" t="n">
        <f aca="false">PGL_Supplies!N11/1000</f>
        <v>0</v>
      </c>
      <c r="F7" s="864" t="n">
        <f aca="false">PGL_Supplies!N12/1000</f>
        <v>0</v>
      </c>
      <c r="G7" s="857"/>
    </row>
    <row r="8" customFormat="false" ht="15" hidden="false" customHeight="false" outlineLevel="0" collapsed="false">
      <c r="A8" s="857" t="s">
        <v>590</v>
      </c>
      <c r="B8" s="862" t="n">
        <f aca="false">PGL_Supplies!O8/1000</f>
        <v>0</v>
      </c>
      <c r="C8" s="862" t="n">
        <f aca="false">PGL_Supplies!O9/1000</f>
        <v>0</v>
      </c>
      <c r="D8" s="862" t="n">
        <f aca="false">PGL_Supplies!O10/1000</f>
        <v>0</v>
      </c>
      <c r="E8" s="862" t="n">
        <f aca="false">PGL_Supplies!O11/1000</f>
        <v>0</v>
      </c>
      <c r="F8" s="864" t="n">
        <f aca="false">PGL_Supplies!O12/1000</f>
        <v>0</v>
      </c>
      <c r="G8" s="857"/>
    </row>
    <row r="9" customFormat="false" ht="15" hidden="false" customHeight="false" outlineLevel="0" collapsed="false">
      <c r="A9" s="857" t="s">
        <v>591</v>
      </c>
      <c r="B9" s="862" t="n">
        <v>0</v>
      </c>
      <c r="C9" s="862" t="n">
        <v>0</v>
      </c>
      <c r="D9" s="862" t="n">
        <v>0</v>
      </c>
      <c r="E9" s="862" t="n">
        <v>0</v>
      </c>
      <c r="F9" s="864" t="n">
        <v>0</v>
      </c>
      <c r="G9" s="857"/>
    </row>
    <row r="10" customFormat="false" ht="15" hidden="false" customHeight="false" outlineLevel="0" collapsed="false">
      <c r="A10" s="865"/>
      <c r="B10" s="866"/>
      <c r="C10" s="866"/>
      <c r="D10" s="866"/>
      <c r="E10" s="866"/>
      <c r="F10" s="867"/>
      <c r="G10" s="857"/>
    </row>
    <row r="11" customFormat="false" ht="15" hidden="false" customHeight="false" outlineLevel="0" collapsed="false">
      <c r="A11" s="857" t="s">
        <v>592</v>
      </c>
      <c r="B11" s="862" t="n">
        <v>0</v>
      </c>
      <c r="C11" s="862" t="n">
        <v>0</v>
      </c>
      <c r="D11" s="862" t="n">
        <v>0</v>
      </c>
      <c r="E11" s="862" t="n">
        <v>0</v>
      </c>
      <c r="F11" s="864" t="n">
        <v>0</v>
      </c>
      <c r="G11" s="857"/>
      <c r="H11" s="40" t="s">
        <v>0</v>
      </c>
    </row>
    <row r="12" customFormat="false" ht="15" hidden="false" customHeight="false" outlineLevel="0" collapsed="false">
      <c r="A12" s="857" t="s">
        <v>593</v>
      </c>
      <c r="B12" s="862" t="n">
        <f aca="false">PGL_Requirements!S8/1000</f>
        <v>0</v>
      </c>
      <c r="C12" s="862" t="n">
        <f aca="false">PGL_Requirements!S9/1000</f>
        <v>0</v>
      </c>
      <c r="D12" s="862" t="n">
        <f aca="false">PGL_Requirements!S10/1000</f>
        <v>0</v>
      </c>
      <c r="E12" s="862" t="n">
        <f aca="false">PGL_Requirements!S11/1000</f>
        <v>0</v>
      </c>
      <c r="F12" s="864" t="n">
        <f aca="false">PGL_Requirements!S12/1000</f>
        <v>0</v>
      </c>
      <c r="G12" s="857"/>
    </row>
    <row r="13" customFormat="false" ht="15" hidden="false" customHeight="false" outlineLevel="0" collapsed="false">
      <c r="A13" s="857" t="s">
        <v>594</v>
      </c>
      <c r="B13" s="862" t="n">
        <v>0</v>
      </c>
      <c r="C13" s="862" t="n">
        <v>0</v>
      </c>
      <c r="D13" s="862" t="n">
        <v>0</v>
      </c>
      <c r="E13" s="862" t="n">
        <v>0</v>
      </c>
      <c r="F13" s="864" t="n">
        <v>0</v>
      </c>
      <c r="G13" s="857"/>
    </row>
    <row r="14" customFormat="false" ht="15" hidden="false" customHeight="false" outlineLevel="0" collapsed="false">
      <c r="A14" s="857" t="s">
        <v>417</v>
      </c>
      <c r="B14" s="862" t="n">
        <v>0</v>
      </c>
      <c r="C14" s="868"/>
      <c r="D14" s="868"/>
      <c r="E14" s="868"/>
      <c r="F14" s="864"/>
      <c r="G14" s="857"/>
    </row>
    <row r="15" customFormat="false" ht="15" hidden="false" customHeight="false" outlineLevel="0" collapsed="false">
      <c r="A15" s="857" t="s">
        <v>595</v>
      </c>
      <c r="B15" s="869" t="n">
        <v>0</v>
      </c>
      <c r="C15" s="869" t="n">
        <v>0</v>
      </c>
      <c r="D15" s="869" t="n">
        <v>0</v>
      </c>
      <c r="E15" s="869" t="n">
        <v>0</v>
      </c>
      <c r="F15" s="870" t="n">
        <v>0</v>
      </c>
      <c r="G15" s="40"/>
    </row>
    <row r="16" customFormat="false" ht="15" hidden="false" customHeight="false" outlineLevel="0" collapsed="false">
      <c r="A16" s="857" t="s">
        <v>596</v>
      </c>
      <c r="B16" s="869" t="n">
        <v>0</v>
      </c>
      <c r="C16" s="868"/>
      <c r="D16" s="868"/>
      <c r="E16" s="868"/>
      <c r="F16" s="864"/>
      <c r="G16" s="857"/>
    </row>
    <row r="17" customFormat="false" ht="15.75" hidden="false" customHeight="false" outlineLevel="0" collapsed="false">
      <c r="A17" s="871" t="s">
        <v>597</v>
      </c>
      <c r="B17" s="872" t="n">
        <v>0</v>
      </c>
      <c r="C17" s="873"/>
      <c r="D17" s="873"/>
      <c r="E17" s="873"/>
      <c r="F17" s="874"/>
      <c r="G17" s="857"/>
    </row>
    <row r="20" customFormat="false" ht="15.75" hidden="false" customHeight="false" outlineLevel="0" collapsed="false">
      <c r="A20" s="875" t="s">
        <v>598</v>
      </c>
      <c r="B20" s="801"/>
      <c r="C20" s="801"/>
      <c r="D20" s="801"/>
      <c r="E20" s="801"/>
      <c r="F20" s="801"/>
    </row>
    <row r="21" customFormat="false" ht="15" hidden="false" customHeight="false" outlineLevel="0" collapsed="false">
      <c r="A21" s="853"/>
      <c r="B21" s="876" t="str">
        <f aca="false">B4</f>
        <v>Thursday</v>
      </c>
      <c r="C21" s="876" t="str">
        <f aca="false">C4</f>
        <v>Friday</v>
      </c>
      <c r="D21" s="876" t="str">
        <f aca="false">D4</f>
        <v>Saturday</v>
      </c>
      <c r="E21" s="876" t="str">
        <f aca="false">E4</f>
        <v>Sunday</v>
      </c>
      <c r="F21" s="877" t="str">
        <f aca="false">F4</f>
        <v>Monday</v>
      </c>
      <c r="G21" s="857"/>
    </row>
    <row r="22" customFormat="false" ht="15" hidden="false" customHeight="false" outlineLevel="0" collapsed="false">
      <c r="A22" s="878" t="s">
        <v>587</v>
      </c>
      <c r="B22" s="879" t="n">
        <f aca="false">B5</f>
        <v>37000</v>
      </c>
      <c r="C22" s="879" t="n">
        <f aca="false">C5</f>
        <v>37001</v>
      </c>
      <c r="D22" s="879" t="n">
        <f aca="false">D5</f>
        <v>37002</v>
      </c>
      <c r="E22" s="879" t="n">
        <f aca="false">E5</f>
        <v>37003</v>
      </c>
      <c r="F22" s="880" t="n">
        <f aca="false">F5</f>
        <v>37004</v>
      </c>
      <c r="G22" s="857"/>
    </row>
    <row r="23" customFormat="false" ht="15" hidden="false" customHeight="false" outlineLevel="0" collapsed="false">
      <c r="A23" s="857" t="s">
        <v>588</v>
      </c>
      <c r="B23" s="868" t="n">
        <f aca="false">NSG_Supplies!R8/1000+NSG_Supplies!F8/1000-NSG_Requirements!H8/1000</f>
        <v>61.203</v>
      </c>
      <c r="C23" s="868" t="n">
        <f aca="false">NSG_Supplies!R9/1000+NSG_Supplies!F9/1000-NSG_Requirements!H9/1000</f>
        <v>61.118</v>
      </c>
      <c r="D23" s="868" t="n">
        <f aca="false">NSG_Supplies!R10/1000+NSG_Supplies!F10/1000-NSG_Requirements!H10/1000</f>
        <v>61.118</v>
      </c>
      <c r="E23" s="868" t="n">
        <f aca="false">NSG_Supplies!R12/1000+NSG_Supplies!F11/1000-NSG_Requirements!H11/1000</f>
        <v>61.118</v>
      </c>
      <c r="F23" s="863" t="n">
        <f aca="false">NSG_Supplies!R12/1000+NSG_Supplies!F12/1000-NSG_Requirements!H12/1000</f>
        <v>61.118</v>
      </c>
      <c r="G23" s="857"/>
    </row>
    <row r="24" customFormat="false" ht="15" hidden="false" customHeight="false" outlineLevel="0" collapsed="false">
      <c r="A24" s="857" t="s">
        <v>599</v>
      </c>
      <c r="B24" s="868" t="n">
        <f aca="false">NSG_Supplies!H8/1000</f>
        <v>0</v>
      </c>
      <c r="C24" s="868" t="n">
        <f aca="false">NSG_Supplies!H9/1000</f>
        <v>0</v>
      </c>
      <c r="D24" s="868" t="n">
        <f aca="false">NSG_Supplies!H10/1000</f>
        <v>0</v>
      </c>
      <c r="E24" s="868" t="n">
        <f aca="false">NSG_Supplies!H11/1000</f>
        <v>0</v>
      </c>
      <c r="F24" s="864" t="n">
        <f aca="false">NSG_Supplies!H12/1000</f>
        <v>0</v>
      </c>
      <c r="G24" s="857"/>
    </row>
    <row r="25" customFormat="false" ht="15" hidden="false" customHeight="false" outlineLevel="0" collapsed="false">
      <c r="A25" s="857" t="s">
        <v>589</v>
      </c>
      <c r="B25" s="868" t="n">
        <f aca="false">NSG_Supplies!I8/1000</f>
        <v>0</v>
      </c>
      <c r="C25" s="868" t="n">
        <f aca="false">NSG_Supplies!I9/1000</f>
        <v>0</v>
      </c>
      <c r="D25" s="868" t="n">
        <f aca="false">NSG_Supplies!I10/1000</f>
        <v>0</v>
      </c>
      <c r="E25" s="868" t="n">
        <f aca="false">NSG_Supplies!I11/1000</f>
        <v>0</v>
      </c>
      <c r="F25" s="864" t="n">
        <f aca="false">NSG_Supplies!I12/1000</f>
        <v>0</v>
      </c>
      <c r="G25" s="857"/>
    </row>
    <row r="26" customFormat="false" ht="15" hidden="false" customHeight="false" outlineLevel="0" collapsed="false">
      <c r="A26" s="881" t="s">
        <v>590</v>
      </c>
      <c r="B26" s="868" t="n">
        <f aca="false">NSG_Supplies!J8/1000</f>
        <v>0</v>
      </c>
      <c r="C26" s="868" t="n">
        <f aca="false">NSG_Supplies!J9/1000</f>
        <v>0</v>
      </c>
      <c r="D26" s="868" t="n">
        <f aca="false">NSG_Supplies!J10/1000</f>
        <v>0</v>
      </c>
      <c r="E26" s="868" t="n">
        <f aca="false">NSG_Supplies!J11/1000</f>
        <v>0</v>
      </c>
      <c r="F26" s="864" t="n">
        <f aca="false">NSG_Supplies!J12/1000</f>
        <v>0</v>
      </c>
      <c r="G26" s="857"/>
    </row>
    <row r="27" customFormat="false" ht="15" hidden="false" customHeight="false" outlineLevel="0" collapsed="false">
      <c r="A27" s="857" t="s">
        <v>591</v>
      </c>
      <c r="B27" s="868" t="n">
        <f aca="false">NSG_Supplies!K8/1000</f>
        <v>0</v>
      </c>
      <c r="C27" s="868" t="n">
        <f aca="false">NSG_Supplies!K9/1000</f>
        <v>0</v>
      </c>
      <c r="D27" s="868" t="n">
        <f aca="false">NSG_Supplies!K10/1000</f>
        <v>0</v>
      </c>
      <c r="E27" s="868" t="n">
        <f aca="false">NSG_Supplies!K11/1000</f>
        <v>0</v>
      </c>
      <c r="F27" s="864" t="n">
        <f aca="false">NSG_Supplies!K12/1000</f>
        <v>0</v>
      </c>
      <c r="G27" s="857"/>
    </row>
    <row r="28" customFormat="false" ht="15" hidden="false" customHeight="false" outlineLevel="0" collapsed="false">
      <c r="A28" s="857" t="s">
        <v>600</v>
      </c>
      <c r="B28" s="868" t="s">
        <v>0</v>
      </c>
      <c r="C28" s="868"/>
      <c r="D28" s="868"/>
      <c r="E28" s="868"/>
      <c r="F28" s="864"/>
      <c r="G28" s="857"/>
    </row>
    <row r="29" customFormat="false" ht="15" hidden="false" customHeight="false" outlineLevel="0" collapsed="false">
      <c r="A29" s="865"/>
      <c r="B29" s="866"/>
      <c r="C29" s="866"/>
      <c r="D29" s="866"/>
      <c r="E29" s="866"/>
      <c r="F29" s="867"/>
      <c r="G29" s="857"/>
    </row>
    <row r="30" customFormat="false" ht="15" hidden="false" customHeight="false" outlineLevel="0" collapsed="false">
      <c r="A30" s="857" t="s">
        <v>592</v>
      </c>
      <c r="B30" s="868" t="n">
        <f aca="false">NSG_Requirements!P8/1000</f>
        <v>0</v>
      </c>
      <c r="C30" s="868" t="n">
        <f aca="false">NSG_Requirements!P9/1000</f>
        <v>0</v>
      </c>
      <c r="D30" s="868" t="n">
        <f aca="false">NSG_Requirements!P10/1000</f>
        <v>0</v>
      </c>
      <c r="E30" s="868" t="n">
        <f aca="false">NSG_Requirements!P11/1000</f>
        <v>0</v>
      </c>
      <c r="F30" s="864" t="n">
        <f aca="false">NSG_Supplies!K12/1000</f>
        <v>0</v>
      </c>
      <c r="G30" s="857"/>
    </row>
    <row r="31" customFormat="false" ht="15" hidden="false" customHeight="false" outlineLevel="0" collapsed="false">
      <c r="A31" s="857" t="s">
        <v>593</v>
      </c>
      <c r="B31" s="868" t="n">
        <f aca="false">NSG_Requirements!R8/1000</f>
        <v>0</v>
      </c>
      <c r="C31" s="868" t="n">
        <f aca="false">NSG_Requirements!R9/1000</f>
        <v>0</v>
      </c>
      <c r="D31" s="868" t="n">
        <f aca="false">NSG_Requirements!R10/1000</f>
        <v>0</v>
      </c>
      <c r="E31" s="868" t="n">
        <f aca="false">NSG_Requirements!R11/1000</f>
        <v>0</v>
      </c>
      <c r="F31" s="864" t="n">
        <f aca="false">NSG_Supplies!M12/1000</f>
        <v>0</v>
      </c>
      <c r="G31" s="857"/>
    </row>
    <row r="32" customFormat="false" ht="15" hidden="false" customHeight="false" outlineLevel="0" collapsed="false">
      <c r="A32" s="857" t="s">
        <v>594</v>
      </c>
      <c r="B32" s="868" t="n">
        <f aca="false">NSG_Requirements!Q8/1000</f>
        <v>0</v>
      </c>
      <c r="C32" s="868" t="n">
        <f aca="false">NSG_Requirements!Q9/1000</f>
        <v>0</v>
      </c>
      <c r="D32" s="868" t="n">
        <f aca="false">NSG_Requirements!Q10/1000</f>
        <v>0</v>
      </c>
      <c r="E32" s="868" t="n">
        <f aca="false">NSG_Requirements!Q11/1000</f>
        <v>0</v>
      </c>
      <c r="F32" s="864" t="n">
        <f aca="false">NSG_Requirements!Q12/1000</f>
        <v>0</v>
      </c>
      <c r="G32" s="857"/>
    </row>
    <row r="33" customFormat="false" ht="15.75" hidden="false" customHeight="false" outlineLevel="0" collapsed="false">
      <c r="A33" s="871" t="s">
        <v>601</v>
      </c>
      <c r="B33" s="873" t="n">
        <f aca="false">NSG_Requirements!L8/1000</f>
        <v>0</v>
      </c>
      <c r="C33" s="873" t="n">
        <f aca="false">NSG_Requirements!L9/1000</f>
        <v>0</v>
      </c>
      <c r="D33" s="873" t="n">
        <f aca="false">NSG_Requirements!L10/1000</f>
        <v>0</v>
      </c>
      <c r="E33" s="873" t="n">
        <f aca="false">NSG_Requirements!L11/1000</f>
        <v>0</v>
      </c>
      <c r="F33" s="874" t="n">
        <f aca="false">NSG_Requirements!L12/1000</f>
        <v>0</v>
      </c>
      <c r="G33" s="857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/>
      <c r="B1" s="882" t="s">
        <v>602</v>
      </c>
      <c r="C1" s="883" t="n">
        <f aca="false">Weather_Input!A6</f>
        <v>37000</v>
      </c>
      <c r="D1" s="884" t="s">
        <v>603</v>
      </c>
      <c r="E1" s="885"/>
      <c r="F1" s="886"/>
      <c r="G1" s="411"/>
      <c r="H1" s="411"/>
      <c r="I1" s="887"/>
    </row>
    <row r="2" customFormat="false" ht="15.75" hidden="false" customHeight="true" outlineLevel="0" collapsed="false">
      <c r="A2" s="34"/>
      <c r="B2" s="888" t="s">
        <v>604</v>
      </c>
      <c r="E2" s="889"/>
      <c r="I2" s="889"/>
    </row>
    <row r="3" customFormat="false" ht="15.75" hidden="false" customHeight="true" outlineLevel="0" collapsed="false">
      <c r="B3" s="890" t="s">
        <v>159</v>
      </c>
      <c r="C3" s="891" t="n">
        <f aca="false">NSG_Supplies!Q8/1000</f>
        <v>20</v>
      </c>
      <c r="E3" s="889"/>
      <c r="F3" s="892" t="s">
        <v>252</v>
      </c>
      <c r="G3" s="893"/>
      <c r="H3" s="894" t="s">
        <v>605</v>
      </c>
      <c r="I3" s="895" t="s">
        <v>606</v>
      </c>
    </row>
    <row r="4" customFormat="false" ht="15.75" hidden="false" customHeight="true" outlineLevel="0" collapsed="false">
      <c r="A4" s="0" t="s">
        <v>0</v>
      </c>
      <c r="B4" s="857" t="s">
        <v>607</v>
      </c>
      <c r="C4" s="896" t="n">
        <f aca="false">NSG_Supplies!E8/1000</f>
        <v>0</v>
      </c>
      <c r="D4" s="761" t="n">
        <f aca="false">NSG_Requirements!J8/1000</f>
        <v>0</v>
      </c>
      <c r="E4" s="897"/>
      <c r="F4" s="890" t="s">
        <v>608</v>
      </c>
      <c r="G4" s="74"/>
      <c r="H4" s="898" t="n">
        <f aca="false">PGL_Requirements!P8/1000</f>
        <v>185</v>
      </c>
      <c r="I4" s="899" t="n">
        <f aca="false">AVERAGE(H4/1.025)</f>
        <v>180.487804878049</v>
      </c>
      <c r="J4" s="0" t="s">
        <v>0</v>
      </c>
    </row>
    <row r="5" customFormat="false" ht="15.75" hidden="false" customHeight="true" outlineLevel="0" collapsed="false">
      <c r="B5" s="900" t="s">
        <v>609</v>
      </c>
      <c r="C5" s="901" t="n">
        <f aca="false">C3+C4-D4</f>
        <v>20</v>
      </c>
      <c r="D5" s="902"/>
      <c r="E5" s="903" t="n">
        <f aca="false">AVERAGE(C5/24)</f>
        <v>0.833333333333333</v>
      </c>
      <c r="F5" s="904" t="s">
        <v>329</v>
      </c>
      <c r="G5" s="905" t="n">
        <f aca="false">PGL_Supplies!M8/1000</f>
        <v>0</v>
      </c>
      <c r="H5" s="906"/>
      <c r="I5" s="907" t="n">
        <f aca="false">AVERAGE(G5/1.025)</f>
        <v>0</v>
      </c>
      <c r="K5" s="0" t="s">
        <v>0</v>
      </c>
    </row>
    <row r="6" customFormat="false" ht="15.75" hidden="false" customHeight="true" outlineLevel="0" collapsed="false">
      <c r="B6" s="908" t="s">
        <v>610</v>
      </c>
      <c r="C6" s="909"/>
      <c r="D6" s="40"/>
      <c r="E6" s="910"/>
      <c r="F6" s="0" t="s">
        <v>611</v>
      </c>
      <c r="G6" s="909" t="n">
        <f aca="false">AVERAGE(H4/24)</f>
        <v>7.70833333333333</v>
      </c>
      <c r="H6" s="411"/>
      <c r="I6" s="887"/>
    </row>
    <row r="7" customFormat="false" ht="15.75" hidden="false" customHeight="true" outlineLevel="0" collapsed="false">
      <c r="B7" s="890" t="s">
        <v>612</v>
      </c>
      <c r="C7" s="898" t="n">
        <f aca="false">NSG_Supplies!L8/1000</f>
        <v>0</v>
      </c>
      <c r="D7" s="74"/>
      <c r="E7" s="911"/>
      <c r="F7" s="888" t="s">
        <v>613</v>
      </c>
      <c r="G7" s="912"/>
      <c r="H7" s="74"/>
      <c r="I7" s="889"/>
    </row>
    <row r="8" customFormat="false" ht="15.75" hidden="false" customHeight="true" outlineLevel="0" collapsed="false">
      <c r="B8" s="890" t="s">
        <v>614</v>
      </c>
      <c r="C8" s="898" t="n">
        <f aca="false">PGL_Requirements!V8/1000</f>
        <v>0</v>
      </c>
      <c r="D8" s="74"/>
      <c r="E8" s="911"/>
      <c r="F8" s="890" t="s">
        <v>615</v>
      </c>
      <c r="G8" s="898" t="n">
        <f aca="false">PGL_Supplies!T8/1000</f>
        <v>0</v>
      </c>
      <c r="H8" s="74"/>
      <c r="I8" s="889"/>
    </row>
    <row r="9" customFormat="false" ht="15.75" hidden="false" customHeight="true" outlineLevel="0" collapsed="false">
      <c r="B9" s="890" t="s">
        <v>616</v>
      </c>
      <c r="C9" s="898" t="n">
        <f aca="false">NSG_Requirements!B8/1000</f>
        <v>0</v>
      </c>
      <c r="D9" s="74"/>
      <c r="E9" s="911"/>
      <c r="F9" s="29" t="s">
        <v>617</v>
      </c>
      <c r="G9" s="898" t="n">
        <f aca="false">PGL_Supplies!U8/1000</f>
        <v>0</v>
      </c>
      <c r="I9" s="889"/>
    </row>
    <row r="10" customFormat="false" ht="15.75" hidden="false" customHeight="true" outlineLevel="0" collapsed="false">
      <c r="B10" s="900" t="s">
        <v>618</v>
      </c>
      <c r="C10" s="901" t="n">
        <f aca="false">C7+C8-C9</f>
        <v>0</v>
      </c>
      <c r="D10" s="902"/>
      <c r="E10" s="903" t="n">
        <f aca="false">AVERAGE(C10/24)</f>
        <v>0</v>
      </c>
      <c r="F10" s="890" t="s">
        <v>507</v>
      </c>
      <c r="G10" s="898" t="n">
        <f aca="false">PGL_Supplies!AB8/1000</f>
        <v>337.217</v>
      </c>
      <c r="H10" s="898" t="s">
        <v>0</v>
      </c>
      <c r="I10" s="889"/>
    </row>
    <row r="11" customFormat="false" ht="15.75" hidden="false" customHeight="true" outlineLevel="0" collapsed="false">
      <c r="A11" s="0" t="s">
        <v>0</v>
      </c>
      <c r="B11" s="913" t="s">
        <v>619</v>
      </c>
      <c r="C11" s="898" t="n">
        <f aca="false">PGL_Supplies!Y8/1000</f>
        <v>144.909</v>
      </c>
      <c r="D11" s="893"/>
      <c r="E11" s="914"/>
      <c r="F11" s="915" t="s">
        <v>620</v>
      </c>
      <c r="G11" s="916" t="n">
        <f aca="false">G8+G10</f>
        <v>337.217</v>
      </c>
      <c r="H11" s="258"/>
      <c r="I11" s="917"/>
    </row>
    <row r="12" customFormat="false" ht="15.75" hidden="false" customHeight="true" outlineLevel="0" collapsed="false">
      <c r="B12" s="243" t="s">
        <v>300</v>
      </c>
      <c r="C12" s="898" t="n">
        <f aca="false">PGL_Supplies!X8/1000</f>
        <v>0</v>
      </c>
      <c r="D12" s="40"/>
      <c r="E12" s="889"/>
      <c r="F12" s="918" t="s">
        <v>621</v>
      </c>
      <c r="G12" s="898" t="n">
        <f aca="false">PGL_Supplies!E8/1000</f>
        <v>0</v>
      </c>
      <c r="H12" s="74"/>
      <c r="I12" s="911"/>
    </row>
    <row r="13" customFormat="false" ht="15.75" hidden="false" customHeight="true" outlineLevel="0" collapsed="false">
      <c r="B13" s="243" t="s">
        <v>622</v>
      </c>
      <c r="C13" s="40"/>
      <c r="D13" s="898" t="n">
        <f aca="false">PGL_Requirements!J8/1000</f>
        <v>0</v>
      </c>
      <c r="E13" s="889"/>
      <c r="F13" s="918" t="s">
        <v>623</v>
      </c>
      <c r="G13" s="74"/>
      <c r="H13" s="898" t="n">
        <f aca="false">PGL_Requirements!E8/1000</f>
        <v>0</v>
      </c>
      <c r="I13" s="889"/>
    </row>
    <row r="14" customFormat="false" ht="15.75" hidden="false" customHeight="true" outlineLevel="0" collapsed="false">
      <c r="B14" s="919" t="s">
        <v>624</v>
      </c>
      <c r="C14" s="901" t="n">
        <f aca="false">C11+C12-D13</f>
        <v>144.909</v>
      </c>
      <c r="D14" s="902"/>
      <c r="E14" s="903" t="n">
        <f aca="false">AVERAGE(C14/24)</f>
        <v>6.037875</v>
      </c>
      <c r="F14" s="920" t="s">
        <v>625</v>
      </c>
      <c r="G14" s="901" t="n">
        <v>140</v>
      </c>
      <c r="H14" s="902"/>
      <c r="I14" s="903" t="n">
        <f aca="false">AVERAGE(G14/24)</f>
        <v>5.83333333333333</v>
      </c>
    </row>
    <row r="15" customFormat="false" ht="15.75" hidden="false" customHeight="true" outlineLevel="0" collapsed="false">
      <c r="B15" s="890" t="s">
        <v>626</v>
      </c>
      <c r="C15" s="898" t="n">
        <f aca="false">PGL_Supplies!Z8/1000</f>
        <v>41.16</v>
      </c>
      <c r="D15" s="74"/>
      <c r="E15" s="889"/>
      <c r="F15" s="920" t="s">
        <v>627</v>
      </c>
      <c r="G15" s="916" t="n">
        <f aca="false">SUM(G11)-G14</f>
        <v>197.217</v>
      </c>
      <c r="H15" s="902" t="s">
        <v>0</v>
      </c>
      <c r="I15" s="903" t="n">
        <f aca="false">AVERAGE(G15/24)</f>
        <v>8.217375</v>
      </c>
    </row>
    <row r="16" customFormat="false" ht="15.75" hidden="false" customHeight="true" outlineLevel="0" collapsed="false">
      <c r="B16" s="890" t="s">
        <v>628</v>
      </c>
      <c r="C16" s="898" t="n">
        <f aca="false">PGL_Supplies!R8/1000</f>
        <v>0</v>
      </c>
      <c r="D16" s="898" t="n">
        <f aca="false">PGL_Requirements!U8/1000</f>
        <v>0</v>
      </c>
      <c r="E16" s="889"/>
      <c r="F16" s="920" t="s">
        <v>629</v>
      </c>
      <c r="G16" s="901" t="n">
        <f aca="false">PGL_Requirements!H8/1000</f>
        <v>3.173</v>
      </c>
      <c r="H16" s="901" t="s">
        <v>0</v>
      </c>
      <c r="I16" s="903" t="n">
        <f aca="false">AVERAGE(G16/24)</f>
        <v>0.132208333333333</v>
      </c>
    </row>
    <row r="17" customFormat="false" ht="15.75" hidden="false" customHeight="true" outlineLevel="0" collapsed="false">
      <c r="B17" s="915" t="s">
        <v>620</v>
      </c>
      <c r="C17" s="916" t="n">
        <f aca="false">SUM(C15:C16)-SUM(D15:D16)</f>
        <v>41.16</v>
      </c>
      <c r="D17" s="258"/>
      <c r="E17" s="917"/>
      <c r="F17" s="921" t="s">
        <v>630</v>
      </c>
      <c r="G17" s="922" t="n">
        <v>0</v>
      </c>
      <c r="H17" s="923"/>
      <c r="I17" s="924" t="n">
        <f aca="false">AVERAGE(G17/24)</f>
        <v>0</v>
      </c>
    </row>
    <row r="18" customFormat="false" ht="15.75" hidden="false" customHeight="true" outlineLevel="0" collapsed="false">
      <c r="B18" s="890" t="s">
        <v>631</v>
      </c>
      <c r="C18" s="898" t="n">
        <f aca="false">PGL_Supplies!C8/1000</f>
        <v>30</v>
      </c>
      <c r="D18" s="74"/>
      <c r="E18" s="889"/>
      <c r="F18" s="925" t="s">
        <v>632</v>
      </c>
      <c r="G18" s="74" t="s">
        <v>0</v>
      </c>
      <c r="H18" s="74"/>
      <c r="I18" s="889"/>
    </row>
    <row r="19" customFormat="false" ht="15.75" hidden="false" customHeight="true" outlineLevel="0" collapsed="false">
      <c r="B19" s="890" t="s">
        <v>633</v>
      </c>
      <c r="C19" s="74"/>
      <c r="D19" s="898" t="n">
        <f aca="false">PGL_Requirements!C8/1000</f>
        <v>0</v>
      </c>
      <c r="E19" s="889"/>
      <c r="F19" s="904" t="s">
        <v>634</v>
      </c>
      <c r="G19" s="906"/>
      <c r="H19" s="905" t="n">
        <f aca="false">PGL_Requirements!I8/1000</f>
        <v>0</v>
      </c>
      <c r="I19" s="926"/>
    </row>
    <row r="20" customFormat="false" ht="15.75" hidden="false" customHeight="true" outlineLevel="0" collapsed="false">
      <c r="B20" s="900" t="s">
        <v>635</v>
      </c>
      <c r="C20" s="901" t="n">
        <f aca="false">C17+C18-D19</f>
        <v>71.16</v>
      </c>
      <c r="D20" s="927" t="s">
        <v>0</v>
      </c>
      <c r="E20" s="903" t="n">
        <f aca="false">AVERAGE(C20/24)</f>
        <v>2.965</v>
      </c>
      <c r="F20" s="928" t="s">
        <v>411</v>
      </c>
      <c r="G20" s="74" t="n">
        <v>0</v>
      </c>
      <c r="H20" s="898" t="s">
        <v>0</v>
      </c>
      <c r="I20" s="889"/>
    </row>
    <row r="21" customFormat="false" ht="15.75" hidden="false" customHeight="true" outlineLevel="0" collapsed="false">
      <c r="B21" s="890" t="s">
        <v>636</v>
      </c>
      <c r="C21" s="898" t="n">
        <f aca="false">PGL_Supplies!AA8/1000</f>
        <v>0</v>
      </c>
      <c r="D21" s="898" t="s">
        <v>0</v>
      </c>
      <c r="E21" s="889"/>
      <c r="F21" s="890" t="s">
        <v>159</v>
      </c>
      <c r="G21" s="898" t="n">
        <f aca="false">PGL_Supplies!AD8/1000</f>
        <v>0</v>
      </c>
      <c r="H21" s="898" t="s">
        <v>0</v>
      </c>
      <c r="I21" s="889"/>
    </row>
    <row r="22" customFormat="false" ht="15.75" hidden="false" customHeight="true" outlineLevel="0" collapsed="false">
      <c r="B22" s="915" t="s">
        <v>620</v>
      </c>
      <c r="C22" s="916" t="n">
        <f aca="false">SUM(C21)-SUM(D21)</f>
        <v>0</v>
      </c>
      <c r="D22" s="258"/>
      <c r="E22" s="917"/>
      <c r="F22" s="915" t="s">
        <v>620</v>
      </c>
      <c r="G22" s="916" t="n">
        <f aca="false">G21</f>
        <v>0</v>
      </c>
      <c r="H22" s="258"/>
      <c r="I22" s="917"/>
    </row>
    <row r="23" customFormat="false" ht="15.75" hidden="false" customHeight="true" outlineLevel="0" collapsed="false">
      <c r="B23" s="890" t="s">
        <v>637</v>
      </c>
      <c r="C23" s="898" t="n">
        <f aca="false">PGL_Supplies!D8/1000</f>
        <v>0</v>
      </c>
      <c r="D23" s="74"/>
      <c r="E23" s="889"/>
      <c r="F23" s="890" t="s">
        <v>638</v>
      </c>
      <c r="G23" s="898" t="n">
        <f aca="false">PGL_Supplies!G8/1000</f>
        <v>0</v>
      </c>
      <c r="H23" s="74"/>
      <c r="I23" s="889"/>
    </row>
    <row r="24" customFormat="false" ht="15.75" hidden="false" customHeight="true" outlineLevel="0" collapsed="false">
      <c r="B24" s="890" t="s">
        <v>639</v>
      </c>
      <c r="C24" s="74" t="n">
        <v>0</v>
      </c>
      <c r="D24" s="898" t="n">
        <f aca="false">PGL_Requirements!D8/1000</f>
        <v>0</v>
      </c>
      <c r="E24" s="889"/>
      <c r="F24" s="890" t="s">
        <v>640</v>
      </c>
      <c r="G24" s="74"/>
      <c r="H24" s="898" t="n">
        <f aca="false">PGL_Requirements!F8/1000</f>
        <v>0</v>
      </c>
      <c r="I24" s="889"/>
    </row>
    <row r="25" customFormat="false" ht="15.75" hidden="false" customHeight="true" outlineLevel="0" collapsed="false">
      <c r="B25" s="900" t="s">
        <v>641</v>
      </c>
      <c r="C25" s="901" t="n">
        <f aca="false">C22+C23-D24</f>
        <v>0</v>
      </c>
      <c r="D25" s="902"/>
      <c r="E25" s="903" t="n">
        <f aca="false">AVERAGE(C25/24)</f>
        <v>0</v>
      </c>
      <c r="F25" s="365" t="s">
        <v>642</v>
      </c>
      <c r="G25" s="929" t="n">
        <f aca="false">G22+G23-H24+G20</f>
        <v>0</v>
      </c>
      <c r="H25" s="411"/>
      <c r="I25" s="930" t="n">
        <f aca="false">AVERAGE(G25/24)</f>
        <v>0</v>
      </c>
    </row>
    <row r="26" customFormat="false" ht="15.75" hidden="false" customHeight="true" outlineLevel="0" collapsed="false">
      <c r="B26" s="0" t="s">
        <v>643</v>
      </c>
    </row>
    <row r="27" customFormat="false" ht="15.75" hidden="false" customHeight="true" outlineLevel="0" collapsed="false">
      <c r="B27" s="0" t="s">
        <v>644</v>
      </c>
    </row>
    <row r="28" customFormat="false" ht="15.75" hidden="false" customHeight="true" outlineLevel="0" collapsed="false">
      <c r="A28" s="0" t="s">
        <v>0</v>
      </c>
    </row>
    <row r="29" customFormat="false" ht="15.75" hidden="false" customHeight="true" outlineLevel="0" collapsed="false"/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645</v>
      </c>
    </row>
    <row r="54" customFormat="false" ht="15" hidden="false" customHeight="false" outlineLevel="0" collapsed="false">
      <c r="A54" s="0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7" colorId="64" zoomScale="100" zoomScaleNormal="100" zoomScalePageLayoutView="100" workbookViewId="0">
      <selection pane="topLeft" activeCell="C39" activeCellId="0" sqref="C39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931" width="8.65"/>
    <col collapsed="false" customWidth="true" hidden="false" outlineLevel="0" max="2" min="2" style="931" width="8.1"/>
    <col collapsed="false" customWidth="true" hidden="false" outlineLevel="0" max="3" min="3" style="931" width="7.88"/>
    <col collapsed="false" customWidth="true" hidden="false" outlineLevel="0" max="4" min="4" style="931" width="5.88"/>
    <col collapsed="false" customWidth="true" hidden="false" outlineLevel="0" max="5" min="5" style="931" width="4.44"/>
    <col collapsed="false" customWidth="true" hidden="false" outlineLevel="0" max="6" min="6" style="931" width="5.21"/>
    <col collapsed="false" customWidth="true" hidden="false" outlineLevel="0" max="7" min="7" style="931" width="8.99"/>
    <col collapsed="false" customWidth="false" hidden="false" outlineLevel="0" max="11" min="8" style="931" width="8.88"/>
    <col collapsed="false" customWidth="true" hidden="false" outlineLevel="0" max="12" min="12" style="931" width="14.88"/>
    <col collapsed="false" customWidth="true" hidden="false" outlineLevel="0" max="13" min="13" style="931" width="5.65"/>
    <col collapsed="false" customWidth="false" hidden="false" outlineLevel="0" max="257" min="14" style="931" width="8.88"/>
  </cols>
  <sheetData>
    <row r="1" customFormat="false" ht="22.5" hidden="false" customHeight="false" outlineLevel="0" collapsed="false">
      <c r="A1" s="932"/>
      <c r="B1" s="933"/>
      <c r="C1" s="934" t="s">
        <v>646</v>
      </c>
      <c r="D1" s="935"/>
      <c r="E1" s="935" t="s">
        <v>647</v>
      </c>
      <c r="F1" s="935"/>
      <c r="G1" s="936" t="s">
        <v>648</v>
      </c>
      <c r="H1" s="937" t="n">
        <f aca="false">Weather_Input!A6</f>
        <v>37000</v>
      </c>
      <c r="I1" s="938"/>
      <c r="J1" s="939"/>
      <c r="K1" s="939"/>
    </row>
    <row r="2" customFormat="false" ht="16.5" hidden="false" customHeight="true" outlineLevel="0" collapsed="false">
      <c r="A2" s="940" t="s">
        <v>649</v>
      </c>
      <c r="C2" s="941" t="n">
        <v>274</v>
      </c>
      <c r="F2" s="942" t="n">
        <v>278</v>
      </c>
      <c r="H2" s="939"/>
      <c r="I2" s="938" t="s">
        <v>650</v>
      </c>
      <c r="J2" s="943" t="n">
        <f aca="false">NSG_Supplies!Q8/1000</f>
        <v>20</v>
      </c>
    </row>
    <row r="3" customFormat="false" ht="16.5" hidden="false" customHeight="true" outlineLevel="0" collapsed="false">
      <c r="A3" s="944" t="n">
        <f aca="false">PGL_Supplies!J8/1000</f>
        <v>0</v>
      </c>
      <c r="C3" s="931" t="s">
        <v>0</v>
      </c>
      <c r="G3" s="938"/>
      <c r="H3" s="939"/>
    </row>
    <row r="4" customFormat="false" ht="16.5" hidden="false" customHeight="true" outlineLevel="0" collapsed="false">
      <c r="A4" s="945" t="s">
        <v>651</v>
      </c>
      <c r="G4" s="946"/>
      <c r="H4" s="939"/>
      <c r="I4" s="938"/>
      <c r="J4" s="938" t="s">
        <v>652</v>
      </c>
      <c r="K4" s="943" t="n">
        <f aca="false">Billy_Sheet!C5</f>
        <v>20</v>
      </c>
      <c r="N4" s="943"/>
    </row>
    <row r="5" customFormat="false" ht="16.5" hidden="false" customHeight="true" outlineLevel="0" collapsed="false">
      <c r="A5" s="947" t="n">
        <f aca="false">PGL_Supplies!K7/1000</f>
        <v>0</v>
      </c>
      <c r="B5" s="948"/>
      <c r="G5" s="933"/>
      <c r="H5" s="943"/>
      <c r="U5" s="939"/>
      <c r="V5" s="939"/>
    </row>
    <row r="6" customFormat="false" ht="16.5" hidden="false" customHeight="true" outlineLevel="0" collapsed="false">
      <c r="A6" s="949" t="s">
        <v>653</v>
      </c>
      <c r="G6" s="933"/>
      <c r="H6" s="943"/>
      <c r="U6" s="939"/>
      <c r="V6" s="943"/>
    </row>
    <row r="7" customFormat="false" ht="18.75" hidden="false" customHeight="true" outlineLevel="0" collapsed="false">
      <c r="A7" s="943" t="n">
        <f aca="false">Billy_Sheet!G14</f>
        <v>140</v>
      </c>
      <c r="G7" s="933"/>
      <c r="H7" s="950"/>
      <c r="U7" s="939"/>
      <c r="V7" s="950"/>
    </row>
    <row r="8" customFormat="false" ht="14.45" hidden="false" customHeight="true" outlineLevel="0" collapsed="false">
      <c r="A8" s="938" t="s">
        <v>95</v>
      </c>
      <c r="G8" s="933"/>
      <c r="H8" s="938" t="s">
        <v>406</v>
      </c>
      <c r="I8" s="938"/>
      <c r="K8" s="938"/>
      <c r="L8" s="938"/>
      <c r="N8" s="938"/>
      <c r="O8" s="938"/>
      <c r="U8" s="939"/>
      <c r="V8" s="943"/>
    </row>
    <row r="9" customFormat="false" ht="14.45" hidden="false" customHeight="true" outlineLevel="0" collapsed="false">
      <c r="A9" s="943" t="n">
        <f aca="false">PGL_Supplies!I8/1000</f>
        <v>10</v>
      </c>
      <c r="H9" s="943" t="n">
        <v>0</v>
      </c>
      <c r="I9" s="951"/>
      <c r="K9" s="938" t="s">
        <v>654</v>
      </c>
      <c r="L9" s="943" t="n">
        <f aca="false">NSG_Deliveries!C6/1000</f>
        <v>52</v>
      </c>
      <c r="N9" s="938"/>
      <c r="O9" s="943"/>
      <c r="U9" s="939"/>
      <c r="V9" s="943"/>
    </row>
    <row r="10" customFormat="false" ht="18" hidden="false" customHeight="true" outlineLevel="0" collapsed="false">
      <c r="A10" s="938" t="s">
        <v>86</v>
      </c>
      <c r="H10" s="952" t="s">
        <v>655</v>
      </c>
      <c r="U10" s="939"/>
      <c r="V10" s="943"/>
    </row>
    <row r="11" customFormat="false" ht="14.45" hidden="false" customHeight="true" outlineLevel="0" collapsed="false">
      <c r="A11" s="943" t="n">
        <f aca="false">Billy_Sheet!C20</f>
        <v>71.16</v>
      </c>
      <c r="B11" s="951"/>
      <c r="H11" s="943" t="n">
        <f aca="false">NSG_Supplies!U8/1000</f>
        <v>0</v>
      </c>
      <c r="K11" s="933" t="s">
        <v>656</v>
      </c>
      <c r="L11" s="946" t="n">
        <f aca="false">SUM(K4+K17+K19+H11+H9-L9)</f>
        <v>29.203</v>
      </c>
      <c r="N11" s="933"/>
      <c r="O11" s="946"/>
      <c r="U11" s="939"/>
      <c r="V11" s="953"/>
    </row>
    <row r="12" customFormat="false" ht="14.45" hidden="false" customHeight="true" outlineLevel="0" collapsed="false">
      <c r="A12" s="938" t="s">
        <v>657</v>
      </c>
      <c r="H12" s="943"/>
      <c r="U12" s="939"/>
      <c r="V12" s="943"/>
    </row>
    <row r="13" customFormat="false" ht="14.45" hidden="false" customHeight="true" outlineLevel="0" collapsed="false">
      <c r="A13" s="947" t="n">
        <f aca="false">PGL_Supplies!Y8/1000</f>
        <v>144.909</v>
      </c>
      <c r="H13" s="943"/>
      <c r="U13" s="939"/>
      <c r="V13" s="943"/>
    </row>
    <row r="14" customFormat="false" ht="14.45" hidden="false" customHeight="true" outlineLevel="0" collapsed="false">
      <c r="H14" s="943"/>
      <c r="U14" s="939"/>
      <c r="V14" s="943"/>
    </row>
    <row r="15" customFormat="false" ht="15.6" hidden="false" customHeight="true" outlineLevel="0" collapsed="false">
      <c r="B15" s="931" t="s">
        <v>0</v>
      </c>
      <c r="C15" s="954" t="n">
        <v>293</v>
      </c>
      <c r="F15" s="954" t="n">
        <v>293</v>
      </c>
      <c r="H15" s="946"/>
      <c r="U15" s="955"/>
      <c r="V15" s="946"/>
    </row>
    <row r="16" customFormat="false" ht="42.75" hidden="false" customHeight="true" outlineLevel="0" collapsed="false">
      <c r="A16" s="956"/>
      <c r="B16" s="946"/>
      <c r="C16" s="957"/>
      <c r="D16" s="958"/>
      <c r="E16" s="958"/>
      <c r="F16" s="957"/>
    </row>
    <row r="17" customFormat="false" ht="38.25" hidden="false" customHeight="true" outlineLevel="0" collapsed="false">
      <c r="B17" s="958"/>
      <c r="C17" s="958"/>
      <c r="D17" s="959"/>
      <c r="E17" s="958"/>
      <c r="F17" s="958"/>
      <c r="G17" s="958"/>
      <c r="J17" s="938" t="s">
        <v>658</v>
      </c>
      <c r="K17" s="943" t="n">
        <f aca="false">NSG_Supplies!L8/1000</f>
        <v>0</v>
      </c>
      <c r="N17" s="943"/>
    </row>
    <row r="18" customFormat="false" ht="15" hidden="false" customHeight="true" outlineLevel="0" collapsed="false">
      <c r="A18" s="960"/>
      <c r="C18" s="954" t="n">
        <v>334</v>
      </c>
      <c r="D18" s="958"/>
      <c r="E18" s="958"/>
      <c r="F18" s="942" t="n">
        <v>801</v>
      </c>
    </row>
    <row r="19" customFormat="false" ht="11.25" hidden="false" customHeight="false" outlineLevel="0" collapsed="false">
      <c r="A19" s="949" t="s">
        <v>659</v>
      </c>
      <c r="C19" s="931" t="s">
        <v>0</v>
      </c>
      <c r="J19" s="938" t="s">
        <v>660</v>
      </c>
      <c r="K19" s="943" t="n">
        <f aca="false">NSG_Supplies!R8/1000+NSG_Supplies!F8/1000-NSG_Requirements!H8/1000</f>
        <v>61.203</v>
      </c>
      <c r="N19" s="961"/>
    </row>
    <row r="20" customFormat="false" ht="17.25" hidden="false" customHeight="true" outlineLevel="0" collapsed="false">
      <c r="A20" s="943" t="n">
        <f aca="false">Billy_Sheet!G15</f>
        <v>197.217</v>
      </c>
      <c r="G20" s="34"/>
      <c r="J20" s="938"/>
    </row>
    <row r="21" customFormat="false" ht="11.25" hidden="false" customHeight="true" outlineLevel="0" collapsed="false">
      <c r="G21" s="950"/>
      <c r="H21" s="950"/>
      <c r="I21" s="933"/>
      <c r="J21" s="946"/>
    </row>
    <row r="22" customFormat="false" ht="11.25" hidden="false" customHeight="false" outlineLevel="0" collapsed="false">
      <c r="A22" s="939" t="s">
        <v>409</v>
      </c>
      <c r="G22" s="938"/>
      <c r="I22" s="933"/>
      <c r="J22" s="938"/>
      <c r="M22" s="933"/>
      <c r="N22" s="946"/>
    </row>
    <row r="23" customFormat="false" ht="11.25" hidden="false" customHeight="false" outlineLevel="0" collapsed="false">
      <c r="A23" s="943" t="n">
        <f aca="false">Billy_Sheet!C25</f>
        <v>0</v>
      </c>
      <c r="G23" s="938" t="s">
        <v>661</v>
      </c>
      <c r="H23" s="939"/>
      <c r="I23" s="933"/>
      <c r="J23" s="946"/>
      <c r="M23" s="938"/>
      <c r="N23" s="946"/>
      <c r="Q23" s="962"/>
    </row>
    <row r="24" customFormat="false" ht="9" hidden="false" customHeight="true" outlineLevel="0" collapsed="false">
      <c r="G24" s="946" t="n">
        <v>0</v>
      </c>
      <c r="H24" s="933"/>
      <c r="I24" s="933"/>
      <c r="J24" s="933"/>
    </row>
    <row r="25" customFormat="false" ht="10.5" hidden="false" customHeight="true" outlineLevel="0" collapsed="false">
      <c r="A25" s="939" t="s">
        <v>411</v>
      </c>
      <c r="B25" s="939"/>
      <c r="C25" s="939"/>
      <c r="D25" s="939"/>
      <c r="F25" s="939"/>
      <c r="G25" s="938" t="s">
        <v>662</v>
      </c>
      <c r="H25" s="933"/>
      <c r="I25" s="933"/>
      <c r="J25" s="933"/>
    </row>
    <row r="26" customFormat="false" ht="14.25" hidden="false" customHeight="true" outlineLevel="0" collapsed="false">
      <c r="A26" s="943" t="n">
        <f aca="false">Billy_Sheet!G25</f>
        <v>0</v>
      </c>
      <c r="B26" s="939"/>
      <c r="C26" s="933"/>
      <c r="D26" s="933"/>
      <c r="F26" s="933"/>
      <c r="G26" s="963" t="n">
        <v>0</v>
      </c>
      <c r="H26" s="933"/>
      <c r="I26" s="933"/>
      <c r="J26" s="933" t="s">
        <v>663</v>
      </c>
      <c r="K26" s="964" t="n">
        <f aca="false">PGL_Deliveries!C6/1000</f>
        <v>370</v>
      </c>
      <c r="L26" s="938" t="s">
        <v>654</v>
      </c>
      <c r="M26" s="943" t="n">
        <f aca="false">NSG_Deliveries!C6/1000</f>
        <v>52</v>
      </c>
      <c r="N26" s="943"/>
    </row>
    <row r="27" customFormat="false" ht="8.25" hidden="false" customHeight="true" outlineLevel="0" collapsed="false">
      <c r="A27" s="933"/>
      <c r="B27" s="965"/>
      <c r="C27" s="933"/>
      <c r="D27" s="933"/>
      <c r="F27" s="933"/>
      <c r="G27" s="933"/>
      <c r="H27" s="966"/>
      <c r="I27" s="933"/>
      <c r="J27" s="966"/>
    </row>
    <row r="28" customFormat="false" ht="12.75" hidden="false" customHeight="true" outlineLevel="0" collapsed="false">
      <c r="A28" s="935" t="s">
        <v>664</v>
      </c>
      <c r="B28" s="943"/>
      <c r="C28" s="939"/>
      <c r="D28" s="933"/>
      <c r="F28" s="938"/>
      <c r="G28" s="955" t="s">
        <v>665</v>
      </c>
      <c r="H28" s="34"/>
      <c r="J28" s="933" t="s">
        <v>666</v>
      </c>
      <c r="K28" s="946" t="n">
        <f aca="false">SUM(A42)</f>
        <v>376.113</v>
      </c>
      <c r="L28" s="933" t="s">
        <v>667</v>
      </c>
      <c r="M28" s="946" t="n">
        <f aca="false">SUM(J2+K17+K19+H11+H9-M26)</f>
        <v>29.203</v>
      </c>
      <c r="N28" s="946"/>
    </row>
    <row r="29" customFormat="false" ht="11.25" hidden="false" customHeight="false" outlineLevel="0" collapsed="false">
      <c r="A29" s="943" t="n">
        <f aca="false">PGL_Supplies!M8/1000</f>
        <v>0</v>
      </c>
      <c r="B29" s="943"/>
      <c r="C29" s="933"/>
      <c r="D29" s="967"/>
      <c r="F29" s="968" t="n">
        <f aca="false">PGL_Requirements!A7</f>
        <v>36999</v>
      </c>
      <c r="G29" s="943" t="n">
        <f aca="false">PGL_Requirements!H7/1000</f>
        <v>0</v>
      </c>
      <c r="H29" s="950"/>
      <c r="J29" s="933" t="s">
        <v>668</v>
      </c>
      <c r="K29" s="943" t="n">
        <f aca="false">PGL_Supplies!AC8/1000+PGL_Supplies!L8/1000-PGL_Requirements!O8/1000</f>
        <v>179.557</v>
      </c>
    </row>
    <row r="30" customFormat="false" ht="10.5" hidden="false" customHeight="true" outlineLevel="0" collapsed="false">
      <c r="A30" s="969"/>
      <c r="B30" s="943"/>
      <c r="C30" s="933"/>
      <c r="D30" s="943"/>
      <c r="F30" s="968" t="n">
        <f aca="false">PGL_Requirements!A8</f>
        <v>37000</v>
      </c>
      <c r="G30" s="943" t="n">
        <f aca="false">PGL_Requirements!H8/1000</f>
        <v>3.173</v>
      </c>
    </row>
    <row r="31" customFormat="false" ht="17.25" hidden="false" customHeight="true" outlineLevel="0" collapsed="false">
      <c r="A31" s="935" t="s">
        <v>669</v>
      </c>
      <c r="B31" s="970"/>
      <c r="C31" s="971"/>
      <c r="D31" s="946"/>
      <c r="G31" s="955" t="s">
        <v>670</v>
      </c>
      <c r="H31" s="946"/>
      <c r="J31" s="933" t="s">
        <v>656</v>
      </c>
      <c r="K31" s="946" t="n">
        <f aca="false">SUM(K28+K29-K26)</f>
        <v>185.67</v>
      </c>
    </row>
    <row r="32" customFormat="false" ht="11.25" hidden="false" customHeight="false" outlineLevel="0" collapsed="false">
      <c r="A32" s="943" t="n">
        <f aca="false">PGL_Supplies!H8/1000</f>
        <v>1</v>
      </c>
      <c r="G32" s="943" t="n">
        <f aca="false">PGL_Requirements!P8/1000</f>
        <v>185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938" t="s">
        <v>671</v>
      </c>
      <c r="G34" s="933" t="s">
        <v>672</v>
      </c>
    </row>
    <row r="35" customFormat="false" ht="11.25" hidden="false" customHeight="false" outlineLevel="0" collapsed="false">
      <c r="A35" s="963" t="n">
        <v>0</v>
      </c>
      <c r="G35" s="943" t="n">
        <f aca="false">PGL_Requirements!B8/1000</f>
        <v>0</v>
      </c>
    </row>
    <row r="36" customFormat="false" ht="11.25" hidden="false" customHeight="false" outlineLevel="0" collapsed="false">
      <c r="G36" s="943"/>
    </row>
    <row r="37" customFormat="false" ht="11.25" hidden="false" customHeight="false" outlineLevel="0" collapsed="false">
      <c r="C37" s="938" t="s">
        <v>673</v>
      </c>
      <c r="F37" s="938" t="s">
        <v>674</v>
      </c>
      <c r="G37" s="943"/>
    </row>
    <row r="38" customFormat="false" ht="11.25" hidden="false" customHeight="false" outlineLevel="0" collapsed="false">
      <c r="C38" s="954" t="n">
        <v>338</v>
      </c>
      <c r="F38" s="954" t="n">
        <v>752</v>
      </c>
    </row>
    <row r="39" customFormat="false" ht="11.25" hidden="false" customHeight="false" outlineLevel="0" collapsed="false">
      <c r="A39" s="940" t="s">
        <v>675</v>
      </c>
      <c r="E39" s="939" t="s">
        <v>676</v>
      </c>
      <c r="F39" s="939"/>
    </row>
    <row r="40" customFormat="false" ht="11.25" hidden="false" customHeight="false" outlineLevel="0" collapsed="false">
      <c r="A40" s="946" t="n">
        <f aca="false">SUM(A3:A35)</f>
        <v>564.286</v>
      </c>
      <c r="B40" s="953"/>
      <c r="C40" s="972"/>
      <c r="D40" s="953"/>
      <c r="E40" s="953"/>
      <c r="F40" s="943"/>
      <c r="G40" s="943" t="n">
        <f aca="false">SUM(G30:G35)</f>
        <v>188.173</v>
      </c>
      <c r="H40" s="953"/>
      <c r="I40" s="972"/>
    </row>
    <row r="41" customFormat="false" ht="11.25" hidden="false" customHeight="false" outlineLevel="0" collapsed="false">
      <c r="A41" s="973" t="s">
        <v>677</v>
      </c>
      <c r="B41" s="943"/>
      <c r="C41" s="953"/>
      <c r="D41" s="953"/>
      <c r="E41" s="953"/>
      <c r="F41" s="953"/>
      <c r="G41" s="953"/>
      <c r="H41" s="953"/>
      <c r="I41" s="972"/>
    </row>
    <row r="42" customFormat="false" ht="11.25" hidden="false" customHeight="false" outlineLevel="0" collapsed="false">
      <c r="A42" s="943" t="n">
        <f aca="false">SUM(A40-G40)</f>
        <v>376.113</v>
      </c>
      <c r="B42" s="943"/>
      <c r="C42" s="953"/>
      <c r="D42" s="953"/>
      <c r="E42" s="953"/>
      <c r="F42" s="974"/>
      <c r="G42" s="975" t="s">
        <v>678</v>
      </c>
      <c r="H42" s="976"/>
      <c r="I42" s="977"/>
      <c r="J42" s="976"/>
      <c r="K42" s="958"/>
    </row>
    <row r="43" customFormat="false" ht="14.25" hidden="false" customHeight="true" outlineLevel="0" collapsed="false">
      <c r="A43" s="943"/>
      <c r="B43" s="943"/>
      <c r="C43" s="943"/>
      <c r="D43" s="943"/>
      <c r="E43" s="974"/>
      <c r="F43" s="965" t="s">
        <v>679</v>
      </c>
      <c r="G43" s="974" t="s">
        <v>680</v>
      </c>
      <c r="I43" s="943"/>
    </row>
    <row r="44" customFormat="false" ht="12.75" hidden="false" customHeight="true" outlineLevel="0" collapsed="false">
      <c r="A44" s="973" t="s">
        <v>681</v>
      </c>
      <c r="B44" s="943" t="s">
        <v>682</v>
      </c>
      <c r="C44" s="943" t="s">
        <v>683</v>
      </c>
      <c r="D44" s="943" t="s">
        <v>684</v>
      </c>
      <c r="E44" s="978"/>
      <c r="F44" s="978" t="s">
        <v>685</v>
      </c>
      <c r="G44" s="953" t="s">
        <v>686</v>
      </c>
      <c r="H44" s="939" t="s">
        <v>687</v>
      </c>
      <c r="I44" s="943"/>
      <c r="K44" s="939"/>
    </row>
    <row r="45" customFormat="false" ht="11.25" hidden="false" customHeight="false" outlineLevel="0" collapsed="false">
      <c r="A45" s="973" t="s">
        <v>688</v>
      </c>
      <c r="B45" s="979" t="n">
        <v>250</v>
      </c>
      <c r="C45" s="979" t="n">
        <v>410</v>
      </c>
      <c r="D45" s="980" t="n">
        <f aca="false">SUM(F2+F15)/2</f>
        <v>285.5</v>
      </c>
      <c r="E45" s="981"/>
      <c r="F45" s="982" t="n">
        <v>0.067</v>
      </c>
      <c r="G45" s="983" t="n">
        <f aca="false">(C45-D45)*F45</f>
        <v>8.3415</v>
      </c>
      <c r="H45" s="983" t="n">
        <f aca="false">(D45-B45)*F45</f>
        <v>2.3785</v>
      </c>
      <c r="I45" s="943"/>
      <c r="J45" s="984"/>
    </row>
    <row r="46" customFormat="false" ht="11.25" hidden="false" customHeight="false" outlineLevel="0" collapsed="false">
      <c r="A46" s="939" t="s">
        <v>689</v>
      </c>
      <c r="B46" s="985" t="n">
        <v>781</v>
      </c>
      <c r="C46" s="979" t="n">
        <v>781</v>
      </c>
      <c r="D46" s="980" t="n">
        <f aca="false">SUM(F18+F38)/2</f>
        <v>776.5</v>
      </c>
      <c r="E46" s="981"/>
      <c r="F46" s="982" t="n">
        <v>0.139</v>
      </c>
      <c r="G46" s="983" t="n">
        <f aca="false">(C46-D46)*F46</f>
        <v>0.6255</v>
      </c>
      <c r="H46" s="983" t="n">
        <f aca="false">(D46-B46)*F46</f>
        <v>-0.6255</v>
      </c>
      <c r="I46" s="943"/>
    </row>
    <row r="47" customFormat="false" ht="11.25" hidden="false" customHeight="false" outlineLevel="0" collapsed="false">
      <c r="A47" s="939" t="s">
        <v>690</v>
      </c>
      <c r="B47" s="985" t="n">
        <v>250</v>
      </c>
      <c r="C47" s="979" t="n">
        <v>410</v>
      </c>
      <c r="D47" s="980" t="n">
        <f aca="false">SUM(C2+C15)/2</f>
        <v>283.5</v>
      </c>
      <c r="E47" s="981"/>
      <c r="F47" s="982" t="n">
        <v>0.141</v>
      </c>
      <c r="G47" s="983" t="n">
        <f aca="false">(C47-D47)*F47</f>
        <v>17.8365</v>
      </c>
      <c r="H47" s="983" t="n">
        <f aca="false">(D47-B47)*F47</f>
        <v>4.7235</v>
      </c>
      <c r="I47" s="943"/>
    </row>
    <row r="48" customFormat="false" ht="11.25" hidden="false" customHeight="false" outlineLevel="0" collapsed="false">
      <c r="A48" s="939" t="s">
        <v>691</v>
      </c>
      <c r="B48" s="985" t="n">
        <v>290</v>
      </c>
      <c r="C48" s="979" t="n">
        <v>750</v>
      </c>
      <c r="D48" s="980" t="n">
        <f aca="false">SUM(C18+C38)/2</f>
        <v>336</v>
      </c>
      <c r="E48" s="981"/>
      <c r="F48" s="982" t="n">
        <v>0.161</v>
      </c>
      <c r="G48" s="983" t="n">
        <f aca="false">(C48-D48)*F48</f>
        <v>66.654</v>
      </c>
      <c r="H48" s="983" t="n">
        <f aca="false">(D48-B48)*F48</f>
        <v>7.406</v>
      </c>
    </row>
    <row r="49" customFormat="false" ht="11.25" hidden="false" customHeight="false" outlineLevel="0" collapsed="false">
      <c r="B49" s="951"/>
      <c r="C49" s="951"/>
      <c r="D49" s="951"/>
      <c r="E49" s="951"/>
      <c r="F49" s="986" t="s">
        <v>692</v>
      </c>
      <c r="G49" s="983" t="n">
        <f aca="false">SUM(G45:G48)</f>
        <v>93.4575</v>
      </c>
      <c r="H49" s="983" t="n">
        <f aca="false">SUM(H45:H48)</f>
        <v>13.8825</v>
      </c>
    </row>
    <row r="55" customFormat="false" ht="11.25" hidden="false" customHeight="false" outlineLevel="0" collapsed="false">
      <c r="A55" s="987"/>
      <c r="G55" s="9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3" width="7.99"/>
    <col collapsed="false" customWidth="true" hidden="false" outlineLevel="0" max="2" min="2" style="13" width="3.77"/>
    <col collapsed="false" customWidth="true" hidden="false" outlineLevel="0" max="3" min="3" style="13" width="3.55"/>
    <col collapsed="false" customWidth="true" hidden="false" outlineLevel="0" max="4" min="4" style="13" width="8.65"/>
    <col collapsed="false" customWidth="true" hidden="false" outlineLevel="0" max="5" min="5" style="13" width="6.21"/>
    <col collapsed="false" customWidth="true" hidden="false" outlineLevel="0" max="6" min="6" style="13" width="8.32"/>
    <col collapsed="false" customWidth="true" hidden="false" outlineLevel="0" max="7" min="7" style="13" width="6.77"/>
    <col collapsed="false" customWidth="true" hidden="false" outlineLevel="0" max="8" min="8" style="13" width="5.32"/>
    <col collapsed="false" customWidth="true" hidden="false" outlineLevel="0" max="9" min="9" style="13" width="56.55"/>
    <col collapsed="false" customWidth="true" hidden="false" outlineLevel="0" max="10" min="10" style="13" width="58.1"/>
    <col collapsed="false" customWidth="true" hidden="true" outlineLevel="0" max="11" min="11" style="13" width="3.65"/>
    <col collapsed="false" customWidth="true" hidden="false" outlineLevel="0" max="12" min="12" style="13" width="8.99"/>
    <col collapsed="false" customWidth="false" hidden="false" outlineLevel="0" max="33" min="13" style="13" width="3.88"/>
    <col collapsed="false" customWidth="true" hidden="false" outlineLevel="0" max="34" min="34" style="13" width="7.11"/>
    <col collapsed="false" customWidth="false" hidden="false" outlineLevel="0" max="257" min="35" style="13" width="3.88"/>
  </cols>
  <sheetData>
    <row r="1" customFormat="false" ht="12.75" hidden="false" customHeight="false" outlineLevel="0" collapsed="false">
      <c r="A1" s="14" t="s">
        <v>8</v>
      </c>
      <c r="AH1" s="13" t="s">
        <v>9</v>
      </c>
    </row>
    <row r="2" customFormat="false" ht="12.75" hidden="false" customHeight="false" outlineLevel="0" collapsed="false">
      <c r="E2" s="15" t="s">
        <v>10</v>
      </c>
      <c r="F2" s="15" t="s">
        <v>10</v>
      </c>
      <c r="G2" s="15" t="s">
        <v>10</v>
      </c>
      <c r="H2" s="15"/>
      <c r="L2" s="15"/>
      <c r="AH2" s="13" t="s">
        <v>11</v>
      </c>
    </row>
    <row r="3" customFormat="false" ht="12.75" hidden="false" customHeight="false" outlineLevel="0" collapsed="false">
      <c r="B3" s="15"/>
      <c r="C3" s="15"/>
      <c r="D3" s="15" t="s">
        <v>12</v>
      </c>
      <c r="E3" s="15" t="s">
        <v>12</v>
      </c>
      <c r="F3" s="15" t="s">
        <v>13</v>
      </c>
      <c r="G3" s="15" t="s">
        <v>14</v>
      </c>
      <c r="H3" s="15" t="s">
        <v>15</v>
      </c>
      <c r="L3" s="15" t="s">
        <v>16</v>
      </c>
      <c r="AH3" s="13" t="s">
        <v>17</v>
      </c>
    </row>
    <row r="4" customFormat="false" ht="12.75" hidden="false" customHeight="false" outlineLevel="0" collapsed="false">
      <c r="A4" s="16"/>
      <c r="B4" s="15" t="s">
        <v>18</v>
      </c>
      <c r="C4" s="15" t="s">
        <v>19</v>
      </c>
      <c r="D4" s="15" t="s">
        <v>20</v>
      </c>
      <c r="E4" s="15" t="s">
        <v>21</v>
      </c>
      <c r="F4" s="15" t="s">
        <v>22</v>
      </c>
      <c r="G4" s="15" t="s">
        <v>15</v>
      </c>
      <c r="H4" s="15" t="s">
        <v>23</v>
      </c>
      <c r="I4" s="15" t="s">
        <v>24</v>
      </c>
      <c r="J4" s="15" t="s">
        <v>25</v>
      </c>
      <c r="K4" s="15" t="s">
        <v>26</v>
      </c>
      <c r="L4" s="15" t="s">
        <v>27</v>
      </c>
      <c r="AH4" s="13" t="s">
        <v>28</v>
      </c>
    </row>
    <row r="5" customFormat="false" ht="16.5" hidden="false" customHeight="true" outlineLevel="0" collapsed="false">
      <c r="A5" s="17" t="n">
        <v>36999</v>
      </c>
      <c r="B5" s="18" t="n">
        <v>54</v>
      </c>
      <c r="C5" s="19" t="n">
        <v>35</v>
      </c>
      <c r="D5" s="19" t="n">
        <v>6</v>
      </c>
      <c r="E5" s="18" t="s">
        <v>29</v>
      </c>
      <c r="F5" s="18" t="n">
        <v>292</v>
      </c>
      <c r="G5" s="18" t="n">
        <v>6325</v>
      </c>
      <c r="H5" s="18" t="n">
        <v>24</v>
      </c>
      <c r="I5" s="20" t="s">
        <v>30</v>
      </c>
      <c r="J5" s="20" t="s">
        <v>31</v>
      </c>
      <c r="K5" s="18" t="n">
        <v>4</v>
      </c>
      <c r="L5" s="18" t="n">
        <v>1</v>
      </c>
      <c r="N5" s="13" t="str">
        <f aca="false">I5&amp;" "&amp;I5</f>
        <v>MOSTLY SUNNY AND MILD.  LOWER TEMPS ALONG LAKE MICHIGAN WITH LAKE   MOSTLY SUNNY AND MILD.  LOWER TEMPS ALONG LAKE MICHIGAN WITH LAKE  </v>
      </c>
      <c r="AE5" s="13" t="n">
        <v>1</v>
      </c>
      <c r="AH5" s="13" t="s">
        <v>32</v>
      </c>
    </row>
    <row r="6" customFormat="false" ht="16.5" hidden="false" customHeight="true" outlineLevel="0" collapsed="false">
      <c r="A6" s="17" t="n">
        <f aca="false">A5+1</f>
        <v>37000</v>
      </c>
      <c r="B6" s="18" t="n">
        <v>67</v>
      </c>
      <c r="C6" s="19" t="n">
        <v>50</v>
      </c>
      <c r="D6" s="19" t="n">
        <v>14</v>
      </c>
      <c r="E6" s="18" t="s">
        <v>0</v>
      </c>
      <c r="F6" s="18" t="s">
        <v>0</v>
      </c>
      <c r="G6" s="18"/>
      <c r="H6" s="18" t="s">
        <v>0</v>
      </c>
      <c r="I6" s="20" t="s">
        <v>33</v>
      </c>
      <c r="J6" s="20" t="s">
        <v>0</v>
      </c>
      <c r="K6" s="18" t="n">
        <v>1</v>
      </c>
      <c r="L6" s="18" t="s">
        <v>34</v>
      </c>
      <c r="N6" s="13" t="str">
        <f aca="false">I6&amp;" "&amp;J6</f>
        <v>BECOMING MOSTLY CLOUDY WITH CHANCE OF SHOWERS AFTER DARK.  </v>
      </c>
      <c r="AE6" s="13" t="n">
        <v>1</v>
      </c>
      <c r="AH6" s="13" t="s">
        <v>35</v>
      </c>
    </row>
    <row r="7" customFormat="false" ht="16.5" hidden="false" customHeight="true" outlineLevel="0" collapsed="false">
      <c r="A7" s="17" t="n">
        <f aca="false">A6+1</f>
        <v>37001</v>
      </c>
      <c r="B7" s="18" t="n">
        <v>76</v>
      </c>
      <c r="C7" s="19" t="n">
        <v>56</v>
      </c>
      <c r="D7" s="19" t="n">
        <v>15</v>
      </c>
      <c r="E7" s="18" t="s">
        <v>0</v>
      </c>
      <c r="F7" s="18" t="s">
        <v>0</v>
      </c>
      <c r="G7" s="18"/>
      <c r="H7" s="18" t="s">
        <v>0</v>
      </c>
      <c r="I7" s="20" t="s">
        <v>36</v>
      </c>
      <c r="J7" s="20" t="s">
        <v>0</v>
      </c>
      <c r="K7" s="18" t="n">
        <v>2</v>
      </c>
      <c r="L7" s="18" t="s">
        <v>17</v>
      </c>
      <c r="N7" s="13" t="str">
        <f aca="false">I7&amp;" "&amp;J7</f>
        <v>MOSTLY CLOUDY WITH A 50% CHANCE OF SHOWERS AND T-STORMS.  </v>
      </c>
    </row>
    <row r="8" customFormat="false" ht="16.5" hidden="false" customHeight="true" outlineLevel="0" collapsed="false">
      <c r="A8" s="17" t="n">
        <f aca="false">A7+1</f>
        <v>37002</v>
      </c>
      <c r="B8" s="18" t="n">
        <v>80</v>
      </c>
      <c r="C8" s="19" t="n">
        <v>55</v>
      </c>
      <c r="D8" s="19" t="n">
        <v>15</v>
      </c>
      <c r="E8" s="18" t="s">
        <v>0</v>
      </c>
      <c r="F8" s="18" t="s">
        <v>0</v>
      </c>
      <c r="G8" s="18"/>
      <c r="H8" s="18" t="s">
        <v>0</v>
      </c>
      <c r="I8" s="20" t="s">
        <v>37</v>
      </c>
      <c r="J8" s="20" t="s">
        <v>0</v>
      </c>
      <c r="K8" s="18" t="n">
        <v>5</v>
      </c>
      <c r="L8" s="18"/>
      <c r="N8" s="13" t="str">
        <f aca="false">I8&amp;" "&amp;J8</f>
        <v>PARTLY CLOUDY WITH A CHANCE OF SHOWERS AND T-STORMS.   </v>
      </c>
    </row>
    <row r="9" customFormat="false" ht="16.5" hidden="false" customHeight="true" outlineLevel="0" collapsed="false">
      <c r="A9" s="17" t="n">
        <f aca="false">A8+1</f>
        <v>37003</v>
      </c>
      <c r="B9" s="18" t="n">
        <v>70</v>
      </c>
      <c r="C9" s="19" t="n">
        <v>49</v>
      </c>
      <c r="D9" s="19" t="n">
        <v>10</v>
      </c>
      <c r="E9" s="18" t="s">
        <v>0</v>
      </c>
      <c r="F9" s="18" t="s">
        <v>0</v>
      </c>
      <c r="G9" s="18"/>
      <c r="H9" s="18" t="s">
        <v>0</v>
      </c>
      <c r="I9" s="20" t="s">
        <v>38</v>
      </c>
      <c r="J9" s="20" t="s">
        <v>0</v>
      </c>
      <c r="K9" s="18" t="n">
        <v>3</v>
      </c>
      <c r="L9" s="18" t="n">
        <v>0</v>
      </c>
      <c r="M9" s="21"/>
      <c r="N9" s="13" t="str">
        <f aca="false">I10&amp;" "&amp;J9</f>
        <v>MOSTLY CLOUDY WITH A CHANCE OF SHOWERS AND T-STORMS.  </v>
      </c>
    </row>
    <row r="10" customFormat="false" ht="16.5" hidden="false" customHeight="true" outlineLevel="0" collapsed="false">
      <c r="A10" s="17" t="n">
        <f aca="false">A9+1</f>
        <v>37004</v>
      </c>
      <c r="B10" s="18" t="n">
        <v>70</v>
      </c>
      <c r="C10" s="19" t="n">
        <v>49</v>
      </c>
      <c r="D10" s="19" t="n">
        <v>10</v>
      </c>
      <c r="E10" s="18" t="s">
        <v>0</v>
      </c>
      <c r="F10" s="18" t="s">
        <v>0</v>
      </c>
      <c r="G10" s="18"/>
      <c r="H10" s="18" t="s">
        <v>0</v>
      </c>
      <c r="I10" s="20" t="s">
        <v>38</v>
      </c>
      <c r="J10" s="20" t="s">
        <v>0</v>
      </c>
      <c r="K10" s="18" t="n">
        <v>2</v>
      </c>
      <c r="L10" s="18" t="s">
        <v>39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2"/>
      <c r="F12" s="22"/>
      <c r="G12" s="23"/>
      <c r="H12" s="22"/>
      <c r="I12" s="22"/>
      <c r="J12" s="22"/>
    </row>
    <row r="13" customFormat="false" ht="15" hidden="false" customHeight="false" outlineLevel="0" collapsed="false">
      <c r="E13" s="22"/>
      <c r="F13" s="22"/>
      <c r="G13" s="24" t="s">
        <v>0</v>
      </c>
      <c r="H13" s="22"/>
      <c r="I13" s="22"/>
      <c r="J13" s="22"/>
    </row>
    <row r="14" customFormat="false" ht="15" hidden="false" customHeight="false" outlineLevel="0" collapsed="false">
      <c r="E14" s="22"/>
      <c r="F14" s="22"/>
      <c r="G14" s="25"/>
      <c r="H14" s="22"/>
      <c r="I14" s="22"/>
      <c r="J14" s="22"/>
    </row>
    <row r="15" customFormat="false" ht="12.75" hidden="false" customHeight="false" outlineLevel="0" collapsed="false">
      <c r="E15" s="22"/>
      <c r="F15" s="22"/>
      <c r="G15" s="26" t="s">
        <v>0</v>
      </c>
      <c r="H15" s="22"/>
      <c r="I15" s="22"/>
      <c r="J15" s="22"/>
    </row>
    <row r="16" customFormat="false" ht="12.75" hidden="false" customHeight="false" outlineLevel="0" collapsed="false">
      <c r="E16" s="22"/>
      <c r="F16" s="22"/>
      <c r="G16" s="18"/>
      <c r="H16" s="22"/>
      <c r="I16" s="22"/>
      <c r="J16" s="22"/>
    </row>
    <row r="17" customFormat="false" ht="15" hidden="false" customHeight="false" outlineLevel="0" collapsed="false">
      <c r="F17" s="27"/>
      <c r="G17" s="27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29" width="22.11"/>
    <col collapsed="false" customWidth="true" hidden="false" outlineLevel="0" max="2" min="2" style="29" width="9.55"/>
    <col collapsed="false" customWidth="true" hidden="false" outlineLevel="0" max="3" min="3" style="29" width="8.21"/>
    <col collapsed="false" customWidth="true" hidden="false" outlineLevel="0" max="4" min="4" style="29" width="20.88"/>
    <col collapsed="false" customWidth="true" hidden="false" outlineLevel="0" max="5" min="5" style="29" width="10.77"/>
    <col collapsed="false" customWidth="true" hidden="false" outlineLevel="0" max="6" min="6" style="29" width="8.32"/>
    <col collapsed="false" customWidth="true" hidden="false" outlineLevel="0" max="7" min="7" style="29" width="22.43"/>
    <col collapsed="false" customWidth="true" hidden="false" outlineLevel="0" max="8" min="8" style="29" width="21.1"/>
    <col collapsed="false" customWidth="false" hidden="false" outlineLevel="0" max="10" min="9" style="29" width="8.88"/>
    <col collapsed="false" customWidth="true" hidden="false" outlineLevel="0" max="11" min="11" style="29" width="23.1"/>
    <col collapsed="false" customWidth="false" hidden="false" outlineLevel="0" max="257" min="12" style="29" width="8.88"/>
  </cols>
  <sheetData>
    <row r="1" customFormat="false" ht="15" hidden="false" customHeight="false" outlineLevel="0" collapsed="false">
      <c r="A1" s="0"/>
      <c r="B1" s="0"/>
      <c r="D1" s="0"/>
      <c r="E1" s="0" t="s">
        <v>0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988" t="s">
        <v>663</v>
      </c>
      <c r="B2" s="989" t="n">
        <f aca="false">PGL_Deliveries!U5/1000</f>
        <v>4.149</v>
      </c>
      <c r="C2" s="74"/>
      <c r="D2" s="990" t="s">
        <v>648</v>
      </c>
      <c r="E2" s="991" t="n">
        <f aca="false">Weather_Input!A5</f>
        <v>36999</v>
      </c>
      <c r="F2" s="74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853" t="s">
        <v>693</v>
      </c>
      <c r="B3" s="992" t="n">
        <f aca="false">PGL_Supplies!J7/1000</f>
        <v>0</v>
      </c>
      <c r="C3" s="993"/>
      <c r="D3" s="994" t="s">
        <v>276</v>
      </c>
      <c r="E3" s="995" t="n">
        <f aca="false">PGL_Deliveries!T5/1000</f>
        <v>0</v>
      </c>
      <c r="F3" s="996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871"/>
      <c r="B4" s="997"/>
      <c r="C4" s="998"/>
      <c r="D4" s="999"/>
      <c r="E4" s="906"/>
      <c r="F4" s="1000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01" t="s">
        <v>694</v>
      </c>
      <c r="B5" s="898" t="n">
        <f aca="false">PGL_Deliveries!D5/1000</f>
        <v>0</v>
      </c>
      <c r="C5" s="73"/>
      <c r="D5" s="76" t="s">
        <v>695</v>
      </c>
      <c r="E5" s="898" t="n">
        <f aca="false">PGL_Deliveries!O5/1000</f>
        <v>0</v>
      </c>
      <c r="F5" s="1002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03" t="s">
        <v>488</v>
      </c>
      <c r="B6" s="898" t="n">
        <f aca="false">PGL_Deliveries!I5/1000</f>
        <v>0</v>
      </c>
      <c r="C6" s="1004"/>
      <c r="D6" s="76" t="s">
        <v>696</v>
      </c>
      <c r="E6" s="898" t="n">
        <f aca="false">PGL_Deliveries!P5/1000</f>
        <v>0</v>
      </c>
      <c r="F6" s="1002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05" t="s">
        <v>697</v>
      </c>
      <c r="B7" s="1006" t="n">
        <f aca="false">SUM(B5:B6)</f>
        <v>0</v>
      </c>
      <c r="C7" s="1004"/>
      <c r="D7" s="76" t="s">
        <v>437</v>
      </c>
      <c r="E7" s="898" t="n">
        <f aca="false">PGL_Deliveries!E5/1000</f>
        <v>0</v>
      </c>
      <c r="F7" s="1002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07" t="s">
        <v>657</v>
      </c>
      <c r="B8" s="898" t="n">
        <f aca="false">PGL_Deliveries!V5/1000</f>
        <v>223.287</v>
      </c>
      <c r="C8" s="1008"/>
      <c r="D8" s="76" t="s">
        <v>698</v>
      </c>
      <c r="E8" s="898" t="n">
        <f aca="false">PGL_Deliveries!N5/1000</f>
        <v>0</v>
      </c>
      <c r="F8" s="1002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890" t="s">
        <v>86</v>
      </c>
      <c r="B9" s="898" t="n">
        <f aca="false">PGL_Deliveries!W5/1000</f>
        <v>1.145</v>
      </c>
      <c r="C9" s="73"/>
      <c r="D9" s="76" t="s">
        <v>440</v>
      </c>
      <c r="E9" s="898" t="n">
        <f aca="false">PGL_Deliveries!Q5/1000</f>
        <v>0</v>
      </c>
      <c r="F9" s="1002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890" t="s">
        <v>409</v>
      </c>
      <c r="B10" s="898" t="n">
        <f aca="false">PGL_Deliveries!X5/1000</f>
        <v>0</v>
      </c>
      <c r="C10" s="73"/>
      <c r="D10" s="76" t="s">
        <v>441</v>
      </c>
      <c r="E10" s="898" t="n">
        <f aca="false">PGL_Deliveries!S5/1000</f>
        <v>4.149</v>
      </c>
      <c r="F10" s="1002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18" t="s">
        <v>95</v>
      </c>
      <c r="B11" s="898" t="n">
        <f aca="false">(PGL_Deliveries!AJ5+PGL_Deliveries!AK5)/1000</f>
        <v>9.412</v>
      </c>
      <c r="C11" s="73"/>
      <c r="D11" s="76" t="s">
        <v>699</v>
      </c>
      <c r="E11" s="898" t="n">
        <f aca="false">PGL_Deliveries!R5/1000</f>
        <v>0</v>
      </c>
      <c r="F11" s="1002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890" t="s">
        <v>700</v>
      </c>
      <c r="B12" s="898" t="n">
        <f aca="false">PGL_Supplies!K7/1000</f>
        <v>0</v>
      </c>
      <c r="C12" s="73"/>
      <c r="D12" s="76" t="s">
        <v>444</v>
      </c>
      <c r="E12" s="898" t="n">
        <f aca="false">PGL_Deliveries!G5/1000</f>
        <v>0</v>
      </c>
      <c r="F12" s="1002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890" t="s">
        <v>701</v>
      </c>
      <c r="B13" s="898" t="n">
        <f aca="false">PGL_Deliveries!Y5/1000+PGL_Deliveries!Z5/1000+PGL_Deliveries!AA5/1000-PGL_Deliveries!BE5/1000</f>
        <v>307.747</v>
      </c>
      <c r="C13" s="73"/>
      <c r="D13" s="76" t="s">
        <v>445</v>
      </c>
      <c r="E13" s="898" t="n">
        <f aca="false">PGL_Deliveries!F5/1000</f>
        <v>0</v>
      </c>
      <c r="F13" s="1002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890" t="s">
        <v>411</v>
      </c>
      <c r="B14" s="898" t="n">
        <f aca="false">PGL_Deliveries!AD5/1000</f>
        <v>0</v>
      </c>
      <c r="C14" s="73"/>
      <c r="D14" s="76" t="s">
        <v>447</v>
      </c>
      <c r="E14" s="898" t="n">
        <f aca="false">PGL_Deliveries!H5/1000</f>
        <v>0</v>
      </c>
      <c r="F14" s="1002"/>
      <c r="G14" s="898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890" t="s">
        <v>68</v>
      </c>
      <c r="B15" s="898" t="n">
        <f aca="false">PGL_Deliveries!AH5/1000+PGL_Deliveries!AX5/1000+PGL_Deliveries!AT5/1000-PGL_Deliveries!AS5/1000-PGL_Deliveries!AU5/1000+PGL_Deliveries!AE5/1000+PGL_Deliveries!AF5/1000-PGL_Deliveries!AV5/1000</f>
        <v>-256.875</v>
      </c>
      <c r="C15" s="73"/>
      <c r="D15" s="76" t="s">
        <v>449</v>
      </c>
      <c r="E15" s="898" t="n">
        <f aca="false">PGL_Deliveries!K5/1000</f>
        <v>0</v>
      </c>
      <c r="F15" s="1002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890" t="s">
        <v>702</v>
      </c>
      <c r="B16" s="74"/>
      <c r="C16" s="1009" t="n">
        <f aca="false">PGL_Deliveries!AO5/1000</f>
        <v>5.894</v>
      </c>
      <c r="D16" s="76" t="s">
        <v>453</v>
      </c>
      <c r="E16" s="898" t="n">
        <f aca="false">PGL_Deliveries!L5/1000</f>
        <v>0</v>
      </c>
      <c r="F16" s="1002"/>
      <c r="H16" s="0"/>
      <c r="I16" s="0"/>
      <c r="J16" s="0"/>
      <c r="K16" s="0"/>
      <c r="L16" s="0"/>
      <c r="M16" s="0"/>
    </row>
    <row r="17" customFormat="false" ht="15.75" hidden="false" customHeight="false" outlineLevel="0" collapsed="false">
      <c r="A17" s="904" t="s">
        <v>413</v>
      </c>
      <c r="B17" s="898" t="n">
        <f aca="false">PGL_Deliveries!AP5/1000</f>
        <v>0</v>
      </c>
      <c r="C17" s="1004" t="s">
        <v>0</v>
      </c>
      <c r="D17" s="1010" t="s">
        <v>451</v>
      </c>
      <c r="E17" s="905" t="n">
        <f aca="false">PGL_Deliveries!M5/1000</f>
        <v>0</v>
      </c>
      <c r="F17" s="1000"/>
      <c r="H17" s="0"/>
      <c r="I17" s="0"/>
      <c r="J17" s="0"/>
      <c r="K17" s="0"/>
      <c r="L17" s="0"/>
      <c r="M17" s="0"/>
    </row>
    <row r="18" customFormat="false" ht="16.5" hidden="false" customHeight="false" outlineLevel="0" collapsed="false">
      <c r="A18" s="1011" t="s">
        <v>703</v>
      </c>
      <c r="B18" s="929" t="n">
        <f aca="false">SUM(B8:B17)-C16</f>
        <v>278.822</v>
      </c>
      <c r="C18" s="1004"/>
      <c r="D18" s="1012" t="s">
        <v>704</v>
      </c>
      <c r="E18" s="1013" t="n">
        <f aca="false">SUM(E5:E17)</f>
        <v>4.149</v>
      </c>
      <c r="F18" s="1000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1007" t="s">
        <v>619</v>
      </c>
      <c r="B19" s="898" t="n">
        <f aca="false">PGL_Supplies!Y7/1000</f>
        <v>207.088</v>
      </c>
      <c r="C19" s="1008"/>
      <c r="D19" s="76" t="s">
        <v>596</v>
      </c>
      <c r="E19" s="898" t="n">
        <f aca="false">PGL_Deliveries!AI5/1000</f>
        <v>0.013</v>
      </c>
      <c r="F19" s="1002"/>
      <c r="H19" s="0"/>
      <c r="I19" s="0"/>
      <c r="J19" s="0"/>
      <c r="K19" s="0"/>
      <c r="L19" s="0"/>
      <c r="M19" s="0"/>
    </row>
    <row r="20" customFormat="false" ht="15" hidden="false" customHeight="false" outlineLevel="0" collapsed="false">
      <c r="A20" s="890" t="s">
        <v>300</v>
      </c>
      <c r="B20" s="898" t="n">
        <f aca="false">PGL_Supplies!X7/1000</f>
        <v>5</v>
      </c>
      <c r="C20" s="73"/>
      <c r="D20" s="76" t="s">
        <v>417</v>
      </c>
      <c r="E20" s="898" t="n">
        <f aca="false">PGL_Deliveries!AW5/1000+B41-0.001</f>
        <v>3.87375</v>
      </c>
      <c r="F20" s="1002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890" t="s">
        <v>622</v>
      </c>
      <c r="C21" s="899" t="n">
        <f aca="false">PGL_Requirements!J7/1000</f>
        <v>0</v>
      </c>
      <c r="D21" s="1014" t="s">
        <v>705</v>
      </c>
      <c r="E21" s="1015" t="n">
        <f aca="false">SUM(E18:E20)</f>
        <v>8.03575</v>
      </c>
      <c r="F21" s="1016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17" t="s">
        <v>692</v>
      </c>
      <c r="B22" s="1018" t="n">
        <f aca="false">+B19+B20-C21</f>
        <v>212.088</v>
      </c>
      <c r="C22" s="1019"/>
      <c r="D22" s="1020" t="s">
        <v>706</v>
      </c>
      <c r="E22" s="898" t="n">
        <f aca="false">NSG_Requirements!$L$7/1000</f>
        <v>0</v>
      </c>
      <c r="F22" s="1002"/>
      <c r="H22" s="0"/>
      <c r="I22" s="0"/>
      <c r="J22" s="0"/>
      <c r="K22" s="0"/>
      <c r="L22" s="0"/>
      <c r="M22" s="0"/>
    </row>
    <row r="23" customFormat="false" ht="15" hidden="false" customHeight="false" outlineLevel="0" collapsed="false">
      <c r="A23" s="890" t="s">
        <v>457</v>
      </c>
      <c r="B23" s="898" t="n">
        <f aca="false">PGL_Supplies!Z7/1000</f>
        <v>41.16</v>
      </c>
      <c r="C23" s="73"/>
      <c r="D23" s="1020" t="s">
        <v>707</v>
      </c>
      <c r="E23" s="74"/>
      <c r="F23" s="899" t="n">
        <f aca="false">NSG_Supplies!H7/1000</f>
        <v>0</v>
      </c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A24" s="918" t="s">
        <v>708</v>
      </c>
      <c r="B24" s="1021"/>
      <c r="C24" s="1009" t="n">
        <f aca="false">PGL_Requirements!U7/1000</f>
        <v>0</v>
      </c>
      <c r="D24" s="74" t="s">
        <v>709</v>
      </c>
      <c r="E24" s="74"/>
      <c r="F24" s="899" t="n">
        <v>0</v>
      </c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918" t="s">
        <v>710</v>
      </c>
      <c r="B25" s="898" t="n">
        <f aca="false">PGL_Supplies!R7/1000</f>
        <v>0</v>
      </c>
      <c r="C25" s="73"/>
      <c r="D25" s="1020" t="s">
        <v>711</v>
      </c>
      <c r="E25" s="74"/>
      <c r="F25" s="899" t="n">
        <f aca="false">PGL_Requirements!S7/1000</f>
        <v>0</v>
      </c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1017" t="s">
        <v>454</v>
      </c>
      <c r="B26" s="82" t="s">
        <v>0</v>
      </c>
      <c r="C26" s="1022" t="s">
        <v>0</v>
      </c>
      <c r="D26" s="74" t="s">
        <v>712</v>
      </c>
      <c r="E26" s="74"/>
      <c r="F26" s="899" t="n"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890" t="s">
        <v>713</v>
      </c>
      <c r="B27" s="898" t="n">
        <f aca="false">PGL_Supplies!AA7/1000</f>
        <v>0</v>
      </c>
      <c r="C27" s="73"/>
      <c r="D27" s="74" t="s">
        <v>420</v>
      </c>
      <c r="E27" s="74" t="s">
        <v>0</v>
      </c>
      <c r="F27" s="899" t="n">
        <f aca="false">PGL_Requirements!L7/1000</f>
        <v>0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890" t="s">
        <v>714</v>
      </c>
      <c r="B28" s="898" t="n">
        <v>0</v>
      </c>
      <c r="C28" s="73"/>
      <c r="D28" s="1020" t="s">
        <v>715</v>
      </c>
      <c r="E28" s="74"/>
      <c r="F28" s="899" t="n">
        <f aca="false">(PGL_Requirements!$AC$7+PGL_Requirements!$AD$7+PGL_Requirements!$AE$7)/1000</f>
        <v>0</v>
      </c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1017" t="s">
        <v>716</v>
      </c>
      <c r="B29" s="82"/>
      <c r="C29" s="1022" t="n">
        <f aca="false">PGL_Requirements!J12/1000</f>
        <v>0</v>
      </c>
      <c r="D29" s="1020" t="s">
        <v>425</v>
      </c>
      <c r="E29" s="1023" t="s">
        <v>0</v>
      </c>
      <c r="F29" s="899" t="n">
        <f aca="false">(PGL_Requirements!$Y$7+PGL_Requirements!$Z$7+PGL_Requirements!$AA$7+PGL_Requirements!$AB$7)/1000</f>
        <v>0</v>
      </c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890" t="s">
        <v>717</v>
      </c>
      <c r="B30" s="1024" t="n">
        <f aca="false">PGL_Supplies!AD7/1000</f>
        <v>0</v>
      </c>
      <c r="C30" s="73"/>
      <c r="D30" s="1020" t="s">
        <v>718</v>
      </c>
      <c r="E30" s="74" t="s">
        <v>0</v>
      </c>
      <c r="F30" s="899" t="n">
        <f aca="false">(PGL_Requirements!$W$7+PGL_Requirements!$X$7)/1000</f>
        <v>0</v>
      </c>
      <c r="H30" s="0"/>
      <c r="I30" s="0"/>
      <c r="J30" s="0"/>
      <c r="K30" s="0"/>
      <c r="L30" s="0"/>
      <c r="M30" s="0"/>
    </row>
    <row r="31" customFormat="false" ht="15" hidden="false" customHeight="false" outlineLevel="0" collapsed="false">
      <c r="A31" s="890" t="s">
        <v>719</v>
      </c>
      <c r="B31" s="898" t="n">
        <f aca="false">PGL_Supplies!AE7/1000</f>
        <v>0</v>
      </c>
      <c r="C31" s="73"/>
      <c r="D31" s="1020" t="s">
        <v>720</v>
      </c>
      <c r="E31" s="74" t="s">
        <v>0</v>
      </c>
      <c r="F31" s="899" t="n">
        <f aca="false">PGL_Requirements!O7/1000</f>
        <v>0</v>
      </c>
      <c r="H31" s="0"/>
      <c r="I31" s="0"/>
      <c r="J31" s="0"/>
      <c r="K31" s="0"/>
      <c r="L31" s="0"/>
      <c r="M31" s="0"/>
    </row>
    <row r="32" customFormat="false" ht="15" hidden="false" customHeight="false" outlineLevel="0" collapsed="false">
      <c r="A32" s="918" t="s">
        <v>721</v>
      </c>
      <c r="B32" s="74"/>
      <c r="C32" s="1009" t="n">
        <v>0</v>
      </c>
      <c r="D32" s="1025" t="s">
        <v>722</v>
      </c>
      <c r="E32" s="898" t="n">
        <f aca="false">PGL_Deliveries!AR5/1000</f>
        <v>0</v>
      </c>
      <c r="F32" s="1002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18" t="s">
        <v>723</v>
      </c>
      <c r="B33" s="898" t="n">
        <f aca="false">PGL_Supplies!Q7/1000</f>
        <v>0</v>
      </c>
      <c r="C33" s="73"/>
      <c r="D33" s="1020" t="s">
        <v>724</v>
      </c>
      <c r="E33" s="898" t="n">
        <f aca="false">PGL_Supplies!M7/1000</f>
        <v>0</v>
      </c>
      <c r="F33" s="1002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890" t="s">
        <v>725</v>
      </c>
      <c r="B34" s="1026" t="n">
        <f aca="false">(PGL_Deliveries!AB5+PGL_Deliveries!AC5+PGL_Deliveries!AD5)/1000</f>
        <v>0</v>
      </c>
      <c r="C34" s="73"/>
      <c r="D34" s="74" t="s">
        <v>296</v>
      </c>
      <c r="E34" s="898" t="n">
        <f aca="false">PGL_Supplies!AC7/1000</f>
        <v>81.846</v>
      </c>
      <c r="F34" s="1002"/>
      <c r="H34" s="0"/>
      <c r="I34" s="0"/>
      <c r="J34" s="0"/>
      <c r="K34" s="0"/>
      <c r="L34" s="0"/>
      <c r="M34" s="0"/>
    </row>
    <row r="35" customFormat="false" ht="15" hidden="false" customHeight="false" outlineLevel="0" collapsed="false">
      <c r="A35" s="890" t="s">
        <v>726</v>
      </c>
      <c r="B35" s="74"/>
      <c r="C35" s="73" t="n">
        <f aca="false">PGL_Deliveries!AC5/1000</f>
        <v>0</v>
      </c>
      <c r="D35" s="74" t="s">
        <v>727</v>
      </c>
      <c r="E35" s="898" t="n">
        <v>0</v>
      </c>
      <c r="F35" s="1002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1017" t="s">
        <v>728</v>
      </c>
      <c r="B36" s="82"/>
      <c r="C36" s="1022" t="n">
        <f aca="false">PGL_Deliveries!AB5/1000</f>
        <v>0</v>
      </c>
      <c r="D36" s="1025" t="s">
        <v>729</v>
      </c>
      <c r="E36" s="898" t="n">
        <f aca="false">PGL_Supplies!N7/1000</f>
        <v>0</v>
      </c>
      <c r="F36" s="1002"/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18" t="s">
        <v>730</v>
      </c>
      <c r="B37" s="898" t="s">
        <v>0</v>
      </c>
      <c r="C37" s="1009" t="n">
        <f aca="false">PGL_Requirements!P7/1000</f>
        <v>150</v>
      </c>
      <c r="D37" s="1020" t="s">
        <v>731</v>
      </c>
      <c r="E37" s="898" t="n">
        <f aca="false">PGL_Supplies!O7/1000</f>
        <v>0</v>
      </c>
      <c r="F37" s="1002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918" t="s">
        <v>732</v>
      </c>
      <c r="B38" s="898" t="n">
        <f aca="false">PGL_Supplies!M7/1000</f>
        <v>0</v>
      </c>
      <c r="C38" s="73"/>
      <c r="F38" s="1002"/>
      <c r="H38" s="0"/>
      <c r="I38" s="0"/>
      <c r="J38" s="0"/>
      <c r="K38" s="0"/>
      <c r="L38" s="0"/>
      <c r="M38" s="0"/>
    </row>
    <row r="39" customFormat="false" ht="15" hidden="false" customHeight="false" outlineLevel="0" collapsed="false">
      <c r="A39" s="890" t="s">
        <v>733</v>
      </c>
      <c r="B39" s="74"/>
      <c r="C39" s="1009" t="n">
        <f aca="false">PGL_Deliveries!AS5/1000</f>
        <v>0</v>
      </c>
      <c r="D39" s="74"/>
      <c r="E39" s="74"/>
      <c r="F39" s="1002"/>
      <c r="G39" s="29" t="s">
        <v>0</v>
      </c>
      <c r="H39" s="0"/>
      <c r="I39" s="0"/>
      <c r="J39" s="0"/>
      <c r="K39" s="0"/>
      <c r="L39" s="0"/>
      <c r="M39" s="0"/>
    </row>
    <row r="40" customFormat="false" ht="16.5" hidden="false" customHeight="false" outlineLevel="0" collapsed="false">
      <c r="A40" s="890" t="s">
        <v>438</v>
      </c>
      <c r="B40" s="898" t="n">
        <f aca="false">PGL_Deliveries!AT5/1000</f>
        <v>1.045</v>
      </c>
      <c r="C40" s="73"/>
      <c r="D40" s="1027" t="s">
        <v>326</v>
      </c>
      <c r="E40" s="1015" t="n">
        <f aca="false">SUM(E22:E37)-SUM(F23:F39)-E33</f>
        <v>81.846</v>
      </c>
      <c r="F40" s="1000"/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890" t="s">
        <v>342</v>
      </c>
      <c r="B41" s="898" t="n">
        <f aca="false">PGL_Deliveries!AG5/1000</f>
        <v>0.016</v>
      </c>
      <c r="C41" s="73"/>
      <c r="D41" s="1028" t="s">
        <v>734</v>
      </c>
      <c r="E41" s="995"/>
      <c r="F41" s="899" t="n">
        <f aca="false">PGL_Requirements!K7/1000</f>
        <v>0</v>
      </c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918" t="s">
        <v>735</v>
      </c>
      <c r="B42" s="898" t="n">
        <f aca="false">PGL_Deliveries!AF5/1000</f>
        <v>0</v>
      </c>
      <c r="C42" s="73"/>
      <c r="D42" s="1020" t="s">
        <v>262</v>
      </c>
      <c r="E42" s="1029" t="n">
        <f aca="false">PGL_Supplies!AB7/1000</f>
        <v>366.514</v>
      </c>
      <c r="F42" s="1002"/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890" t="s">
        <v>736</v>
      </c>
      <c r="B43" s="898" t="n">
        <f aca="false">PGL_Deliveries!AW5/1000</f>
        <v>3.85875</v>
      </c>
      <c r="C43" s="73"/>
      <c r="D43" s="74" t="s">
        <v>426</v>
      </c>
      <c r="E43" s="1029" t="n">
        <f aca="false">PGL_Supplies!W7/1000</f>
        <v>0</v>
      </c>
      <c r="F43" s="1002"/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04" t="s">
        <v>737</v>
      </c>
      <c r="B44" s="905" t="s">
        <v>0</v>
      </c>
      <c r="C44" s="1009" t="n">
        <f aca="false">PGL_Requirements!R7/1000</f>
        <v>0.64</v>
      </c>
      <c r="D44" s="74" t="s">
        <v>614</v>
      </c>
      <c r="E44" s="898"/>
      <c r="F44" s="899" t="n">
        <f aca="false">(PGL_Requirements!$AF$7+PGL_Requirements!$AG$7+PGL_Requirements!$AH$7+PGL_Requirements!$AI$7)/1000</f>
        <v>0</v>
      </c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1007" t="s">
        <v>738</v>
      </c>
      <c r="B45" s="74" t="n">
        <f aca="false">Weather_Input!B5</f>
        <v>54</v>
      </c>
      <c r="C45" s="993"/>
      <c r="D45" s="74" t="s">
        <v>739</v>
      </c>
      <c r="E45" s="898" t="n">
        <f aca="false">NSG_Requirements!$AB$7+NSG_Requirements!$AC$7+NSG_Requirements!$AD$7+NSG_Requirements!$AE$7/1000+NSG_Requirements!K7/1000</f>
        <v>0</v>
      </c>
      <c r="F45" s="899"/>
    </row>
    <row r="46" customFormat="false" ht="15" hidden="false" customHeight="false" outlineLevel="0" collapsed="false">
      <c r="A46" s="890" t="s">
        <v>740</v>
      </c>
      <c r="B46" s="1030" t="n">
        <f aca="false">Weather_Input!C5</f>
        <v>35</v>
      </c>
      <c r="C46" s="41"/>
      <c r="D46" s="74" t="s">
        <v>343</v>
      </c>
      <c r="E46" s="1029" t="n">
        <f aca="false">PGL_Supplies!T7/1000</f>
        <v>0</v>
      </c>
      <c r="F46" s="1002"/>
    </row>
    <row r="47" customFormat="false" ht="15" hidden="false" customHeight="false" outlineLevel="0" collapsed="false">
      <c r="A47" s="918" t="s">
        <v>741</v>
      </c>
      <c r="B47" s="74" t="str">
        <f aca="false">Weather_Input!E5</f>
        <v>N/A</v>
      </c>
      <c r="C47" s="41"/>
      <c r="D47" s="1031" t="s">
        <v>345</v>
      </c>
      <c r="E47" s="82"/>
      <c r="F47" s="1032" t="n">
        <f aca="false">PGL_Deliveries!BE5/1000</f>
        <v>0</v>
      </c>
    </row>
    <row r="48" customFormat="false" ht="15" hidden="false" customHeight="false" outlineLevel="0" collapsed="false">
      <c r="A48" s="890" t="s">
        <v>742</v>
      </c>
      <c r="B48" s="1033" t="n">
        <f aca="false">Weather_Input!D5</f>
        <v>6</v>
      </c>
      <c r="C48" s="41"/>
      <c r="D48" s="1020" t="s">
        <v>478</v>
      </c>
      <c r="E48" s="898" t="n">
        <f aca="false">PGL_Deliveries!AI5/1000</f>
        <v>0.013</v>
      </c>
      <c r="F48" s="889"/>
    </row>
    <row r="49" customFormat="false" ht="15" hidden="false" customHeight="false" outlineLevel="0" collapsed="false">
      <c r="A49" s="890" t="s">
        <v>743</v>
      </c>
      <c r="B49" s="898" t="n">
        <f aca="false">PGL_Deliveries!AM5/1000</f>
        <v>1.031</v>
      </c>
      <c r="C49" s="41"/>
      <c r="D49" s="74" t="s">
        <v>744</v>
      </c>
      <c r="E49" s="898" t="n">
        <f aca="false">PGL_Deliveries!AJ5/1000</f>
        <v>9.412</v>
      </c>
      <c r="F49" s="889"/>
    </row>
    <row r="50" customFormat="false" ht="15.75" hidden="false" customHeight="false" outlineLevel="2" collapsed="false">
      <c r="A50" s="871" t="s">
        <v>745</v>
      </c>
      <c r="B50" s="997"/>
      <c r="C50" s="998"/>
      <c r="D50" s="906" t="s">
        <v>746</v>
      </c>
      <c r="E50" s="905" t="n">
        <f aca="false">PGL_Deliveries!AK5/1000</f>
        <v>0</v>
      </c>
      <c r="F50" s="926"/>
    </row>
    <row r="51" customFormat="false" ht="15" hidden="false" customHeight="false" outlineLevel="2" collapsed="false">
      <c r="A51" s="1034" t="s">
        <v>747</v>
      </c>
      <c r="B51" s="0"/>
      <c r="C51" s="0"/>
      <c r="D51" s="0"/>
      <c r="E51" s="0"/>
      <c r="F51" s="40"/>
    </row>
    <row r="52" customFormat="false" ht="15" hidden="false" customHeight="false" outlineLevel="2" collapsed="false">
      <c r="A52" s="0" t="s">
        <v>0</v>
      </c>
      <c r="B52" s="0"/>
      <c r="C52" s="0"/>
      <c r="D52" s="0"/>
      <c r="E52" s="0"/>
      <c r="F52" s="40"/>
    </row>
    <row r="53" customFormat="false" ht="15" hidden="false" customHeight="false" outlineLevel="2" collapsed="false">
      <c r="A53" s="40"/>
      <c r="B53" s="40"/>
      <c r="C53" s="0"/>
      <c r="D53" s="0"/>
      <c r="E53" s="0"/>
      <c r="F53" s="40"/>
    </row>
    <row r="54" customFormat="false" ht="15" hidden="false" customHeight="false" outlineLevel="2" collapsed="false">
      <c r="A54" s="40"/>
      <c r="B54" s="0"/>
      <c r="C54" s="0"/>
      <c r="D54" s="0"/>
      <c r="E54" s="0"/>
      <c r="F54" s="40"/>
    </row>
    <row r="55" customFormat="false" ht="15" hidden="false" customHeight="false" outlineLevel="2" collapsed="false">
      <c r="A55" s="40"/>
      <c r="B55" s="0"/>
      <c r="C55" s="0"/>
      <c r="D55" s="0"/>
      <c r="E55" s="0"/>
      <c r="F55" s="40"/>
    </row>
    <row r="56" customFormat="false" ht="15" hidden="false" customHeight="false" outlineLevel="2" collapsed="false">
      <c r="A56" s="40"/>
      <c r="B56" s="0"/>
      <c r="C56" s="0"/>
      <c r="D56" s="0"/>
      <c r="E56" s="0"/>
      <c r="F56" s="40"/>
    </row>
    <row r="57" customFormat="false" ht="15" hidden="false" customHeight="false" outlineLevel="2" collapsed="false">
      <c r="A57" s="40"/>
      <c r="B57" s="0"/>
      <c r="C57" s="0"/>
      <c r="D57" s="0"/>
      <c r="E57" s="0"/>
      <c r="F57" s="40"/>
    </row>
    <row r="58" customFormat="false" ht="15" hidden="false" customHeight="false" outlineLevel="1" collapsed="false">
      <c r="A58" s="40"/>
      <c r="B58" s="0"/>
      <c r="C58" s="0"/>
      <c r="D58" s="0"/>
      <c r="E58" s="0"/>
      <c r="F58" s="40"/>
    </row>
    <row r="59" customFormat="false" ht="15" hidden="false" customHeight="false" outlineLevel="2" collapsed="false">
      <c r="A59" s="40"/>
      <c r="B59" s="0"/>
      <c r="C59" s="0"/>
      <c r="D59" s="0"/>
      <c r="E59" s="0"/>
      <c r="F59" s="40"/>
    </row>
    <row r="60" customFormat="false" ht="15" hidden="false" customHeight="false" outlineLevel="1" collapsed="false">
      <c r="A60" s="40"/>
      <c r="B60" s="0"/>
      <c r="C60" s="0"/>
      <c r="D60" s="0"/>
      <c r="E60" s="0"/>
      <c r="F60" s="40"/>
    </row>
    <row r="61" customFormat="false" ht="15" hidden="false" customHeight="false" outlineLevel="0" collapsed="false">
      <c r="A61" s="74" t="s">
        <v>0</v>
      </c>
      <c r="B61" s="1033" t="s">
        <v>0</v>
      </c>
      <c r="C61" s="40"/>
      <c r="D61" s="40"/>
      <c r="E61" s="40"/>
      <c r="F61" s="40"/>
    </row>
    <row r="62" customFormat="false" ht="15" hidden="false" customHeight="false" outlineLevel="0" collapsed="false">
      <c r="A62" s="40"/>
      <c r="B62" s="0"/>
      <c r="C62" s="0"/>
      <c r="D62" s="0"/>
      <c r="E62" s="0"/>
      <c r="F62" s="0"/>
    </row>
    <row r="63" customFormat="false" ht="15" hidden="false" customHeight="false" outlineLevel="0" collapsed="false">
      <c r="A63" s="40"/>
      <c r="B63" s="0"/>
      <c r="C63" s="0"/>
      <c r="D63" s="0"/>
      <c r="E63" s="0"/>
      <c r="F63" s="0"/>
    </row>
    <row r="64" customFormat="false" ht="15" hidden="false" customHeight="false" outlineLevel="0" collapsed="false">
      <c r="A64" s="74"/>
      <c r="D64" s="0"/>
      <c r="E64" s="0"/>
      <c r="F64" s="0"/>
    </row>
    <row r="65" customFormat="false" ht="15" hidden="false" customHeight="false" outlineLevel="0" collapsed="false">
      <c r="A65" s="74"/>
      <c r="D65" s="0"/>
      <c r="E65" s="0"/>
      <c r="F65" s="0"/>
    </row>
    <row r="66" customFormat="false" ht="12.75" hidden="false" customHeight="false" outlineLevel="0" collapsed="false">
      <c r="A66" s="74"/>
      <c r="D66" s="74"/>
    </row>
    <row r="67" customFormat="false" ht="12.75" hidden="false" customHeight="false" outlineLevel="0" collapsed="false">
      <c r="A67" s="74"/>
    </row>
    <row r="68" customFormat="false" ht="12.75" hidden="false" customHeight="false" outlineLevel="0" collapsed="false">
      <c r="A68" s="74"/>
    </row>
    <row r="69" customFormat="false" ht="12.75" hidden="false" customHeight="false" outlineLevel="0" collapsed="false">
      <c r="A69" s="74"/>
    </row>
    <row r="70" customFormat="false" ht="12.75" hidden="false" customHeight="false" outlineLevel="0" collapsed="false">
      <c r="A70" s="74"/>
    </row>
    <row r="71" customFormat="false" ht="12.75" hidden="false" customHeight="false" outlineLevel="0" collapsed="false">
      <c r="A71" s="74"/>
    </row>
    <row r="72" customFormat="false" ht="12.75" hidden="false" customHeight="false" outlineLevel="0" collapsed="false">
      <c r="A72" s="74"/>
    </row>
    <row r="73" customFormat="false" ht="12.75" hidden="false" customHeight="false" outlineLevel="0" collapsed="false">
      <c r="A73" s="74"/>
    </row>
    <row r="74" customFormat="false" ht="12.75" hidden="false" customHeight="false" outlineLevel="0" collapsed="false">
      <c r="A74" s="74"/>
    </row>
    <row r="75" customFormat="false" ht="12.75" hidden="false" customHeight="false" outlineLevel="0" collapsed="false">
      <c r="A75" s="74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29" width="18.21"/>
    <col collapsed="false" customWidth="true" hidden="false" outlineLevel="0" max="2" min="2" style="29" width="7.66"/>
    <col collapsed="false" customWidth="true" hidden="false" outlineLevel="0" max="3" min="3" style="29" width="6.55"/>
    <col collapsed="false" customWidth="true" hidden="false" outlineLevel="0" max="4" min="4" style="29" width="24.99"/>
    <col collapsed="false" customWidth="false" hidden="false" outlineLevel="0" max="5" min="5" style="29" width="8.88"/>
    <col collapsed="false" customWidth="true" hidden="false" outlineLevel="0" max="6" min="6" style="29" width="7.66"/>
    <col collapsed="false" customWidth="false" hidden="false" outlineLevel="0" max="257" min="7" style="29" width="8.88"/>
  </cols>
  <sheetData>
    <row r="1" customFormat="false" ht="15" hidden="false" customHeight="false" outlineLevel="0" collapsed="false">
      <c r="A1" s="1035"/>
    </row>
    <row r="2" customFormat="false" ht="15" hidden="false" customHeight="false" outlineLevel="0" collapsed="false">
      <c r="A2" s="40" t="s">
        <v>0</v>
      </c>
      <c r="B2" s="761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036" t="s">
        <v>748</v>
      </c>
      <c r="B3" s="1037" t="n">
        <f aca="false">NSG_Deliveries!H5/1000</f>
        <v>0</v>
      </c>
      <c r="C3" s="460"/>
      <c r="D3" s="1038" t="s">
        <v>648</v>
      </c>
      <c r="E3" s="1039" t="n">
        <f aca="false">Weather_Input!A5</f>
        <v>36999</v>
      </c>
      <c r="F3" s="460"/>
      <c r="G3" s="0"/>
      <c r="J3" s="0"/>
      <c r="K3" s="0"/>
    </row>
    <row r="4" customFormat="false" ht="15.75" hidden="false" customHeight="false" outlineLevel="0" collapsed="false">
      <c r="A4" s="243"/>
      <c r="B4" s="1040"/>
      <c r="C4" s="1041"/>
      <c r="D4" s="41"/>
      <c r="E4" s="41"/>
      <c r="F4" s="1042"/>
      <c r="G4" s="0"/>
      <c r="J4" s="0"/>
      <c r="K4" s="0"/>
    </row>
    <row r="5" customFormat="false" ht="15" hidden="false" customHeight="false" outlineLevel="0" collapsed="false">
      <c r="A5" s="1043" t="s">
        <v>406</v>
      </c>
      <c r="B5" s="1044" t="n">
        <f aca="false">NSG_Deliveries!E5/1000</f>
        <v>0</v>
      </c>
      <c r="C5" s="1045"/>
      <c r="D5" s="1046" t="s">
        <v>658</v>
      </c>
      <c r="E5" s="1047" t="n">
        <f aca="false">NSG_Deliveries!D5/1000</f>
        <v>0</v>
      </c>
      <c r="F5" s="1048"/>
      <c r="G5" s="0"/>
      <c r="J5" s="0"/>
      <c r="K5" s="0"/>
    </row>
    <row r="6" customFormat="false" ht="15" hidden="false" customHeight="true" outlineLevel="0" collapsed="false">
      <c r="A6" s="243"/>
      <c r="B6" s="1040"/>
      <c r="C6" s="1041"/>
      <c r="D6" s="41"/>
      <c r="E6" s="41"/>
      <c r="F6" s="1049"/>
      <c r="G6" s="0"/>
    </row>
    <row r="7" customFormat="false" ht="15" hidden="false" customHeight="true" outlineLevel="0" collapsed="false">
      <c r="A7" s="1043" t="s">
        <v>749</v>
      </c>
      <c r="B7" s="1047" t="n">
        <f aca="false">NSG_Deliveries!G5/1000</f>
        <v>0</v>
      </c>
      <c r="C7" s="1050"/>
      <c r="D7" s="1046" t="s">
        <v>750</v>
      </c>
      <c r="E7" s="1047" t="n">
        <f aca="false">NSG_Supplies!U7/1000</f>
        <v>0</v>
      </c>
      <c r="F7" s="1051"/>
      <c r="G7" s="0"/>
    </row>
    <row r="8" customFormat="false" ht="15" hidden="false" customHeight="true" outlineLevel="0" collapsed="false">
      <c r="A8" s="1052" t="s">
        <v>326</v>
      </c>
      <c r="B8" s="1047" t="n">
        <f aca="false">B5+B7</f>
        <v>0</v>
      </c>
      <c r="C8" s="889"/>
      <c r="D8" s="1053" t="s">
        <v>751</v>
      </c>
      <c r="E8" s="1054" t="n">
        <f aca="false">NSG_Deliveries!F5/1000</f>
        <v>0</v>
      </c>
      <c r="F8" s="346"/>
      <c r="G8" s="0"/>
    </row>
    <row r="9" customFormat="false" ht="15" hidden="false" customHeight="true" outlineLevel="0" collapsed="false">
      <c r="A9" s="1055" t="s">
        <v>601</v>
      </c>
      <c r="B9" s="1056" t="s">
        <v>0</v>
      </c>
      <c r="C9" s="1057" t="n">
        <f aca="false">NSG_Requirements!L7/1000</f>
        <v>0</v>
      </c>
      <c r="D9" s="29" t="s">
        <v>308</v>
      </c>
      <c r="E9" s="1058" t="s">
        <v>0</v>
      </c>
      <c r="F9" s="1059" t="n">
        <f aca="false">NSG_Deliveries!M5/1000</f>
        <v>14.091</v>
      </c>
      <c r="G9" s="40"/>
    </row>
    <row r="10" customFormat="false" ht="15" hidden="false" customHeight="true" outlineLevel="0" collapsed="false">
      <c r="A10" s="1060" t="s">
        <v>752</v>
      </c>
      <c r="B10" s="1061" t="n">
        <f aca="false">NSG_Supplies!H7/1000</f>
        <v>0</v>
      </c>
      <c r="C10" s="1062"/>
      <c r="D10" s="1063" t="s">
        <v>753</v>
      </c>
      <c r="E10" s="1064" t="n">
        <f aca="false">NSG_Deliveries!N5/1000</f>
        <v>0</v>
      </c>
      <c r="F10" s="1065"/>
      <c r="G10" s="0"/>
    </row>
    <row r="11" customFormat="false" ht="15" hidden="false" customHeight="true" outlineLevel="0" collapsed="false">
      <c r="A11" s="1066" t="s">
        <v>754</v>
      </c>
      <c r="B11" s="1067" t="s">
        <v>0</v>
      </c>
      <c r="C11" s="1068"/>
      <c r="D11" s="904" t="s">
        <v>755</v>
      </c>
      <c r="E11" s="1069" t="n">
        <f aca="false">NSG_Supplies!Q7/1000</f>
        <v>20</v>
      </c>
      <c r="F11" s="1070"/>
      <c r="G11" s="0"/>
    </row>
    <row r="12" customFormat="false" ht="15" hidden="false" customHeight="true" outlineLevel="0" collapsed="false">
      <c r="A12" s="1060" t="s">
        <v>756</v>
      </c>
      <c r="B12" s="1061" t="n">
        <v>0</v>
      </c>
      <c r="C12" s="1041"/>
      <c r="D12" s="0" t="s">
        <v>757</v>
      </c>
      <c r="E12" s="1040"/>
      <c r="F12" s="1071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060" t="s">
        <v>758</v>
      </c>
      <c r="B13" s="1061" t="n">
        <f aca="false">NSG_Supplies!R7/1000</f>
        <v>80.464</v>
      </c>
      <c r="C13" s="1041"/>
      <c r="D13" s="1072" t="s">
        <v>759</v>
      </c>
      <c r="E13" s="436"/>
      <c r="F13" s="1073"/>
      <c r="G13" s="0"/>
    </row>
    <row r="14" customFormat="false" ht="15" hidden="false" customHeight="true" outlineLevel="0" collapsed="false">
      <c r="A14" s="1060" t="s">
        <v>422</v>
      </c>
      <c r="B14" s="1061" t="n">
        <f aca="false">NSG_Supplies!C7/1000</f>
        <v>0</v>
      </c>
      <c r="C14" s="1041"/>
      <c r="D14" s="1074" t="s">
        <v>760</v>
      </c>
      <c r="E14" s="1075" t="s">
        <v>0</v>
      </c>
      <c r="F14" s="1076" t="n">
        <f aca="false">NSG_Requirements!M7/1000</f>
        <v>0</v>
      </c>
    </row>
    <row r="15" customFormat="false" ht="15" hidden="false" customHeight="true" outlineLevel="0" collapsed="false">
      <c r="A15" s="1077" t="s">
        <v>761</v>
      </c>
      <c r="B15" s="1074"/>
      <c r="C15" s="1057" t="n">
        <f aca="false">NSG_Deliveries!K5/1000</f>
        <v>0</v>
      </c>
      <c r="D15" s="1078" t="s">
        <v>762</v>
      </c>
      <c r="E15" s="1079" t="n">
        <f aca="false">+NSG_Supplies!O7/1000</f>
        <v>0</v>
      </c>
      <c r="F15" s="1080"/>
    </row>
    <row r="16" customFormat="false" ht="15" hidden="false" customHeight="true" outlineLevel="0" collapsed="false">
      <c r="A16" s="1077" t="s">
        <v>763</v>
      </c>
      <c r="B16" s="1064" t="n">
        <f aca="false">NSG_Deliveries!L5/1000</f>
        <v>0.822</v>
      </c>
      <c r="C16" s="1081"/>
      <c r="D16" s="1082" t="s">
        <v>476</v>
      </c>
      <c r="E16" s="1083" t="s">
        <v>0</v>
      </c>
      <c r="F16" s="1076" t="n">
        <f aca="false">NSG_Requirements!X7/1000</f>
        <v>0</v>
      </c>
    </row>
    <row r="17" customFormat="false" ht="15" hidden="false" customHeight="true" outlineLevel="0" collapsed="false">
      <c r="A17" s="1060" t="s">
        <v>764</v>
      </c>
      <c r="B17" s="1074"/>
      <c r="C17" s="1057" t="n">
        <f aca="false">NSG_Requirements!P7/1000</f>
        <v>0</v>
      </c>
      <c r="D17" s="1084" t="s">
        <v>765</v>
      </c>
      <c r="E17" s="411"/>
      <c r="F17" s="1085"/>
    </row>
    <row r="18" customFormat="false" ht="15" hidden="false" customHeight="true" outlineLevel="0" collapsed="false">
      <c r="A18" s="1060" t="s">
        <v>766</v>
      </c>
      <c r="B18" s="1061" t="n">
        <f aca="false">NSG_Supplies!I7/1000</f>
        <v>0</v>
      </c>
      <c r="C18" s="1041"/>
      <c r="D18" s="73" t="s">
        <v>767</v>
      </c>
      <c r="E18" s="41"/>
      <c r="F18" s="1076" t="n">
        <f aca="false">NSG_Requirements!N7/1000</f>
        <v>0</v>
      </c>
    </row>
    <row r="19" customFormat="false" ht="15" hidden="false" customHeight="true" outlineLevel="0" collapsed="false">
      <c r="A19" s="1077" t="s">
        <v>768</v>
      </c>
      <c r="B19" s="1064" t="n">
        <f aca="false">PGL_Requirements!Y7/1000+PGL_Requirements!AB7/1000</f>
        <v>0</v>
      </c>
      <c r="C19" s="1086"/>
      <c r="D19" s="1087" t="s">
        <v>769</v>
      </c>
      <c r="E19" s="41"/>
      <c r="F19" s="1076" t="n">
        <f aca="false">NSG_Requirements!S7/1000</f>
        <v>0</v>
      </c>
    </row>
    <row r="20" customFormat="false" ht="15" hidden="false" customHeight="true" outlineLevel="0" collapsed="false">
      <c r="A20" s="1077" t="s">
        <v>770</v>
      </c>
      <c r="B20" s="1064" t="n">
        <f aca="false">PGL_Requirements!Z7/1000</f>
        <v>0</v>
      </c>
      <c r="C20" s="1086" t="s">
        <v>0</v>
      </c>
      <c r="D20" s="1074" t="s">
        <v>771</v>
      </c>
      <c r="E20" s="41"/>
      <c r="F20" s="1076" t="n">
        <f aca="false">NSG_Requirements!O7/1000</f>
        <v>0</v>
      </c>
    </row>
    <row r="21" customFormat="false" ht="15" hidden="false" customHeight="true" outlineLevel="0" collapsed="false">
      <c r="A21" s="1077" t="s">
        <v>772</v>
      </c>
      <c r="B21" s="1064" t="n">
        <f aca="false">PGL_Requirements!AA7/1000</f>
        <v>0</v>
      </c>
      <c r="C21" s="1086"/>
      <c r="D21" s="1088" t="s">
        <v>773</v>
      </c>
      <c r="E21" s="1061" t="n">
        <f aca="false">NSG_Supplies!L7/1000</f>
        <v>15</v>
      </c>
      <c r="F21" s="1089"/>
    </row>
    <row r="22" customFormat="false" ht="15" hidden="false" customHeight="true" outlineLevel="0" collapsed="false">
      <c r="A22" s="1060" t="s">
        <v>774</v>
      </c>
      <c r="B22" s="1074"/>
      <c r="C22" s="1057" t="n">
        <f aca="false">NSG_Requirements!C7/1000</f>
        <v>0</v>
      </c>
      <c r="D22" s="1088" t="s">
        <v>775</v>
      </c>
      <c r="E22" s="1061" t="n">
        <f aca="false">NSG_Supplies!M7/1000</f>
        <v>0</v>
      </c>
      <c r="F22" s="1089"/>
    </row>
    <row r="23" customFormat="false" ht="15" hidden="false" customHeight="true" outlineLevel="0" collapsed="false">
      <c r="A23" s="1060" t="s">
        <v>776</v>
      </c>
      <c r="B23" s="1074"/>
      <c r="C23" s="1057" t="n">
        <f aca="false">NSG_Requirements!R7/1000</f>
        <v>0</v>
      </c>
      <c r="D23" s="1088" t="s">
        <v>777</v>
      </c>
      <c r="E23" s="1061" t="n">
        <f aca="false">PGL_Supplies!S7/1000</f>
        <v>0</v>
      </c>
      <c r="F23" s="1076" t="s">
        <v>0</v>
      </c>
    </row>
    <row r="24" customFormat="false" ht="15" hidden="false" customHeight="true" outlineLevel="0" collapsed="false">
      <c r="A24" s="1060" t="s">
        <v>778</v>
      </c>
      <c r="B24" s="1061" t="n">
        <f aca="false">NSG_Supplies!K7/1000</f>
        <v>0</v>
      </c>
      <c r="C24" s="1041"/>
      <c r="D24" s="1088" t="s">
        <v>779</v>
      </c>
      <c r="E24" s="1061" t="n">
        <f aca="false">NSG_Supplies!P7/1000</f>
        <v>0</v>
      </c>
      <c r="F24" s="1049"/>
    </row>
    <row r="25" customFormat="false" ht="15" hidden="false" customHeight="true" outlineLevel="0" collapsed="false">
      <c r="A25" s="1077" t="s">
        <v>780</v>
      </c>
      <c r="B25" s="1074"/>
      <c r="C25" s="1057" t="n">
        <f aca="false">NSG_Requirements!Q7/1000</f>
        <v>0</v>
      </c>
      <c r="D25" s="1088" t="s">
        <v>781</v>
      </c>
      <c r="E25" s="1061" t="n">
        <f aca="false">PGL_Requirements!V71/1000</f>
        <v>0</v>
      </c>
      <c r="F25" s="247"/>
    </row>
    <row r="26" customFormat="false" ht="15" hidden="false" customHeight="true" outlineLevel="0" collapsed="false">
      <c r="A26" s="1090" t="s">
        <v>782</v>
      </c>
      <c r="B26" s="1091" t="n">
        <f aca="false">NSG_Supplies!J7/1000</f>
        <v>0</v>
      </c>
      <c r="C26" s="1045"/>
      <c r="D26" s="1092" t="s">
        <v>783</v>
      </c>
      <c r="E26" s="1093"/>
      <c r="F26" s="1076" t="n">
        <f aca="false">NSG_Requirements!D7/1000</f>
        <v>0</v>
      </c>
    </row>
    <row r="27" customFormat="false" ht="15" hidden="false" customHeight="true" outlineLevel="0" collapsed="false">
      <c r="A27" s="1094" t="s">
        <v>326</v>
      </c>
      <c r="B27" s="1095" t="n">
        <f aca="false">SUM(B9:B26)-SUM(C9:C26)</f>
        <v>81.286</v>
      </c>
      <c r="C27" s="1096"/>
      <c r="D27" s="1097" t="s">
        <v>784</v>
      </c>
      <c r="E27" s="1095" t="n">
        <f aca="false">SUM(E18:E26)-SUM(F18:F26)</f>
        <v>15</v>
      </c>
      <c r="F27" s="1098"/>
      <c r="H27" s="29" t="s">
        <v>0</v>
      </c>
    </row>
    <row r="28" customFormat="false" ht="15" hidden="false" customHeight="true" outlineLevel="0" collapsed="false">
      <c r="A28" s="9" t="s">
        <v>785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0</v>
      </c>
    </row>
    <row r="2" customFormat="false" ht="15.75" hidden="false" customHeight="false" outlineLevel="0" collapsed="false">
      <c r="C2" s="851" t="s">
        <v>786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false" hidden="false" outlineLevel="0" max="2" min="2" style="1099" width="8.88"/>
  </cols>
  <sheetData>
    <row r="1" customFormat="false" ht="15.75" hidden="false" customHeight="false" outlineLevel="0" collapsed="false">
      <c r="E1" s="1099" t="s">
        <v>0</v>
      </c>
    </row>
    <row r="2" customFormat="false" ht="15.75" hidden="false" customHeight="false" outlineLevel="0" collapsed="false">
      <c r="B2" s="990" t="s">
        <v>0</v>
      </c>
      <c r="C2" s="990" t="s">
        <v>0</v>
      </c>
      <c r="D2" s="990" t="s">
        <v>2</v>
      </c>
      <c r="E2" s="990" t="s">
        <v>0</v>
      </c>
      <c r="F2" s="990" t="s">
        <v>2</v>
      </c>
      <c r="G2" s="990" t="s">
        <v>0</v>
      </c>
    </row>
    <row r="4" customFormat="false" ht="15.75" hidden="false" customHeight="false" outlineLevel="0" collapsed="false">
      <c r="B4" s="1100" t="s">
        <v>2</v>
      </c>
    </row>
    <row r="6" customFormat="false" ht="15.75" hidden="false" customHeight="false" outlineLevel="0" collapsed="false">
      <c r="B6" s="990" t="s">
        <v>0</v>
      </c>
    </row>
    <row r="7" customFormat="false" ht="15.75" hidden="false" customHeight="false" outlineLevel="0" collapsed="false">
      <c r="B7" s="990"/>
    </row>
    <row r="8" customFormat="false" ht="15.75" hidden="false" customHeight="false" outlineLevel="0" collapsed="false">
      <c r="B8" s="990" t="s">
        <v>0</v>
      </c>
    </row>
    <row r="9" customFormat="false" ht="15.75" hidden="false" customHeight="false" outlineLevel="0" collapsed="false">
      <c r="B9" s="990"/>
    </row>
    <row r="10" customFormat="false" ht="15.75" hidden="false" customHeight="false" outlineLevel="0" collapsed="false">
      <c r="B10" s="990" t="s">
        <v>0</v>
      </c>
    </row>
    <row r="11" customFormat="false" ht="15.75" hidden="false" customHeight="false" outlineLevel="0" collapsed="false">
      <c r="B11" s="990" t="s">
        <v>0</v>
      </c>
    </row>
    <row r="12" customFormat="false" ht="15.75" hidden="false" customHeight="false" outlineLevel="0" collapsed="false">
      <c r="B12" s="990" t="s">
        <v>0</v>
      </c>
    </row>
    <row r="13" customFormat="false" ht="15.75" hidden="false" customHeight="false" outlineLevel="0" collapsed="false">
      <c r="B13" s="990"/>
    </row>
    <row r="14" customFormat="false" ht="15.75" hidden="false" customHeight="false" outlineLevel="0" collapsed="false">
      <c r="B14" s="990" t="s">
        <v>0</v>
      </c>
    </row>
    <row r="15" customFormat="false" ht="15.75" hidden="false" customHeight="false" outlineLevel="0" collapsed="false">
      <c r="B15" s="990"/>
    </row>
    <row r="16" customFormat="false" ht="15.75" hidden="false" customHeight="false" outlineLevel="0" collapsed="false">
      <c r="B16" s="990" t="s">
        <v>0</v>
      </c>
    </row>
    <row r="17" customFormat="false" ht="15.75" hidden="false" customHeight="false" outlineLevel="0" collapsed="false">
      <c r="B17" s="990"/>
    </row>
    <row r="18" customFormat="false" ht="15.75" hidden="false" customHeight="false" outlineLevel="0" collapsed="false">
      <c r="B18" s="990" t="s">
        <v>0</v>
      </c>
    </row>
    <row r="19" customFormat="false" ht="15.75" hidden="false" customHeight="false" outlineLevel="0" collapsed="false">
      <c r="B19" s="990"/>
    </row>
    <row r="20" customFormat="false" ht="15.75" hidden="false" customHeight="false" outlineLevel="0" collapsed="false">
      <c r="B20" s="990" t="s">
        <v>0</v>
      </c>
    </row>
    <row r="21" customFormat="false" ht="15.75" hidden="false" customHeight="false" outlineLevel="0" collapsed="false">
      <c r="B21" s="990"/>
    </row>
    <row r="22" customFormat="false" ht="15.75" hidden="false" customHeight="false" outlineLevel="0" collapsed="false">
      <c r="B22" s="990" t="s">
        <v>0</v>
      </c>
    </row>
    <row r="24" customFormat="false" ht="15.75" hidden="false" customHeight="false" outlineLevel="0" collapsed="false">
      <c r="B24" s="990" t="s">
        <v>0</v>
      </c>
    </row>
    <row r="25" customFormat="false" ht="15.75" hidden="false" customHeight="false" outlineLevel="0" collapsed="false">
      <c r="E25" s="990" t="s">
        <v>0</v>
      </c>
    </row>
    <row r="27" customFormat="false" ht="15.75" hidden="false" customHeight="false" outlineLevel="0" collapsed="false">
      <c r="B27" s="990" t="s">
        <v>0</v>
      </c>
    </row>
    <row r="29" customFormat="false" ht="15.75" hidden="false" customHeight="false" outlineLevel="0" collapsed="false">
      <c r="B29" s="990" t="s">
        <v>0</v>
      </c>
    </row>
    <row r="30" customFormat="false" ht="15.75" hidden="false" customHeight="false" outlineLevel="0" collapsed="false">
      <c r="B30" s="990"/>
    </row>
    <row r="31" customFormat="false" ht="15.75" hidden="false" customHeight="false" outlineLevel="0" collapsed="false">
      <c r="B31" s="990" t="s">
        <v>0</v>
      </c>
    </row>
    <row r="32" customFormat="false" ht="15.75" hidden="false" customHeight="false" outlineLevel="0" collapsed="false">
      <c r="B32" s="990"/>
    </row>
    <row r="33" customFormat="false" ht="15.75" hidden="false" customHeight="false" outlineLevel="0" collapsed="false">
      <c r="B33" s="990" t="s">
        <v>0</v>
      </c>
    </row>
    <row r="34" customFormat="false" ht="15.75" hidden="false" customHeight="false" outlineLevel="0" collapsed="false">
      <c r="B34" s="990"/>
    </row>
    <row r="35" customFormat="false" ht="15.75" hidden="false" customHeight="false" outlineLevel="0" collapsed="false">
      <c r="B35" s="990" t="s">
        <v>0</v>
      </c>
    </row>
    <row r="36" customFormat="false" ht="15.75" hidden="false" customHeight="false" outlineLevel="0" collapsed="false">
      <c r="B36" s="990"/>
    </row>
    <row r="37" customFormat="false" ht="15.75" hidden="false" customHeight="false" outlineLevel="0" collapsed="false">
      <c r="B37" s="990" t="s">
        <v>0</v>
      </c>
    </row>
    <row r="38" customFormat="false" ht="15.75" hidden="false" customHeight="false" outlineLevel="0" collapsed="false">
      <c r="B38" s="990"/>
    </row>
    <row r="39" customFormat="false" ht="15.75" hidden="false" customHeight="false" outlineLevel="0" collapsed="false">
      <c r="B39" s="990" t="s">
        <v>0</v>
      </c>
    </row>
    <row r="40" customFormat="false" ht="15.75" hidden="false" customHeight="false" outlineLevel="0" collapsed="false">
      <c r="B40" s="990"/>
    </row>
    <row r="41" customFormat="false" ht="15.75" hidden="false" customHeight="false" outlineLevel="0" collapsed="false">
      <c r="B41" s="990" t="s">
        <v>0</v>
      </c>
    </row>
    <row r="42" customFormat="false" ht="15.75" hidden="false" customHeight="false" outlineLevel="0" collapsed="false">
      <c r="B42" s="990"/>
    </row>
    <row r="43" customFormat="false" ht="15.75" hidden="false" customHeight="false" outlineLevel="0" collapsed="false">
      <c r="B43" s="990" t="s">
        <v>0</v>
      </c>
    </row>
    <row r="44" customFormat="false" ht="15.75" hidden="false" customHeight="false" outlineLevel="0" collapsed="false">
      <c r="B44" s="990"/>
    </row>
    <row r="45" customFormat="false" ht="15.75" hidden="false" customHeight="false" outlineLevel="0" collapsed="false">
      <c r="B45" s="990" t="s">
        <v>0</v>
      </c>
    </row>
    <row r="47" customFormat="false" ht="15.75" hidden="false" customHeight="false" outlineLevel="0" collapsed="false">
      <c r="B47" s="990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N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8" min="5" style="0" width="7.88"/>
    <col collapsed="false" customWidth="true" hidden="false" outlineLevel="0" max="20" min="19" style="0" width="9.55"/>
    <col collapsed="false" customWidth="true" hidden="false" outlineLevel="0" max="34" min="21" style="0" width="7.88"/>
    <col collapsed="false" customWidth="true" hidden="false" outlineLevel="0" max="40" min="40" style="0" width="4.77"/>
    <col collapsed="false" customWidth="true" hidden="false" outlineLevel="0" max="50" min="41" style="0" width="7.88"/>
    <col collapsed="false" customWidth="true" hidden="false" outlineLevel="0" max="51" min="51" style="0" width="4.77"/>
    <col collapsed="false" customWidth="true" hidden="false" outlineLevel="0" max="56" min="56" style="0" width="4.77"/>
  </cols>
  <sheetData>
    <row r="1" customFormat="false" ht="15" hidden="false" customHeight="false" outlineLevel="0" collapsed="false">
      <c r="A1" s="28" t="s">
        <v>0</v>
      </c>
      <c r="B1" s="29"/>
      <c r="C1" s="29"/>
      <c r="D1" s="30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Z1" s="31" t="s">
        <v>40</v>
      </c>
      <c r="BE1" s="0" t="s">
        <v>41</v>
      </c>
    </row>
    <row r="2" customFormat="false" ht="15" hidden="false" customHeight="false" outlineLevel="0" collapsed="false">
      <c r="A2" s="29"/>
      <c r="B2" s="29"/>
      <c r="C2" s="29"/>
      <c r="D2" s="32" t="s">
        <v>42</v>
      </c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33" t="s">
        <v>43</v>
      </c>
      <c r="AC2" s="33" t="s">
        <v>0</v>
      </c>
      <c r="AD2" s="33" t="s">
        <v>0</v>
      </c>
      <c r="AE2" s="33" t="s">
        <v>44</v>
      </c>
      <c r="AF2" s="33"/>
      <c r="AG2" s="33" t="s">
        <v>44</v>
      </c>
      <c r="AH2" s="33" t="s">
        <v>0</v>
      </c>
      <c r="AO2" s="34"/>
      <c r="AP2" s="34"/>
      <c r="AQ2" s="34"/>
      <c r="AR2" s="34"/>
      <c r="AS2" s="34"/>
      <c r="AT2" s="34"/>
      <c r="AU2" s="34" t="s">
        <v>0</v>
      </c>
      <c r="AV2" s="34"/>
      <c r="AW2" s="34"/>
      <c r="AX2" s="34"/>
      <c r="AZ2" s="11" t="s">
        <v>44</v>
      </c>
      <c r="BA2" s="0" t="s">
        <v>45</v>
      </c>
      <c r="BC2" s="0" t="s">
        <v>46</v>
      </c>
      <c r="BE2" s="35" t="n">
        <v>1</v>
      </c>
      <c r="BF2" s="11" t="s">
        <v>46</v>
      </c>
    </row>
    <row r="3" customFormat="false" ht="15" hidden="false" customHeight="false" outlineLevel="0" collapsed="false">
      <c r="A3" s="29"/>
      <c r="B3" s="36" t="s">
        <v>47</v>
      </c>
      <c r="C3" s="29" t="s">
        <v>0</v>
      </c>
      <c r="D3" s="37" t="s">
        <v>48</v>
      </c>
      <c r="E3" s="36" t="s">
        <v>49</v>
      </c>
      <c r="F3" s="36" t="s">
        <v>49</v>
      </c>
      <c r="G3" s="36" t="s">
        <v>49</v>
      </c>
      <c r="H3" s="36" t="s">
        <v>50</v>
      </c>
      <c r="I3" s="36" t="s">
        <v>50</v>
      </c>
      <c r="J3" s="36" t="s">
        <v>50</v>
      </c>
      <c r="K3" s="36" t="s">
        <v>51</v>
      </c>
      <c r="L3" s="36" t="s">
        <v>52</v>
      </c>
      <c r="M3" s="36" t="s">
        <v>52</v>
      </c>
      <c r="N3" s="36" t="s">
        <v>53</v>
      </c>
      <c r="O3" s="36" t="s">
        <v>54</v>
      </c>
      <c r="P3" s="36" t="s">
        <v>55</v>
      </c>
      <c r="R3" s="36"/>
      <c r="S3" s="36"/>
      <c r="T3" s="36" t="s">
        <v>51</v>
      </c>
      <c r="U3" s="36" t="s">
        <v>10</v>
      </c>
      <c r="V3" s="36"/>
      <c r="W3" s="28"/>
      <c r="X3" s="29"/>
      <c r="Y3" s="29" t="s">
        <v>56</v>
      </c>
      <c r="Z3" s="29"/>
      <c r="AA3" s="29"/>
      <c r="AB3" s="36" t="s">
        <v>57</v>
      </c>
      <c r="AC3" s="36" t="s">
        <v>43</v>
      </c>
      <c r="AD3" s="36" t="s">
        <v>43</v>
      </c>
      <c r="AE3" s="36" t="s">
        <v>58</v>
      </c>
      <c r="AF3" s="36" t="s">
        <v>58</v>
      </c>
      <c r="AG3" s="36" t="s">
        <v>59</v>
      </c>
      <c r="AH3" s="36" t="s">
        <v>59</v>
      </c>
      <c r="AI3" s="36" t="s">
        <v>60</v>
      </c>
      <c r="AJ3" s="36" t="s">
        <v>61</v>
      </c>
      <c r="AK3" s="36" t="s">
        <v>62</v>
      </c>
      <c r="AL3" s="36" t="s">
        <v>63</v>
      </c>
      <c r="AM3" s="11" t="s">
        <v>64</v>
      </c>
      <c r="AO3" s="38" t="s">
        <v>65</v>
      </c>
      <c r="AP3" s="39"/>
      <c r="AQ3" s="38" t="s">
        <v>66</v>
      </c>
      <c r="AR3" s="39"/>
      <c r="AS3" s="38" t="s">
        <v>67</v>
      </c>
      <c r="AT3" s="39"/>
      <c r="AU3" s="34" t="s">
        <v>68</v>
      </c>
      <c r="AV3" s="34" t="s">
        <v>68</v>
      </c>
      <c r="AW3" s="34"/>
      <c r="AX3" s="34" t="s">
        <v>68</v>
      </c>
      <c r="AZ3" s="40" t="s">
        <v>69</v>
      </c>
      <c r="BA3" s="40"/>
      <c r="BB3" s="41"/>
      <c r="BC3" s="40" t="s">
        <v>50</v>
      </c>
      <c r="BE3" s="35" t="s">
        <v>70</v>
      </c>
    </row>
    <row r="4" customFormat="false" ht="15" hidden="false" customHeight="false" outlineLevel="0" collapsed="false">
      <c r="A4" s="29" t="s">
        <v>0</v>
      </c>
      <c r="B4" s="36" t="s">
        <v>21</v>
      </c>
      <c r="C4" s="36" t="s">
        <v>71</v>
      </c>
      <c r="D4" s="37" t="s">
        <v>72</v>
      </c>
      <c r="E4" s="36" t="n">
        <v>2</v>
      </c>
      <c r="F4" s="36" t="n">
        <v>3</v>
      </c>
      <c r="G4" s="36" t="s">
        <v>73</v>
      </c>
      <c r="H4" s="36" t="s">
        <v>74</v>
      </c>
      <c r="I4" s="36" t="s">
        <v>75</v>
      </c>
      <c r="J4" s="36" t="s">
        <v>76</v>
      </c>
      <c r="K4" s="36" t="s">
        <v>77</v>
      </c>
      <c r="L4" s="36" t="n">
        <v>1</v>
      </c>
      <c r="M4" s="36" t="n">
        <v>2</v>
      </c>
      <c r="N4" s="36" t="s">
        <v>78</v>
      </c>
      <c r="O4" s="36" t="s">
        <v>79</v>
      </c>
      <c r="P4" s="36" t="s">
        <v>80</v>
      </c>
      <c r="Q4" s="36" t="s">
        <v>81</v>
      </c>
      <c r="R4" s="36" t="s">
        <v>82</v>
      </c>
      <c r="S4" s="36" t="s">
        <v>83</v>
      </c>
      <c r="T4" s="36" t="s">
        <v>84</v>
      </c>
      <c r="U4" s="36" t="s">
        <v>71</v>
      </c>
      <c r="V4" s="36" t="s">
        <v>85</v>
      </c>
      <c r="W4" s="36" t="s">
        <v>86</v>
      </c>
      <c r="X4" s="36" t="s">
        <v>87</v>
      </c>
      <c r="Y4" s="36" t="s">
        <v>88</v>
      </c>
      <c r="Z4" s="36" t="s">
        <v>89</v>
      </c>
      <c r="AA4" s="36" t="s">
        <v>90</v>
      </c>
      <c r="AB4" s="36" t="s">
        <v>75</v>
      </c>
      <c r="AC4" s="36" t="s">
        <v>91</v>
      </c>
      <c r="AD4" s="36" t="s">
        <v>92</v>
      </c>
      <c r="AE4" s="36" t="s">
        <v>93</v>
      </c>
      <c r="AF4" s="36" t="s">
        <v>92</v>
      </c>
      <c r="AG4" s="36" t="s">
        <v>93</v>
      </c>
      <c r="AH4" s="36" t="s">
        <v>92</v>
      </c>
      <c r="AI4" s="36" t="s">
        <v>94</v>
      </c>
      <c r="AJ4" s="36" t="s">
        <v>95</v>
      </c>
      <c r="AK4" s="36" t="s">
        <v>95</v>
      </c>
      <c r="AL4" s="36" t="s">
        <v>96</v>
      </c>
      <c r="AM4" s="36" t="s">
        <v>97</v>
      </c>
      <c r="AN4" s="29"/>
      <c r="AO4" s="42" t="s">
        <v>98</v>
      </c>
      <c r="AP4" s="36" t="s">
        <v>99</v>
      </c>
      <c r="AQ4" s="36" t="s">
        <v>98</v>
      </c>
      <c r="AR4" s="36" t="s">
        <v>99</v>
      </c>
      <c r="AS4" s="36" t="s">
        <v>98</v>
      </c>
      <c r="AT4" s="36" t="s">
        <v>99</v>
      </c>
      <c r="AU4" s="34" t="s">
        <v>100</v>
      </c>
      <c r="AV4" s="34" t="s">
        <v>101</v>
      </c>
      <c r="AW4" s="34" t="s">
        <v>102</v>
      </c>
      <c r="AX4" s="34" t="s">
        <v>103</v>
      </c>
      <c r="AY4" s="29"/>
      <c r="AZ4" s="43" t="s">
        <v>49</v>
      </c>
      <c r="BA4" s="44" t="s">
        <v>50</v>
      </c>
      <c r="BB4" s="45" t="s">
        <v>104</v>
      </c>
      <c r="BC4" s="45" t="s">
        <v>105</v>
      </c>
      <c r="BE4" s="11" t="s">
        <v>84</v>
      </c>
      <c r="BF4" s="11" t="s">
        <v>106</v>
      </c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</row>
    <row r="5" customFormat="false" ht="15" hidden="false" customHeight="false" outlineLevel="0" collapsed="false">
      <c r="A5" s="17" t="n">
        <f aca="false">SUM(First_date)</f>
        <v>36999</v>
      </c>
      <c r="B5" s="29" t="n">
        <f aca="false">(Weather_Input!B5+Weather_Input!C5)/2</f>
        <v>44.5</v>
      </c>
      <c r="C5" s="46" t="n">
        <v>605000</v>
      </c>
      <c r="D5" s="47" t="n">
        <v>0</v>
      </c>
      <c r="E5" s="47" t="n">
        <v>0</v>
      </c>
      <c r="F5" s="47" t="n">
        <v>0</v>
      </c>
      <c r="G5" s="47" t="n">
        <v>0</v>
      </c>
      <c r="H5" s="47" t="n">
        <v>0</v>
      </c>
      <c r="I5" s="47" t="n">
        <v>0</v>
      </c>
      <c r="J5" s="47" t="n">
        <v>0</v>
      </c>
      <c r="K5" s="47" t="n">
        <v>0</v>
      </c>
      <c r="L5" s="47" t="n">
        <v>0</v>
      </c>
      <c r="M5" s="47" t="n">
        <v>0</v>
      </c>
      <c r="N5" s="47" t="n">
        <v>0</v>
      </c>
      <c r="O5" s="47" t="n">
        <v>0</v>
      </c>
      <c r="P5" s="47" t="n">
        <v>0</v>
      </c>
      <c r="Q5" s="47" t="n">
        <v>0</v>
      </c>
      <c r="R5" s="47" t="n">
        <v>0</v>
      </c>
      <c r="S5" s="48" t="n">
        <v>4149</v>
      </c>
      <c r="T5" s="49" t="n">
        <v>0</v>
      </c>
      <c r="U5" s="46" t="n">
        <f aca="false">SUM(D5:S5)-T5</f>
        <v>4149</v>
      </c>
      <c r="V5" s="46" t="n">
        <v>223287</v>
      </c>
      <c r="W5" s="18" t="n">
        <v>1145</v>
      </c>
      <c r="X5" s="18" t="n">
        <v>0</v>
      </c>
      <c r="Y5" s="18" t="n">
        <v>0</v>
      </c>
      <c r="Z5" s="18" t="n">
        <v>307747</v>
      </c>
      <c r="AA5" s="18" t="n">
        <v>0</v>
      </c>
      <c r="AB5" s="18" t="n">
        <v>0</v>
      </c>
      <c r="AC5" s="18" t="n">
        <v>0</v>
      </c>
      <c r="AD5" s="18" t="n">
        <v>0</v>
      </c>
      <c r="AE5" s="18" t="n">
        <v>0</v>
      </c>
      <c r="AF5" s="18" t="n">
        <v>0</v>
      </c>
      <c r="AG5" s="18" t="n">
        <v>16</v>
      </c>
      <c r="AH5" s="18" t="n">
        <v>0</v>
      </c>
      <c r="AI5" s="18" t="n">
        <v>13</v>
      </c>
      <c r="AJ5" s="18" t="n">
        <v>9412</v>
      </c>
      <c r="AK5" s="18" t="n">
        <v>0</v>
      </c>
      <c r="AL5" s="18" t="n">
        <v>0</v>
      </c>
      <c r="AM5" s="29" t="n">
        <v>1031</v>
      </c>
      <c r="AN5" s="29"/>
      <c r="AO5" s="29" t="n">
        <v>5894</v>
      </c>
      <c r="AP5" s="29" t="n">
        <v>0</v>
      </c>
      <c r="AQ5" s="29" t="n">
        <v>11242</v>
      </c>
      <c r="AR5" s="29" t="n">
        <v>0</v>
      </c>
      <c r="AS5" s="29" t="n">
        <v>0</v>
      </c>
      <c r="AT5" s="29" t="n">
        <v>1045</v>
      </c>
      <c r="AU5" s="29" t="n">
        <v>257250</v>
      </c>
      <c r="AV5" s="29" t="n">
        <v>670</v>
      </c>
      <c r="AW5" s="50" t="n">
        <f aca="false">AU5*0.015</f>
        <v>3858.75</v>
      </c>
      <c r="AX5" s="29" t="n">
        <v>0</v>
      </c>
      <c r="AY5" s="29"/>
      <c r="AZ5" s="29" t="n">
        <v>0</v>
      </c>
      <c r="BA5" s="29" t="n">
        <v>0</v>
      </c>
      <c r="BB5" s="29" t="n">
        <v>0</v>
      </c>
      <c r="BC5" s="29" t="n">
        <v>0</v>
      </c>
      <c r="BD5" s="29"/>
      <c r="BE5" s="29" t="n">
        <v>0</v>
      </c>
      <c r="BF5" s="29" t="n">
        <v>0</v>
      </c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</row>
    <row r="6" customFormat="false" ht="15" hidden="false" customHeight="false" outlineLevel="0" collapsed="false">
      <c r="A6" s="17" t="n">
        <f aca="false">A5+1</f>
        <v>37000</v>
      </c>
      <c r="B6" s="51" t="n">
        <f aca="false">(Weather_Input!B6+Weather_Input!C6)/2</f>
        <v>58.5</v>
      </c>
      <c r="C6" s="46" t="n">
        <v>370000</v>
      </c>
      <c r="D6" s="52" t="s">
        <v>0</v>
      </c>
      <c r="E6" s="53"/>
      <c r="F6" s="53"/>
      <c r="G6" s="53"/>
      <c r="H6" s="53"/>
      <c r="I6" s="53" t="s">
        <v>0</v>
      </c>
      <c r="J6" s="53"/>
      <c r="K6" s="53"/>
      <c r="L6" s="53" t="s">
        <v>0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 t="s">
        <v>0</v>
      </c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 t="s">
        <v>107</v>
      </c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</row>
    <row r="7" customFormat="false" ht="15" hidden="false" customHeight="false" outlineLevel="0" collapsed="false">
      <c r="A7" s="17" t="n">
        <f aca="false">A6+1</f>
        <v>37001</v>
      </c>
      <c r="B7" s="51" t="n">
        <f aca="false">(Weather_Input!B7+Weather_Input!C7)/2</f>
        <v>66</v>
      </c>
      <c r="C7" s="46" t="n">
        <v>280000</v>
      </c>
      <c r="D7" s="52" t="s">
        <v>0</v>
      </c>
      <c r="E7" s="53"/>
      <c r="F7" s="53"/>
      <c r="G7" s="53"/>
      <c r="H7" s="54" t="s">
        <v>108</v>
      </c>
      <c r="I7" s="53"/>
      <c r="J7" s="53"/>
      <c r="K7" s="53"/>
      <c r="L7" s="53"/>
      <c r="M7" s="53"/>
      <c r="N7" s="53"/>
      <c r="O7" s="53"/>
      <c r="P7" s="53"/>
      <c r="Q7" s="53"/>
      <c r="R7" s="53" t="s">
        <v>109</v>
      </c>
      <c r="S7" s="55" t="n">
        <v>0</v>
      </c>
      <c r="T7" s="55"/>
      <c r="U7" s="53"/>
      <c r="V7" s="53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 t="s">
        <v>0</v>
      </c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</row>
    <row r="8" customFormat="false" ht="15" hidden="false" customHeight="false" outlineLevel="0" collapsed="false">
      <c r="A8" s="17" t="n">
        <f aca="false">A7+1</f>
        <v>37002</v>
      </c>
      <c r="B8" s="51" t="n">
        <f aca="false">(Weather_Input!B8+Weather_Input!C8)/2</f>
        <v>67.5</v>
      </c>
      <c r="C8" s="46" t="n">
        <v>240000</v>
      </c>
      <c r="D8" s="52" t="s">
        <v>0</v>
      </c>
      <c r="E8" s="53" t="s">
        <v>0</v>
      </c>
      <c r="F8" s="53"/>
      <c r="G8" s="53"/>
      <c r="H8" s="56" t="s">
        <v>110</v>
      </c>
      <c r="I8" s="53"/>
      <c r="J8" s="53"/>
      <c r="K8" s="53"/>
      <c r="L8" s="53"/>
      <c r="M8" s="53"/>
      <c r="N8" s="53"/>
      <c r="O8" s="53"/>
      <c r="P8" s="53"/>
      <c r="Q8" s="53"/>
      <c r="R8" s="53" t="s">
        <v>111</v>
      </c>
      <c r="S8" s="55" t="n">
        <v>0</v>
      </c>
      <c r="T8" s="55"/>
      <c r="U8" s="53"/>
      <c r="V8" s="53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</row>
    <row r="9" customFormat="false" ht="15" hidden="false" customHeight="false" outlineLevel="0" collapsed="false">
      <c r="A9" s="17" t="n">
        <f aca="false">A8+1</f>
        <v>37003</v>
      </c>
      <c r="B9" s="51" t="n">
        <f aca="false">(Weather_Input!B9+Weather_Input!C9)/2</f>
        <v>59.5</v>
      </c>
      <c r="C9" s="46" t="n">
        <v>315000</v>
      </c>
      <c r="D9" s="52" t="s">
        <v>0</v>
      </c>
      <c r="E9" s="53"/>
      <c r="F9" s="53"/>
      <c r="G9" s="53"/>
      <c r="H9" s="53" t="s">
        <v>112</v>
      </c>
      <c r="I9" s="53"/>
      <c r="J9" s="53"/>
      <c r="K9" s="53"/>
      <c r="L9" s="53"/>
      <c r="M9" s="53"/>
      <c r="N9" s="53"/>
      <c r="O9" s="53"/>
      <c r="P9" s="53"/>
      <c r="Q9" s="53"/>
      <c r="R9" s="53" t="s">
        <v>113</v>
      </c>
      <c r="S9" s="55" t="n">
        <v>0</v>
      </c>
      <c r="T9" s="55"/>
      <c r="U9" s="53"/>
      <c r="V9" s="53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</row>
    <row r="10" customFormat="false" ht="15" hidden="false" customHeight="false" outlineLevel="0" collapsed="false">
      <c r="A10" s="17" t="n">
        <f aca="false">A9+1</f>
        <v>37004</v>
      </c>
      <c r="B10" s="51" t="n">
        <f aca="false">(Weather_Input!B10+Weather_Input!C10)/2</f>
        <v>59.5</v>
      </c>
      <c r="C10" s="46" t="n">
        <v>330000</v>
      </c>
      <c r="D10" s="52" t="s">
        <v>0</v>
      </c>
      <c r="E10" s="53" t="s">
        <v>0</v>
      </c>
      <c r="F10" s="53"/>
      <c r="G10" s="53"/>
      <c r="H10" s="53" t="s">
        <v>114</v>
      </c>
      <c r="I10" s="53"/>
      <c r="J10" s="53"/>
      <c r="K10" s="53"/>
      <c r="L10" s="53"/>
      <c r="M10" s="53"/>
      <c r="N10" s="53"/>
      <c r="O10" s="53"/>
      <c r="P10" s="53"/>
      <c r="Q10" s="53"/>
      <c r="R10" s="53" t="s">
        <v>115</v>
      </c>
      <c r="S10" s="55" t="n">
        <v>0</v>
      </c>
      <c r="T10" s="55"/>
      <c r="U10" s="53"/>
      <c r="V10" s="53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</row>
    <row r="11" customFormat="false" ht="15" hidden="false" customHeight="false" outlineLevel="0" collapsed="false">
      <c r="A11" s="0" t="s">
        <v>2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 t="s">
        <v>116</v>
      </c>
      <c r="S11" s="57" t="n">
        <v>0</v>
      </c>
      <c r="T11" s="57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29"/>
      <c r="O12" s="29"/>
      <c r="P12" s="29"/>
      <c r="Q12" s="29"/>
      <c r="R12" s="29" t="s">
        <v>117</v>
      </c>
      <c r="S12" s="57" t="n">
        <v>0</v>
      </c>
      <c r="T12" s="57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</row>
    <row r="13" customFormat="false" ht="15" hidden="false" customHeight="false" outlineLevel="0" collapsed="false">
      <c r="N13" s="29"/>
      <c r="O13" s="29"/>
      <c r="P13" s="29"/>
      <c r="Q13" s="29"/>
      <c r="R13" s="29" t="s">
        <v>118</v>
      </c>
      <c r="S13" s="57" t="n">
        <v>0</v>
      </c>
      <c r="T13" s="57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</row>
    <row r="14" customFormat="false" ht="15" hidden="false" customHeight="false" outlineLevel="0" collapsed="false">
      <c r="N14" s="29"/>
      <c r="O14" s="29"/>
      <c r="P14" s="29"/>
      <c r="Q14" s="29"/>
      <c r="R14" s="29" t="s">
        <v>119</v>
      </c>
      <c r="S14" s="57" t="n">
        <v>0</v>
      </c>
      <c r="T14" s="57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</row>
    <row r="15" customFormat="false" ht="15" hidden="false" customHeight="false" outlineLevel="0" collapsed="false">
      <c r="N15" s="29"/>
      <c r="O15" s="29"/>
      <c r="P15" s="29"/>
      <c r="Q15" s="29"/>
      <c r="R15" s="29" t="s">
        <v>120</v>
      </c>
      <c r="S15" s="57" t="n">
        <v>0</v>
      </c>
      <c r="T15" s="57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</row>
    <row r="16" customFormat="false" ht="15" hidden="false" customHeight="false" outlineLevel="0" collapsed="false">
      <c r="N16" s="29"/>
      <c r="O16" s="29"/>
      <c r="P16" s="29"/>
      <c r="Q16" s="29"/>
      <c r="R16" s="29"/>
      <c r="S16" s="58" t="s">
        <v>0</v>
      </c>
      <c r="T16" s="58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</row>
    <row r="17" customFormat="false" ht="15.75" hidden="false" customHeight="true" outlineLevel="0" collapsed="false"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</row>
    <row r="18" customFormat="false" ht="15" hidden="false" customHeight="false" outlineLevel="0" collapsed="false">
      <c r="C18" s="0" t="s">
        <v>2</v>
      </c>
      <c r="F18" s="5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</row>
    <row r="19" customFormat="false" ht="15" hidden="false" customHeight="false" outlineLevel="0" collapsed="false"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</row>
    <row r="29" customFormat="false" ht="15" hidden="false" customHeight="false" outlineLevel="0" collapsed="false">
      <c r="S29" s="60"/>
      <c r="T29" s="60"/>
    </row>
    <row r="30" customFormat="false" ht="15" hidden="false" customHeight="false" outlineLevel="0" collapsed="false">
      <c r="S30" s="60"/>
      <c r="T30" s="6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01" width="8.88"/>
    <col collapsed="false" customWidth="false" hidden="false" outlineLevel="0" max="257" min="2" style="1102" width="8.88"/>
  </cols>
  <sheetData>
    <row r="1" customFormat="false" ht="15.75" hidden="false" customHeight="false" outlineLevel="0" collapsed="false">
      <c r="A1" s="1103"/>
      <c r="B1" s="1104"/>
      <c r="D1" s="1105"/>
    </row>
    <row r="2" customFormat="false" ht="15.75" hidden="false" customHeight="false" outlineLevel="0" collapsed="false">
      <c r="A2" s="1106"/>
      <c r="G2" s="1104"/>
    </row>
    <row r="3" customFormat="false" ht="15" hidden="false" customHeight="false" outlineLevel="0" collapsed="false">
      <c r="DZ3" s="0"/>
      <c r="EA3" s="1107"/>
    </row>
    <row r="5" customFormat="false" ht="15.75" hidden="false" customHeight="false" outlineLevel="0" collapsed="false">
      <c r="A5" s="1108"/>
      <c r="B5" s="1104"/>
    </row>
    <row r="6" customFormat="false" ht="12.75" hidden="false" customHeight="false" outlineLevel="0" collapsed="false">
      <c r="A6" s="1109"/>
    </row>
    <row r="7" customFormat="false" ht="12.75" hidden="false" customHeight="false" outlineLevel="0" collapsed="false">
      <c r="A7" s="1109"/>
    </row>
    <row r="8" customFormat="false" ht="12.75" hidden="false" customHeight="false" outlineLevel="0" collapsed="false">
      <c r="A8" s="1109"/>
    </row>
    <row r="9" customFormat="false" ht="12.75" hidden="false" customHeight="false" outlineLevel="0" collapsed="false">
      <c r="A9" s="1109" t="s">
        <v>0</v>
      </c>
      <c r="C9" s="1110"/>
    </row>
    <row r="10" customFormat="false" ht="12.75" hidden="false" customHeight="false" outlineLevel="0" collapsed="false">
      <c r="A10" s="1109"/>
    </row>
    <row r="11" customFormat="false" ht="12.75" hidden="false" customHeight="false" outlineLevel="0" collapsed="false">
      <c r="A11" s="1109"/>
    </row>
    <row r="12" customFormat="false" ht="12.75" hidden="false" customHeight="false" outlineLevel="0" collapsed="false">
      <c r="A12" s="1109"/>
    </row>
    <row r="13" customFormat="false" ht="12.75" hidden="false" customHeight="false" outlineLevel="0" collapsed="false">
      <c r="A13" s="1109"/>
    </row>
    <row r="14" customFormat="false" ht="12.75" hidden="false" customHeight="false" outlineLevel="0" collapsed="false">
      <c r="A14" s="1109"/>
      <c r="C14" s="1102" t="s">
        <v>0</v>
      </c>
      <c r="D14" s="1102" t="s">
        <v>0</v>
      </c>
    </row>
    <row r="15" customFormat="false" ht="12.75" hidden="false" customHeight="false" outlineLevel="0" collapsed="false">
      <c r="A15" s="1109"/>
    </row>
    <row r="16" customFormat="false" ht="12.75" hidden="false" customHeight="false" outlineLevel="0" collapsed="false">
      <c r="A16" s="1109"/>
    </row>
    <row r="17" customFormat="false" ht="12.75" hidden="false" customHeight="false" outlineLevel="0" collapsed="false">
      <c r="A17" s="1109"/>
    </row>
    <row r="18" customFormat="false" ht="12.75" hidden="false" customHeight="false" outlineLevel="0" collapsed="false">
      <c r="A18" s="1109"/>
    </row>
    <row r="19" customFormat="false" ht="12.75" hidden="false" customHeight="false" outlineLevel="0" collapsed="false">
      <c r="A19" s="1109"/>
    </row>
    <row r="20" customFormat="false" ht="12.75" hidden="false" customHeight="false" outlineLevel="0" collapsed="false">
      <c r="A20" s="1109"/>
    </row>
    <row r="21" customFormat="false" ht="12.75" hidden="false" customHeight="false" outlineLevel="0" collapsed="false">
      <c r="A21" s="1109"/>
    </row>
    <row r="22" customFormat="false" ht="12.75" hidden="false" customHeight="false" outlineLevel="0" collapsed="false">
      <c r="A22" s="1109"/>
    </row>
    <row r="23" customFormat="false" ht="12.75" hidden="false" customHeight="false" outlineLevel="0" collapsed="false">
      <c r="A23" s="1109"/>
    </row>
    <row r="24" customFormat="false" ht="12.75" hidden="false" customHeight="false" outlineLevel="0" collapsed="false">
      <c r="A24" s="1109"/>
    </row>
    <row r="25" customFormat="false" ht="12.75" hidden="false" customHeight="false" outlineLevel="0" collapsed="false">
      <c r="A25" s="1109"/>
    </row>
    <row r="26" customFormat="false" ht="12.75" hidden="false" customHeight="false" outlineLevel="0" collapsed="false">
      <c r="A26" s="1109"/>
    </row>
    <row r="27" customFormat="false" ht="12.75" hidden="false" customHeight="false" outlineLevel="0" collapsed="false">
      <c r="A27" s="1109"/>
    </row>
    <row r="28" customFormat="false" ht="12.75" hidden="false" customHeight="false" outlineLevel="0" collapsed="false">
      <c r="A28" s="1109"/>
    </row>
    <row r="29" customFormat="false" ht="12.75" hidden="false" customHeight="false" outlineLevel="0" collapsed="false">
      <c r="A29" s="1109"/>
    </row>
    <row r="30" customFormat="false" ht="12.75" hidden="false" customHeight="false" outlineLevel="0" collapsed="false">
      <c r="A30" s="1109"/>
    </row>
    <row r="31" customFormat="false" ht="12.75" hidden="false" customHeight="false" outlineLevel="0" collapsed="false">
      <c r="A31" s="1109"/>
    </row>
    <row r="32" customFormat="false" ht="12.75" hidden="false" customHeight="false" outlineLevel="0" collapsed="false">
      <c r="A32" s="1109"/>
    </row>
    <row r="33" customFormat="false" ht="12.75" hidden="false" customHeight="false" outlineLevel="0" collapsed="false">
      <c r="A33" s="1109"/>
    </row>
    <row r="34" customFormat="false" ht="12.75" hidden="false" customHeight="false" outlineLevel="0" collapsed="false">
      <c r="A34" s="1109"/>
    </row>
    <row r="35" customFormat="false" ht="12.75" hidden="false" customHeight="false" outlineLevel="0" collapsed="false">
      <c r="A35" s="1109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29" t="s">
        <v>787</v>
      </c>
      <c r="B1" s="106" t="n">
        <f aca="false">Weather_Input!A5</f>
        <v>36999</v>
      </c>
      <c r="C1" s="1111"/>
    </row>
    <row r="2" customFormat="false" ht="15" hidden="false" customHeight="false" outlineLevel="0" collapsed="false">
      <c r="A2" s="28" t="s">
        <v>788</v>
      </c>
      <c r="B2" s="1111"/>
      <c r="C2" s="1111"/>
    </row>
    <row r="3" customFormat="false" ht="15.75" hidden="false" customHeight="false" outlineLevel="0" collapsed="false">
      <c r="B3" s="1112" t="s">
        <v>86</v>
      </c>
      <c r="C3" s="1112"/>
      <c r="D3" s="1112"/>
      <c r="E3" s="1112"/>
      <c r="F3" s="1112"/>
      <c r="G3" s="1112"/>
      <c r="H3" s="1113" t="s">
        <v>87</v>
      </c>
      <c r="I3" s="1113"/>
      <c r="J3" s="1113"/>
      <c r="K3" s="1113"/>
      <c r="L3" s="1113"/>
      <c r="M3" s="1113"/>
      <c r="N3" s="850" t="s">
        <v>43</v>
      </c>
      <c r="O3" s="850"/>
      <c r="P3" s="850"/>
      <c r="Q3" s="850"/>
      <c r="R3" s="850"/>
      <c r="S3" s="850"/>
    </row>
    <row r="4" customFormat="false" ht="15" hidden="false" customHeight="false" outlineLevel="0" collapsed="false">
      <c r="B4" s="1114" t="s">
        <v>789</v>
      </c>
      <c r="C4" s="1114"/>
      <c r="D4" s="11" t="s">
        <v>692</v>
      </c>
      <c r="E4" s="11" t="s">
        <v>692</v>
      </c>
      <c r="F4" s="1115" t="s">
        <v>790</v>
      </c>
      <c r="G4" s="1115"/>
      <c r="H4" s="4" t="s">
        <v>789</v>
      </c>
      <c r="I4" s="4"/>
      <c r="J4" s="11" t="s">
        <v>692</v>
      </c>
      <c r="K4" s="11" t="s">
        <v>692</v>
      </c>
      <c r="L4" s="1115" t="s">
        <v>790</v>
      </c>
      <c r="M4" s="1115"/>
      <c r="N4" s="4" t="s">
        <v>789</v>
      </c>
      <c r="O4" s="4"/>
      <c r="P4" s="11" t="s">
        <v>692</v>
      </c>
      <c r="Q4" s="11" t="s">
        <v>692</v>
      </c>
      <c r="R4" s="4" t="s">
        <v>790</v>
      </c>
      <c r="S4" s="4"/>
    </row>
    <row r="5" customFormat="false" ht="15" hidden="false" customHeight="false" outlineLevel="0" collapsed="false">
      <c r="A5" s="801"/>
      <c r="B5" s="1116" t="s">
        <v>791</v>
      </c>
      <c r="C5" s="1117" t="s">
        <v>792</v>
      </c>
      <c r="D5" s="1118" t="s">
        <v>793</v>
      </c>
      <c r="E5" s="1118" t="s">
        <v>794</v>
      </c>
      <c r="F5" s="1118" t="s">
        <v>791</v>
      </c>
      <c r="G5" s="1119" t="s">
        <v>792</v>
      </c>
      <c r="H5" s="1118" t="s">
        <v>791</v>
      </c>
      <c r="I5" s="1118" t="s">
        <v>792</v>
      </c>
      <c r="J5" s="1118" t="s">
        <v>793</v>
      </c>
      <c r="K5" s="1118" t="s">
        <v>794</v>
      </c>
      <c r="L5" s="1118" t="s">
        <v>791</v>
      </c>
      <c r="M5" s="1119" t="s">
        <v>792</v>
      </c>
      <c r="N5" s="1118" t="s">
        <v>791</v>
      </c>
      <c r="O5" s="1118" t="s">
        <v>792</v>
      </c>
      <c r="P5" s="1118" t="s">
        <v>793</v>
      </c>
      <c r="Q5" s="1118" t="s">
        <v>794</v>
      </c>
      <c r="R5" s="1118" t="s">
        <v>791</v>
      </c>
      <c r="S5" s="1118" t="s">
        <v>792</v>
      </c>
    </row>
    <row r="6" customFormat="false" ht="15" hidden="false" customHeight="false" outlineLevel="0" collapsed="false">
      <c r="A6" s="1111" t="n">
        <f aca="false">B1-1</f>
        <v>36998</v>
      </c>
      <c r="B6" s="857" t="e">
        <f aca="false"/>
        <v>#REF!</v>
      </c>
      <c r="C6" s="1120" t="e">
        <f aca="false"/>
        <v>#REF!</v>
      </c>
      <c r="D6" s="1120" t="e">
        <f aca="false"/>
        <v>#REF!</v>
      </c>
      <c r="E6" s="1120" t="e">
        <f aca="false"/>
        <v>#REF!</v>
      </c>
      <c r="F6" s="1120" t="e">
        <f aca="false"/>
        <v>#REF!</v>
      </c>
      <c r="G6" s="1120" t="e">
        <f aca="false"/>
        <v>#REF!</v>
      </c>
      <c r="H6" s="1120" t="e">
        <f aca="false"/>
        <v>#REF!</v>
      </c>
      <c r="I6" s="1120" t="e">
        <f aca="false"/>
        <v>#REF!</v>
      </c>
      <c r="J6" s="1120" t="e">
        <f aca="false"/>
        <v>#REF!</v>
      </c>
      <c r="K6" s="1120" t="e">
        <f aca="false"/>
        <v>#REF!</v>
      </c>
      <c r="L6" s="1120" t="e">
        <f aca="false"/>
        <v>#REF!</v>
      </c>
      <c r="M6" s="1120" t="e">
        <f aca="false"/>
        <v>#REF!</v>
      </c>
      <c r="N6" s="1120" t="n">
        <v>229414</v>
      </c>
      <c r="O6" s="1120" t="n">
        <v>0</v>
      </c>
      <c r="P6" s="1120" t="n">
        <v>43307725</v>
      </c>
      <c r="Q6" s="1120" t="n">
        <v>15045098</v>
      </c>
      <c r="R6" s="1120" t="n">
        <v>28262627</v>
      </c>
      <c r="S6" s="1120" t="n">
        <v>0</v>
      </c>
    </row>
    <row r="7" customFormat="false" ht="15" hidden="false" customHeight="false" outlineLevel="0" collapsed="false">
      <c r="A7" s="1111" t="n">
        <f aca="false">B1</f>
        <v>36999</v>
      </c>
      <c r="B7" s="857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(PGL_Supplies!$Z$7+PGL_Supplies!$U$7+PGL_Supplies!$R$7+NSG_Requirements!$S$7+PGL_Supplies!$C$7+NSG_Requirements!$T$7+NSG_Requirements!$V$7+NSG_Requirements!$W$7+#REF!+PGL_Requirements!$U$7+PGL_Requirements!$V$7+PGL_Requirements!$W$7-PGL_Deliveries!$W$5),0)</f>
        <v>#REF!</v>
      </c>
      <c r="C7" s="1121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0,0,(PGL_Deliveries!$W$5-(PGL_Supplies!$Z$7+PGL_Supplies!$U$7+PGL_Supplies!$R$7+PGL_Supplies!$S$7+NSG_Requirements!$S$7+NSG_Requirements!$T$7+NSG_Requirements!$V$7+NSG_Requirements!$W$7)+#REF!+PGL_Requirements!$U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889" t="e">
        <f aca="false">IF(E7&gt;D7,E7-D7,0)</f>
        <v>#REF!</v>
      </c>
      <c r="H7" s="0" t="e">
        <f aca="false">IF((PGL_Deliveries!$X$5-(PGL_Supplies!$V$7+#REF!+PGL_Supplies!$Q$7))&lt;0,(PGL_Supplies!$V$7+#REF!+PGL_Supplies!$Q$7-PGL_Deliveries!$X$5),0)</f>
        <v>#REF!</v>
      </c>
      <c r="I7" s="0" t="e">
        <f aca="false">IF((PGL_Deliveries!$X$5-(PGL_Supplies!$V$7+#REF!+PGL_Supplies!$Q$7))&lt;0,0,(PGL_Deliveries!$X$5-(PGL_Supplies!$V$7+#REF!+PGL_Supplies!$Q$7)))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889" t="e">
        <f aca="false">IF(K7&gt;J7,K7-J7,0)</f>
        <v>#REF!</v>
      </c>
      <c r="N7" s="0" t="n">
        <f aca="false">IF((PGL_Deliveries!AB5+PGL_Deliveries!AC5+PGL_Deliveries!AD5)-(PGL_Supplies!P7+PGL_Supplies!Y7+PGL_Supplies!AD7+PGL_Supplies!AE7)+(PGL_Requirements!N7+PGL_Requirements!T7)&lt;0,(PGL_Supplies!$P$7+PGL_Supplies!$Y$7+PGL_Supplies!$AD$7+PGL_Supplies!$AE$7)-(PGL_Requirements!N7+PGL_Requirements!T7)-(PGL_Deliveries!$AB$5+PGL_Deliveries!$AC$5+PGL_Deliveries!$AD$5),0)</f>
        <v>207088</v>
      </c>
      <c r="O7" s="0" t="n">
        <f aca="false">IF((PGL_Deliveries!$AB$5+PGL_Deliveries!$AC$5+PGL_Deliveries!$AD$5)-(PGL_Supplies!$P$7+PGL_Supplies!$Y$7+PGL_Supplies!$AD$7+PGL_Supplies!$AE$7)+PGL_Requirements!N7+PGL_Requirements!T7&lt;0,0,(PGL_Deliveries!$AB$5+PGL_Deliveries!$AC$5+PGL_Deliveries!$AD$5)-(PGL_Supplies!$P$7+PGL_Supplies!$Y$7+PGL_Supplies!$AD$7+PGL_Supplies!$AE$7)+(PGL_Requirements!N7+PGL_Requirements!T7))</f>
        <v>0</v>
      </c>
      <c r="P7" s="0" t="n">
        <f aca="false">IF(N7&gt;0,P6+N7,N6)</f>
        <v>43514813</v>
      </c>
      <c r="Q7" s="0" t="n">
        <f aca="false">IF(O7&gt;0,Q6+O7,Q6)</f>
        <v>15045098</v>
      </c>
      <c r="R7" s="0" t="n">
        <f aca="false">IF(P7&gt;Q7,P7-Q7,0)</f>
        <v>28469715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11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6" t="s">
        <v>795</v>
      </c>
      <c r="C1" s="36" t="s">
        <v>796</v>
      </c>
      <c r="D1" s="1122" t="s">
        <v>797</v>
      </c>
    </row>
    <row r="2" customFormat="false" ht="15" hidden="false" customHeight="false" outlineLevel="0" collapsed="false">
      <c r="B2" s="36" t="s">
        <v>798</v>
      </c>
      <c r="C2" s="36" t="s">
        <v>22</v>
      </c>
      <c r="D2" s="1122" t="s">
        <v>22</v>
      </c>
    </row>
    <row r="3" customFormat="false" ht="15" hidden="false" customHeight="false" outlineLevel="0" collapsed="false">
      <c r="A3" s="1111" t="n">
        <v>36739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11" t="n">
        <f aca="false">A3+1</f>
        <v>36740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11" t="n">
        <f aca="false">A4+1</f>
        <v>36741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11" t="n">
        <f aca="false">A5+1</f>
        <v>36742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11" t="n">
        <f aca="false">A6+1</f>
        <v>36743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11" t="n">
        <f aca="false">A7+1</f>
        <v>36744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11" t="n">
        <f aca="false">A8+1</f>
        <v>36745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11" t="n">
        <f aca="false">A9+1</f>
        <v>36746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11" t="n">
        <f aca="false">A10+1</f>
        <v>36747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11" t="n">
        <f aca="false">A11+1</f>
        <v>36748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11" t="n">
        <f aca="false">A12+1</f>
        <v>36749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11" t="n">
        <f aca="false">A13+1</f>
        <v>36750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11" t="n">
        <f aca="false">A14+1</f>
        <v>36751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11" t="n">
        <f aca="false">A15+1</f>
        <v>36752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11" t="n">
        <f aca="false">A16+1</f>
        <v>36753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11" t="n">
        <f aca="false">A17+1</f>
        <v>36754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11" t="n">
        <f aca="false">A18+1</f>
        <v>36755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11" t="n">
        <f aca="false">A19+1</f>
        <v>36756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11" t="n">
        <f aca="false">A20+1</f>
        <v>36757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11" t="n">
        <f aca="false">A21+1</f>
        <v>36758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11" t="n">
        <f aca="false">A22+1</f>
        <v>36759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11" t="n">
        <f aca="false">A23+1</f>
        <v>36760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11" t="n">
        <f aca="false">A24+1</f>
        <v>36761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11" t="n">
        <f aca="false">A25+1</f>
        <v>36762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11" t="n">
        <f aca="false">A26+1</f>
        <v>36763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11" t="n">
        <f aca="false">A27+1</f>
        <v>36764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11" t="n">
        <f aca="false">A28+1</f>
        <v>36765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11" t="n">
        <f aca="false">A29+1</f>
        <v>36766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11" t="n">
        <f aca="false">A30+1</f>
        <v>36767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11" t="n">
        <f aca="false">A31+1</f>
        <v>36768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11" t="n">
        <f aca="false">A32+1</f>
        <v>36769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11" t="n">
        <f aca="false">A33+1</f>
        <v>36770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11" t="n">
        <f aca="false">A34+1</f>
        <v>36771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11" t="n">
        <f aca="false">A35+1</f>
        <v>36772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11" t="n">
        <f aca="false">A36+1</f>
        <v>36773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11" t="n">
        <f aca="false">A37+1</f>
        <v>36774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11" t="n">
        <f aca="false">A38+1</f>
        <v>36775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11" t="n">
        <f aca="false">A39+1</f>
        <v>36776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11" t="n">
        <f aca="false">A40+1</f>
        <v>36777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11" t="n">
        <f aca="false">A41+1</f>
        <v>36778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11" t="n">
        <f aca="false">A42+1</f>
        <v>36779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11" t="n">
        <f aca="false">A43+1</f>
        <v>36780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11" t="n">
        <f aca="false">A44+1</f>
        <v>36781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11" t="n">
        <f aca="false">A45+1</f>
        <v>36782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11" t="n">
        <f aca="false">A46+1</f>
        <v>36783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11" t="n">
        <f aca="false">A47+1</f>
        <v>36784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11" t="n">
        <f aca="false">A48+1</f>
        <v>36785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11" t="n">
        <f aca="false">A49+1</f>
        <v>36786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11" t="n">
        <f aca="false">A50+1</f>
        <v>36787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11" t="n">
        <f aca="false">A51+1</f>
        <v>36788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11" t="n">
        <f aca="false">A52+1</f>
        <v>36789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11" t="n">
        <f aca="false">A53+1</f>
        <v>36790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11" t="n">
        <f aca="false">A54+1</f>
        <v>36791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11" t="n">
        <f aca="false">A55+1</f>
        <v>36792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11" t="n">
        <f aca="false">A56+1</f>
        <v>36793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11" t="n">
        <f aca="false">A57+1</f>
        <v>36794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11" t="n">
        <f aca="false">A58+1</f>
        <v>36795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11" t="n">
        <f aca="false">A59+1</f>
        <v>36796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11" t="n">
        <f aca="false">A60+1</f>
        <v>36797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11" t="n">
        <f aca="false">A61+1</f>
        <v>36798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11" t="n">
        <f aca="false">A62+1</f>
        <v>36799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11" t="n">
        <f aca="false">A63+1</f>
        <v>36800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11" t="n">
        <f aca="false">A64+1</f>
        <v>36801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11" t="n">
        <f aca="false">A65+1</f>
        <v>36802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11" t="n">
        <f aca="false">A66+1</f>
        <v>36803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11" t="n">
        <f aca="false">A67+1</f>
        <v>36804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11" t="n">
        <f aca="false">A68+1</f>
        <v>36805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11" t="n">
        <f aca="false">A69+1</f>
        <v>36806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11" t="n">
        <f aca="false">A70+1</f>
        <v>36807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11" t="n">
        <f aca="false">A71+1</f>
        <v>36808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11" t="n">
        <f aca="false">A72+1</f>
        <v>36809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11" t="n">
        <f aca="false">A73+1</f>
        <v>36810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11" t="n">
        <f aca="false">A74+1</f>
        <v>36811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11" t="n">
        <f aca="false">A75+1</f>
        <v>36812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11" t="n">
        <f aca="false">A76+1</f>
        <v>36813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11" t="n">
        <f aca="false">A77+1</f>
        <v>36814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11" t="n">
        <f aca="false">A78+1</f>
        <v>36815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11" t="n">
        <f aca="false">A79+1</f>
        <v>36816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11" t="n">
        <f aca="false">A80+1</f>
        <v>36817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11" t="n">
        <f aca="false">A81+1</f>
        <v>36818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11" t="n">
        <f aca="false">A82+1</f>
        <v>36819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11" t="n">
        <f aca="false">A83+1</f>
        <v>36820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11" t="n">
        <f aca="false">A84+1</f>
        <v>36821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11" t="n">
        <f aca="false">A85+1</f>
        <v>36822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11" t="n">
        <f aca="false">A86+1</f>
        <v>36823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11" t="n">
        <f aca="false">A87+1</f>
        <v>36824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11" t="n">
        <f aca="false">A88+1</f>
        <v>36825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11" t="n">
        <f aca="false">A89+1</f>
        <v>36826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11" t="n">
        <f aca="false">A90+1</f>
        <v>36827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11" t="n">
        <f aca="false">A91+1</f>
        <v>36828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11" t="n">
        <f aca="false">A92+1</f>
        <v>36829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11" t="n">
        <f aca="false">A93+1</f>
        <v>36830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11" t="n">
        <f aca="false">A94+1</f>
        <v>36831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11" t="n">
        <f aca="false">A95+1</f>
        <v>36832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11" t="n">
        <f aca="false">A96+1</f>
        <v>36833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11" t="n">
        <f aca="false">A97+1</f>
        <v>36834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11" t="n">
        <f aca="false">A98+1</f>
        <v>36835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11" t="n">
        <f aca="false">A99+1</f>
        <v>36836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11" t="n">
        <f aca="false">A100+1</f>
        <v>36837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11" t="n">
        <f aca="false">A101+1</f>
        <v>36838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11" t="n">
        <f aca="false">A102+1</f>
        <v>36839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11" t="n">
        <f aca="false">A103+1</f>
        <v>36840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11" t="n">
        <f aca="false">A104+1</f>
        <v>36841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11" t="n">
        <f aca="false">A105+1</f>
        <v>36842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11" t="n">
        <f aca="false">A106+1</f>
        <v>36843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11" t="n">
        <f aca="false">A107+1</f>
        <v>36844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11" t="n">
        <f aca="false">A108+1</f>
        <v>36845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11" t="n">
        <f aca="false">A109+1</f>
        <v>36846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11" t="n">
        <f aca="false">A110+1</f>
        <v>36847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11" t="n">
        <f aca="false">A111+1</f>
        <v>36848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11" t="n">
        <f aca="false">A112+1</f>
        <v>36849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11" t="n">
        <f aca="false">A113+1</f>
        <v>36850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11" t="n">
        <f aca="false">A114+1</f>
        <v>36851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11" t="n">
        <f aca="false">A115+1</f>
        <v>36852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11" t="n">
        <f aca="false">A116+1</f>
        <v>36853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11" t="n">
        <f aca="false">A117+1</f>
        <v>36854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11" t="n">
        <f aca="false">A118+1</f>
        <v>36855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11" t="n">
        <f aca="false">A119+1</f>
        <v>36856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11" t="n">
        <f aca="false">A120+1</f>
        <v>36857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11" t="n">
        <f aca="false">A121+1</f>
        <v>36858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11" t="n">
        <f aca="false">A122+1</f>
        <v>36859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11" t="n">
        <f aca="false">A123+1</f>
        <v>36860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11" t="n">
        <f aca="false">A124+1</f>
        <v>36861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11" t="n">
        <f aca="false">A125+1</f>
        <v>36862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11" t="n">
        <f aca="false">A126+1</f>
        <v>36863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11" t="n">
        <f aca="false">A127+1</f>
        <v>36864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11" t="n">
        <f aca="false">A128+1</f>
        <v>36865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11" t="n">
        <f aca="false">A129+1</f>
        <v>36866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11" t="n">
        <f aca="false">A130+1</f>
        <v>36867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11" t="n">
        <f aca="false">A131+1</f>
        <v>36868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11" t="n">
        <f aca="false">A132+1</f>
        <v>36869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11" t="n">
        <f aca="false">A133+1</f>
        <v>36870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11" t="n">
        <f aca="false">A134+1</f>
        <v>36871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11" t="n">
        <f aca="false">A135+1</f>
        <v>36872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11" t="n">
        <f aca="false">A136+1</f>
        <v>36873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11" t="n">
        <f aca="false">A137+1</f>
        <v>36874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11" t="n">
        <f aca="false">A138+1</f>
        <v>36875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11" t="n">
        <f aca="false">A139+1</f>
        <v>36876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11" t="n">
        <f aca="false">A140+1</f>
        <v>36877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11" t="n">
        <f aca="false">A141+1</f>
        <v>36878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11" t="n">
        <f aca="false">A142+1</f>
        <v>36879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11" t="n">
        <f aca="false">A143+1</f>
        <v>36880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11" t="n">
        <f aca="false">A144+1</f>
        <v>36881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11" t="n">
        <f aca="false">A145+1</f>
        <v>36882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11" t="n">
        <f aca="false">A146+1</f>
        <v>36883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11" t="n">
        <f aca="false">A147+1</f>
        <v>36884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11" t="n">
        <f aca="false">A148+1</f>
        <v>36885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11" t="n">
        <f aca="false">A149+1</f>
        <v>36886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11" t="n">
        <f aca="false">A150+1</f>
        <v>36887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11" t="n">
        <f aca="false">A151+1</f>
        <v>36888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11" t="n">
        <f aca="false">A152+1</f>
        <v>36889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11" t="n">
        <f aca="false">A153+1</f>
        <v>36890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11" t="n">
        <f aca="false">A154+1</f>
        <v>36891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11" t="n">
        <f aca="false">A155+1</f>
        <v>36892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11" t="n">
        <f aca="false">A156+1</f>
        <v>36893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11" t="n">
        <f aca="false">A157+1</f>
        <v>36894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11" t="n">
        <f aca="false">A158+1</f>
        <v>36895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11" t="n">
        <f aca="false">A159+1</f>
        <v>36896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11" t="n">
        <f aca="false">A160+1</f>
        <v>36897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11" t="n">
        <f aca="false">A161+1</f>
        <v>36898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11" t="n">
        <f aca="false">A162+1</f>
        <v>36899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11" t="n">
        <f aca="false">A163+1</f>
        <v>36900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11" t="n">
        <f aca="false">A164+1</f>
        <v>36901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11" t="n">
        <f aca="false">A165+1</f>
        <v>36902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11" t="n">
        <f aca="false">A166+1</f>
        <v>36903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11" t="n">
        <f aca="false">A167+1</f>
        <v>36904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11" t="n">
        <f aca="false">A168+1</f>
        <v>36905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11" t="n">
        <f aca="false">A169+1</f>
        <v>36906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11" t="n">
        <f aca="false">A170+1</f>
        <v>36907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11" t="n">
        <f aca="false">A171+1</f>
        <v>36908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11" t="n">
        <f aca="false">A172+1</f>
        <v>36909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11" t="n">
        <f aca="false">A173+1</f>
        <v>36910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11" t="n">
        <f aca="false">A174+1</f>
        <v>36911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11" t="n">
        <f aca="false">A175+1</f>
        <v>36912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11" t="n">
        <f aca="false">A176+1</f>
        <v>36913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11" t="n">
        <f aca="false">A177+1</f>
        <v>36914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11" t="n">
        <f aca="false">A178+1</f>
        <v>36915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11" t="n">
        <f aca="false">A179+1</f>
        <v>36916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11" t="n">
        <f aca="false">A180+1</f>
        <v>36917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11" t="n">
        <f aca="false">A181+1</f>
        <v>36918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11" t="n">
        <f aca="false">A182+1</f>
        <v>36919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11" t="n">
        <f aca="false">A183+1</f>
        <v>36920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11" t="n">
        <f aca="false">A184+1</f>
        <v>36921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11" t="n">
        <f aca="false">A185+1</f>
        <v>36922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11" t="n">
        <f aca="false">A186+1</f>
        <v>36923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11" t="n">
        <f aca="false">A187+1</f>
        <v>36924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11" t="n">
        <f aca="false">A188+1</f>
        <v>36925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11" t="n">
        <f aca="false">A189+1</f>
        <v>36926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11" t="n">
        <f aca="false">A190+1</f>
        <v>36927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11" t="n">
        <f aca="false">A191+1</f>
        <v>36928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11" t="n">
        <f aca="false">A192+1</f>
        <v>36929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11" t="n">
        <f aca="false">A193+1</f>
        <v>36930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11" t="n">
        <f aca="false">A194+1</f>
        <v>36931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11" t="n">
        <f aca="false">A195+1</f>
        <v>36932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11" t="n">
        <f aca="false">A196+1</f>
        <v>36933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11" t="n">
        <f aca="false">A197+1</f>
        <v>36934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11" t="n">
        <f aca="false">A198+1</f>
        <v>36935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11" t="n">
        <f aca="false">A199+1</f>
        <v>36936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11" t="n">
        <f aca="false">A200+1</f>
        <v>36937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11" t="n">
        <f aca="false">A201+1</f>
        <v>36938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11" t="n">
        <f aca="false">A202+1</f>
        <v>36939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11" t="n">
        <f aca="false">A203+1</f>
        <v>36940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11" t="n">
        <f aca="false">A204+1</f>
        <v>36941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11" t="n">
        <f aca="false">A205+1</f>
        <v>36942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11" t="n">
        <f aca="false">A206+1</f>
        <v>36943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11" t="n">
        <f aca="false">A207+1</f>
        <v>36944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11" t="n">
        <f aca="false">A208+1</f>
        <v>36945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11" t="n">
        <f aca="false">A209+1</f>
        <v>36946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11" t="n">
        <f aca="false">A210+1</f>
        <v>36947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11" t="n">
        <f aca="false">A211+1</f>
        <v>36948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11" t="n">
        <f aca="false">A212+1</f>
        <v>36949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11" t="n">
        <f aca="false">A213+1</f>
        <v>36950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11" t="n">
        <f aca="false">A214+1</f>
        <v>36951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11" t="n">
        <f aca="false">A215+1</f>
        <v>36952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11" t="n">
        <f aca="false">A216+1</f>
        <v>36953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11" t="n">
        <f aca="false">A217+1</f>
        <v>36954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11" t="n">
        <f aca="false">A218+1</f>
        <v>36955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11" t="n">
        <f aca="false">A219+1</f>
        <v>36956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11" t="n">
        <f aca="false">A220+1</f>
        <v>36957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11" t="n">
        <f aca="false">A221+1</f>
        <v>36958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11" t="n">
        <f aca="false">A222+1</f>
        <v>36959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11" t="n">
        <f aca="false">A223+1</f>
        <v>36960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11" t="n">
        <f aca="false">A224+1</f>
        <v>36961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11" t="n">
        <f aca="false">A225+1</f>
        <v>36962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11" t="n">
        <f aca="false">A226+1</f>
        <v>36963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11" t="n">
        <f aca="false">A227+1</f>
        <v>36964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11" t="n">
        <f aca="false">A228+1</f>
        <v>36965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11" t="n">
        <f aca="false">A229+1</f>
        <v>36966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11" t="n">
        <f aca="false">A230+1</f>
        <v>36967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11" t="n">
        <f aca="false">A231+1</f>
        <v>36968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11" t="n">
        <f aca="false">A232+1</f>
        <v>36969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11" t="n">
        <f aca="false">A233+1</f>
        <v>36970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11" t="n">
        <f aca="false">A234+1</f>
        <v>36971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11" t="n">
        <f aca="false">A235+1</f>
        <v>36972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11" t="n">
        <f aca="false">A236+1</f>
        <v>36973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11" t="n">
        <f aca="false">A237+1</f>
        <v>36974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11" t="n">
        <f aca="false">A238+1</f>
        <v>36975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11" t="n">
        <f aca="false">A239+1</f>
        <v>36976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11" t="n">
        <f aca="false">A240+1</f>
        <v>36977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11" t="n">
        <f aca="false">A241+1</f>
        <v>36978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11" t="n">
        <f aca="false">A242+1</f>
        <v>36979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11" t="n">
        <f aca="false">A243+1</f>
        <v>36980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11" t="n">
        <f aca="false">A244+1</f>
        <v>36981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11" t="n">
        <f aca="false">A245+1</f>
        <v>36982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11" t="n">
        <f aca="false">A246+1</f>
        <v>36983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11" t="n">
        <f aca="false">A247+1</f>
        <v>36984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11" t="n">
        <f aca="false">A248+1</f>
        <v>36985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11" t="n">
        <f aca="false">A249+1</f>
        <v>36986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11" t="n">
        <f aca="false">A250+1</f>
        <v>36987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11" t="n">
        <f aca="false">A251+1</f>
        <v>36988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11" t="n">
        <f aca="false">A252+1</f>
        <v>36989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11" t="n">
        <f aca="false">A253+1</f>
        <v>36990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11" t="n">
        <f aca="false">A254+1</f>
        <v>36991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11" t="n">
        <f aca="false">A255+1</f>
        <v>36992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11" t="n">
        <f aca="false">A256+1</f>
        <v>36993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11" t="n">
        <f aca="false">A257+1</f>
        <v>36994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11" t="n">
        <f aca="false">A258+1</f>
        <v>36995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11" t="n">
        <f aca="false">A259+1</f>
        <v>36996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11" t="n">
        <f aca="false">A260+1</f>
        <v>36997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11" t="n">
        <f aca="false">A261+1</f>
        <v>36998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11" t="n">
        <f aca="false">A262+1</f>
        <v>36999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11" t="n">
        <f aca="false">A263+1</f>
        <v>37000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11" t="n">
        <f aca="false">A264+1</f>
        <v>37001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11" t="n">
        <f aca="false">A265+1</f>
        <v>37002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11" t="n">
        <f aca="false">A266+1</f>
        <v>37003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11" t="n">
        <f aca="false">A267+1</f>
        <v>37004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11" t="n">
        <f aca="false">A268+1</f>
        <v>37005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11" t="n">
        <f aca="false">A269+1</f>
        <v>37006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11" t="n">
        <f aca="false">A270+1</f>
        <v>37007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11" t="n">
        <f aca="false">A271+1</f>
        <v>37008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11" t="n">
        <f aca="false">A272+1</f>
        <v>37009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11" t="n">
        <f aca="false">A273+1</f>
        <v>37010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11" t="n">
        <f aca="false">A274+1</f>
        <v>37011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11" t="n">
        <f aca="false">A275+1</f>
        <v>37012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11" t="n">
        <f aca="false">A276+1</f>
        <v>37013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11" t="n">
        <f aca="false">A277+1</f>
        <v>37014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11" t="n">
        <f aca="false">A278+1</f>
        <v>37015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11" t="n">
        <f aca="false">A279+1</f>
        <v>37016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11" t="n">
        <f aca="false">A280+1</f>
        <v>37017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11" t="n">
        <f aca="false">A281+1</f>
        <v>37018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11" t="n">
        <f aca="false">A282+1</f>
        <v>37019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11" t="n">
        <f aca="false">A283+1</f>
        <v>37020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11" t="n">
        <f aca="false">A284+1</f>
        <v>37021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11" t="n">
        <f aca="false">A285+1</f>
        <v>37022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11" t="n">
        <f aca="false">A286+1</f>
        <v>37023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11" t="n">
        <f aca="false">A287+1</f>
        <v>37024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11" t="n">
        <f aca="false">A288+1</f>
        <v>37025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11" t="n">
        <f aca="false">A289+1</f>
        <v>37026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11" t="n">
        <f aca="false">A290+1</f>
        <v>37027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11" t="n">
        <f aca="false">A291+1</f>
        <v>37028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11" t="n">
        <f aca="false">A292+1</f>
        <v>37029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11" t="n">
        <f aca="false">A293+1</f>
        <v>37030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11" t="n">
        <f aca="false">A294+1</f>
        <v>37031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11" t="n">
        <f aca="false">A295+1</f>
        <v>37032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11" t="n">
        <f aca="false">A296+1</f>
        <v>37033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11" t="n">
        <f aca="false">A297+1</f>
        <v>37034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11" t="n">
        <f aca="false">A298+1</f>
        <v>37035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11" t="n">
        <f aca="false">A299+1</f>
        <v>37036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11" t="n">
        <f aca="false">A300+1</f>
        <v>37037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11" t="n">
        <f aca="false">A301+1</f>
        <v>37038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11" t="n">
        <f aca="false">A302+1</f>
        <v>37039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11" t="n">
        <f aca="false">A303+1</f>
        <v>37040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11" t="n">
        <f aca="false">A304+1</f>
        <v>37041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11" t="n">
        <f aca="false">A305+1</f>
        <v>37042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11" t="n">
        <f aca="false">A306+1</f>
        <v>37043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11" t="n">
        <f aca="false">A307+1</f>
        <v>37044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11" t="n">
        <f aca="false">A308+1</f>
        <v>37045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11" t="n">
        <f aca="false">A309+1</f>
        <v>37046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11" t="n">
        <f aca="false">A310+1</f>
        <v>37047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11" t="n">
        <f aca="false">A311+1</f>
        <v>37048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11" t="n">
        <f aca="false">A312+1</f>
        <v>37049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11" t="n">
        <f aca="false">A313+1</f>
        <v>37050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11" t="n">
        <f aca="false">A314+1</f>
        <v>37051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11" t="n">
        <f aca="false">A315+1</f>
        <v>37052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11" t="n">
        <f aca="false">A316+1</f>
        <v>37053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11" t="n">
        <f aca="false">A317+1</f>
        <v>37054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11" t="n">
        <f aca="false">A318+1</f>
        <v>37055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11" t="n">
        <f aca="false">A319+1</f>
        <v>37056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11" t="n">
        <f aca="false">A320+1</f>
        <v>37057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11" t="n">
        <f aca="false">A321+1</f>
        <v>37058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11" t="n">
        <f aca="false">A322+1</f>
        <v>37059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11" t="n">
        <f aca="false">A323+1</f>
        <v>37060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11" t="n">
        <f aca="false">A324+1</f>
        <v>37061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11" t="n">
        <f aca="false">A325+1</f>
        <v>37062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11" t="n">
        <f aca="false">A326+1</f>
        <v>37063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11" t="n">
        <f aca="false">A327+1</f>
        <v>37064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11" t="n">
        <f aca="false">A328+1</f>
        <v>37065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11" t="n">
        <f aca="false">A329+1</f>
        <v>37066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11" t="n">
        <f aca="false">A330+1</f>
        <v>37067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11" t="n">
        <f aca="false">A331+1</f>
        <v>37068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11" t="n">
        <f aca="false">A332+1</f>
        <v>37069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11" t="n">
        <f aca="false">A333+1</f>
        <v>37070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11" t="n">
        <f aca="false">A334+1</f>
        <v>37071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11" t="n">
        <f aca="false">A335+1</f>
        <v>37072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11" t="n">
        <f aca="false">A336+1</f>
        <v>37073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11" t="n">
        <f aca="false">A337+1</f>
        <v>37074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11" t="n">
        <f aca="false">A338+1</f>
        <v>37075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11" t="n">
        <f aca="false">A339+1</f>
        <v>37076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11" t="n">
        <f aca="false">A340+1</f>
        <v>37077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11" t="n">
        <f aca="false">A341+1</f>
        <v>37078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11" t="n">
        <f aca="false">A342+1</f>
        <v>37079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11" t="n">
        <f aca="false">A343+1</f>
        <v>37080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11" t="n">
        <f aca="false">A344+1</f>
        <v>37081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11" t="n">
        <f aca="false">A345+1</f>
        <v>37082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11" t="n">
        <f aca="false">A346+1</f>
        <v>37083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11" t="n">
        <f aca="false">A347+1</f>
        <v>37084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11" t="n">
        <f aca="false">A348+1</f>
        <v>37085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11" t="n">
        <f aca="false">A349+1</f>
        <v>37086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11" t="n">
        <f aca="false">A350+1</f>
        <v>37087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11" t="n">
        <f aca="false">A351+1</f>
        <v>37088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11" t="n">
        <f aca="false">A352+1</f>
        <v>37089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11" t="n">
        <f aca="false">A353+1</f>
        <v>37090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11" t="n">
        <f aca="false">A354+1</f>
        <v>37091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11" t="n">
        <f aca="false">A355+1</f>
        <v>37092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11" t="n">
        <f aca="false">A356+1</f>
        <v>37093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11" t="n">
        <f aca="false">A357+1</f>
        <v>37094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11" t="n">
        <f aca="false">A358+1</f>
        <v>37095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11" t="n">
        <f aca="false">A359+1</f>
        <v>37096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11" t="n">
        <f aca="false">A360+1</f>
        <v>37097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11" t="n">
        <f aca="false">A361+1</f>
        <v>37098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11" t="n">
        <f aca="false">A362+1</f>
        <v>37099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11" t="n">
        <f aca="false">A363+1</f>
        <v>37100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11" t="n">
        <f aca="false">A364+1</f>
        <v>37101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11" t="n">
        <f aca="false">A365+1</f>
        <v>37102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11" t="n">
        <f aca="false">A366+1</f>
        <v>37103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11" t="n">
        <f aca="false">A367+1</f>
        <v>37104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11" t="n">
        <f aca="false">A368+1</f>
        <v>37105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11" t="n">
        <f aca="false">A369+1</f>
        <v>37106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11" t="n">
        <f aca="false">A370+1</f>
        <v>37107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11" t="n">
        <f aca="false">A371+1</f>
        <v>37108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11" t="n">
        <f aca="false">A372+1</f>
        <v>37109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11" t="n">
        <f aca="false">A373+1</f>
        <v>37110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29" width="8.88"/>
    <col collapsed="false" customWidth="true" hidden="false" outlineLevel="0" max="3" min="3" style="29" width="11.88"/>
    <col collapsed="false" customWidth="true" hidden="false" outlineLevel="0" max="4" min="4" style="29" width="9.44"/>
    <col collapsed="false" customWidth="true" hidden="false" outlineLevel="0" max="6" min="5" style="29" width="9.1"/>
    <col collapsed="false" customWidth="false" hidden="false" outlineLevel="0" max="7" min="7" style="29" width="8.88"/>
    <col collapsed="false" customWidth="true" hidden="false" outlineLevel="0" max="8" min="8" style="29" width="12.55"/>
    <col collapsed="false" customWidth="false" hidden="false" outlineLevel="0" max="257" min="9" style="29" width="8.88"/>
  </cols>
  <sheetData>
    <row r="1" customFormat="false" ht="12.75" hidden="false" customHeight="false" outlineLevel="0" collapsed="false">
      <c r="A1" s="61" t="s">
        <v>0</v>
      </c>
      <c r="B1" s="61"/>
      <c r="C1" s="61"/>
      <c r="M1" s="29" t="s">
        <v>86</v>
      </c>
      <c r="N1" s="29" t="s">
        <v>86</v>
      </c>
    </row>
    <row r="2" customFormat="false" ht="15" hidden="false" customHeight="false" outlineLevel="0" collapsed="false">
      <c r="K2" s="0" t="s">
        <v>121</v>
      </c>
      <c r="L2" s="0" t="s">
        <v>121</v>
      </c>
      <c r="M2" s="0" t="s">
        <v>121</v>
      </c>
      <c r="N2" s="0" t="s">
        <v>121</v>
      </c>
    </row>
    <row r="3" customFormat="false" ht="15" hidden="false" customHeight="false" outlineLevel="0" collapsed="false">
      <c r="B3" s="18" t="s">
        <v>47</v>
      </c>
      <c r="C3" s="29" t="s">
        <v>71</v>
      </c>
      <c r="D3" s="36" t="s">
        <v>122</v>
      </c>
      <c r="F3" s="36" t="s">
        <v>123</v>
      </c>
      <c r="G3" s="36" t="s">
        <v>124</v>
      </c>
      <c r="H3" s="36" t="s">
        <v>10</v>
      </c>
      <c r="I3" s="36" t="s">
        <v>125</v>
      </c>
      <c r="K3" s="0" t="s">
        <v>126</v>
      </c>
      <c r="L3" s="0" t="s">
        <v>126</v>
      </c>
      <c r="M3" s="0" t="s">
        <v>126</v>
      </c>
      <c r="N3" s="0" t="s">
        <v>126</v>
      </c>
    </row>
    <row r="4" customFormat="false" ht="12.75" hidden="false" customHeight="false" outlineLevel="0" collapsed="false">
      <c r="B4" s="18" t="s">
        <v>127</v>
      </c>
      <c r="D4" s="36" t="s">
        <v>128</v>
      </c>
      <c r="E4" s="36" t="s">
        <v>129</v>
      </c>
      <c r="F4" s="36" t="s">
        <v>128</v>
      </c>
      <c r="G4" s="36" t="s">
        <v>128</v>
      </c>
      <c r="H4" s="36" t="s">
        <v>71</v>
      </c>
      <c r="I4" s="36" t="s">
        <v>130</v>
      </c>
      <c r="K4" s="29" t="s">
        <v>131</v>
      </c>
      <c r="L4" s="29" t="s">
        <v>132</v>
      </c>
      <c r="M4" s="29" t="s">
        <v>131</v>
      </c>
      <c r="N4" s="29" t="s">
        <v>132</v>
      </c>
    </row>
    <row r="5" customFormat="false" ht="12.75" hidden="false" customHeight="false" outlineLevel="0" collapsed="false">
      <c r="A5" s="62" t="n">
        <f aca="false">Weather_Input!A5</f>
        <v>36999</v>
      </c>
      <c r="B5" s="29" t="n">
        <f aca="false">(Weather_Input!B5+Weather_Input!C5)/2</f>
        <v>44.5</v>
      </c>
      <c r="C5" s="46" t="n">
        <v>101000</v>
      </c>
      <c r="D5" s="46" t="n">
        <v>0</v>
      </c>
      <c r="E5" s="46" t="n">
        <v>0</v>
      </c>
      <c r="F5" s="46" t="n">
        <v>0</v>
      </c>
      <c r="G5" s="46" t="n">
        <v>0</v>
      </c>
      <c r="H5" s="63" t="n">
        <f aca="false">SUM(D5:G5)</f>
        <v>0</v>
      </c>
      <c r="I5" s="29" t="n">
        <v>1010</v>
      </c>
      <c r="J5" s="29" t="s">
        <v>0</v>
      </c>
      <c r="K5" s="29" t="n">
        <v>0</v>
      </c>
      <c r="L5" s="29" t="n">
        <v>822</v>
      </c>
      <c r="M5" s="29" t="n">
        <v>14091</v>
      </c>
      <c r="N5" s="29" t="n">
        <v>0</v>
      </c>
    </row>
    <row r="6" customFormat="false" ht="12.75" hidden="false" customHeight="false" outlineLevel="0" collapsed="false">
      <c r="A6" s="62" t="n">
        <f aca="false">A5+1</f>
        <v>37000</v>
      </c>
      <c r="B6" s="51" t="n">
        <f aca="false">(Weather_Input!B6+Weather_Input!C6)/2</f>
        <v>58.5</v>
      </c>
      <c r="C6" s="46" t="n">
        <v>52000</v>
      </c>
      <c r="D6" s="53" t="s">
        <v>0</v>
      </c>
      <c r="E6" s="53"/>
      <c r="F6" s="53"/>
      <c r="G6" s="53"/>
      <c r="H6" s="13"/>
      <c r="I6" s="29" t="s">
        <v>0</v>
      </c>
    </row>
    <row r="7" customFormat="false" ht="12.75" hidden="false" customHeight="false" outlineLevel="0" collapsed="false">
      <c r="A7" s="62" t="n">
        <f aca="false">A6+1</f>
        <v>37001</v>
      </c>
      <c r="B7" s="51" t="n">
        <f aca="false">(Weather_Input!B7+Weather_Input!C7)/2</f>
        <v>66</v>
      </c>
      <c r="C7" s="46" t="n">
        <v>45000</v>
      </c>
      <c r="D7" s="53" t="s">
        <v>0</v>
      </c>
      <c r="E7" s="53" t="s">
        <v>0</v>
      </c>
      <c r="F7" s="53"/>
      <c r="G7" s="53"/>
      <c r="H7" s="13"/>
    </row>
    <row r="8" customFormat="false" ht="12.75" hidden="false" customHeight="false" outlineLevel="0" collapsed="false">
      <c r="A8" s="62" t="n">
        <f aca="false">A7+1</f>
        <v>37002</v>
      </c>
      <c r="B8" s="51" t="n">
        <f aca="false">(Weather_Input!B8+Weather_Input!C8)/2</f>
        <v>67.5</v>
      </c>
      <c r="C8" s="46" t="n">
        <v>39000</v>
      </c>
      <c r="D8" s="53" t="s">
        <v>0</v>
      </c>
      <c r="E8" s="53"/>
      <c r="F8" s="53"/>
      <c r="G8" s="53"/>
      <c r="H8" s="13"/>
    </row>
    <row r="9" customFormat="false" ht="12.75" hidden="false" customHeight="false" outlineLevel="0" collapsed="false">
      <c r="A9" s="62" t="n">
        <f aca="false">A8+1</f>
        <v>37003</v>
      </c>
      <c r="B9" s="51" t="n">
        <f aca="false">(Weather_Input!B9+Weather_Input!C9)/2</f>
        <v>59.5</v>
      </c>
      <c r="C9" s="46" t="n">
        <v>51000</v>
      </c>
      <c r="D9" s="53" t="s">
        <v>0</v>
      </c>
      <c r="E9" s="53"/>
      <c r="F9" s="53"/>
      <c r="G9" s="53"/>
      <c r="H9" s="13"/>
    </row>
    <row r="10" customFormat="false" ht="12.75" hidden="false" customHeight="false" outlineLevel="0" collapsed="false">
      <c r="A10" s="62" t="n">
        <f aca="false">A9+1</f>
        <v>37004</v>
      </c>
      <c r="B10" s="51" t="n">
        <f aca="false">(Weather_Input!B10+Weather_Input!C10)/2</f>
        <v>59.5</v>
      </c>
      <c r="C10" s="46" t="n">
        <v>53000</v>
      </c>
      <c r="D10" s="53" t="s">
        <v>0</v>
      </c>
      <c r="E10" s="53"/>
      <c r="F10" s="53"/>
      <c r="G10" s="53"/>
      <c r="H10" s="13"/>
    </row>
    <row r="11" customFormat="false" ht="12.75" hidden="false" customHeight="false" outlineLevel="0" collapsed="false">
      <c r="A11" s="29" t="s">
        <v>2</v>
      </c>
      <c r="C11" s="64" t="s">
        <v>0</v>
      </c>
    </row>
    <row r="12" customFormat="false" ht="12.75" hidden="false" customHeight="false" outlineLevel="0" collapsed="false">
      <c r="C12" s="29" t="s">
        <v>0</v>
      </c>
    </row>
    <row r="17" customFormat="false" ht="12.75" hidden="false" customHeight="false" outlineLevel="0" collapsed="false">
      <c r="K17" s="29" t="s">
        <v>0</v>
      </c>
    </row>
    <row r="104" customFormat="false" ht="12.75" hidden="false" customHeight="false" outlineLevel="0" collapsed="false">
      <c r="D104" s="29" t="s">
        <v>0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K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8" min="1" style="0" width="8.65"/>
    <col collapsed="false" customWidth="true" hidden="false" outlineLevel="0" max="9" min="9" style="0" width="8.99"/>
    <col collapsed="false" customWidth="true" hidden="false" outlineLevel="0" max="10" min="10" style="0" width="10.32"/>
    <col collapsed="false" customWidth="true" hidden="false" outlineLevel="0" max="35" min="11" style="0" width="8.99"/>
    <col collapsed="false" customWidth="true" hidden="false" outlineLevel="0" max="36" min="36" style="0" width="10.11"/>
  </cols>
  <sheetData>
    <row r="1" customFormat="false" ht="15" hidden="false" customHeight="false" outlineLevel="0" collapsed="false">
      <c r="A1" s="61"/>
      <c r="B1" s="65"/>
      <c r="C1" s="65"/>
      <c r="D1" s="65"/>
      <c r="E1" s="65"/>
      <c r="F1" s="65"/>
      <c r="G1" s="65"/>
      <c r="H1" s="65"/>
    </row>
    <row r="2" customFormat="false" ht="12.75" hidden="false" customHeight="false" outlineLevel="0" collapsed="false">
      <c r="A2" s="61"/>
      <c r="B2" s="61"/>
      <c r="C2" s="66"/>
      <c r="D2" s="61"/>
      <c r="E2" s="61"/>
      <c r="F2" s="61"/>
      <c r="G2" s="61"/>
      <c r="H2" s="61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</row>
    <row r="3" customFormat="false" ht="12.75" hidden="false" customHeight="false" outlineLevel="0" collapsed="false">
      <c r="A3" s="67"/>
      <c r="B3" s="68"/>
      <c r="C3" s="69" t="s">
        <v>133</v>
      </c>
      <c r="D3" s="69"/>
      <c r="E3" s="69"/>
      <c r="F3" s="69"/>
      <c r="G3" s="68"/>
      <c r="H3" s="70" t="n">
        <v>1</v>
      </c>
      <c r="I3" s="69" t="s">
        <v>134</v>
      </c>
      <c r="J3" s="69"/>
      <c r="K3" s="69"/>
      <c r="L3" s="69"/>
      <c r="M3" s="69"/>
      <c r="N3" s="69"/>
      <c r="O3" s="69"/>
      <c r="P3" s="71" t="s">
        <v>93</v>
      </c>
      <c r="Q3" s="71"/>
      <c r="R3" s="71"/>
      <c r="S3" s="71"/>
      <c r="T3" s="71"/>
      <c r="U3" s="71"/>
      <c r="V3" s="72" t="s">
        <v>135</v>
      </c>
      <c r="W3" s="72"/>
      <c r="X3" s="72"/>
      <c r="Y3" s="72"/>
      <c r="Z3" s="72"/>
      <c r="AA3" s="67"/>
      <c r="AB3" s="67"/>
      <c r="AC3" s="67"/>
      <c r="AD3" s="67"/>
      <c r="AE3" s="67"/>
      <c r="AF3" s="67"/>
      <c r="AG3" s="67"/>
      <c r="AH3" s="67"/>
      <c r="AI3" s="67"/>
      <c r="AJ3" s="67"/>
    </row>
    <row r="4" customFormat="false" ht="12.75" hidden="false" customHeight="false" outlineLevel="0" collapsed="false">
      <c r="A4" s="29"/>
      <c r="B4" s="73"/>
      <c r="C4" s="74"/>
      <c r="D4" s="29"/>
      <c r="E4" s="29"/>
      <c r="F4" s="73"/>
      <c r="G4" s="73"/>
      <c r="H4" s="75" t="s">
        <v>136</v>
      </c>
      <c r="I4" s="36" t="s">
        <v>137</v>
      </c>
      <c r="J4" s="36" t="s">
        <v>138</v>
      </c>
      <c r="K4" s="29"/>
      <c r="L4" s="29"/>
      <c r="M4" s="29"/>
      <c r="N4" s="73"/>
      <c r="O4" s="76"/>
      <c r="P4" s="77"/>
      <c r="Q4" s="77"/>
      <c r="R4" s="29"/>
      <c r="S4" s="29"/>
      <c r="T4" s="29"/>
      <c r="U4" s="29"/>
      <c r="V4" s="75" t="s">
        <v>86</v>
      </c>
      <c r="W4" s="75"/>
      <c r="X4" s="75"/>
      <c r="Y4" s="76" t="s">
        <v>44</v>
      </c>
      <c r="Z4" s="76"/>
      <c r="AA4" s="76"/>
      <c r="AB4" s="76"/>
      <c r="AC4" s="37" t="s">
        <v>139</v>
      </c>
      <c r="AD4" s="37"/>
      <c r="AE4" s="37"/>
      <c r="AF4" s="30"/>
      <c r="AG4" s="36" t="s">
        <v>140</v>
      </c>
      <c r="AH4" s="29"/>
      <c r="AI4" s="29"/>
      <c r="AJ4" s="29"/>
    </row>
    <row r="5" customFormat="false" ht="12.75" hidden="false" customHeight="false" outlineLevel="0" collapsed="false">
      <c r="A5" s="29"/>
      <c r="B5" s="78" t="s">
        <v>141</v>
      </c>
      <c r="C5" s="76"/>
      <c r="D5" s="29"/>
      <c r="E5" s="29"/>
      <c r="F5" s="79"/>
      <c r="G5" s="78" t="s">
        <v>0</v>
      </c>
      <c r="H5" s="75" t="s">
        <v>84</v>
      </c>
      <c r="I5" s="33" t="s">
        <v>142</v>
      </c>
      <c r="J5" s="80" t="s">
        <v>85</v>
      </c>
      <c r="K5" s="29"/>
      <c r="L5" s="29"/>
      <c r="M5" s="29"/>
      <c r="N5" s="73"/>
      <c r="O5" s="76" t="s">
        <v>44</v>
      </c>
      <c r="P5" s="36" t="s">
        <v>64</v>
      </c>
      <c r="Q5" s="36" t="s">
        <v>75</v>
      </c>
      <c r="R5" s="36" t="s">
        <v>75</v>
      </c>
      <c r="S5" s="36" t="s">
        <v>44</v>
      </c>
      <c r="T5" s="33" t="s">
        <v>68</v>
      </c>
      <c r="U5" s="81" t="s">
        <v>143</v>
      </c>
      <c r="V5" s="37" t="s">
        <v>144</v>
      </c>
      <c r="W5" s="36" t="s">
        <v>144</v>
      </c>
      <c r="X5" s="36" t="s">
        <v>144</v>
      </c>
      <c r="Y5" s="36" t="s">
        <v>144</v>
      </c>
      <c r="Z5" s="36" t="s">
        <v>144</v>
      </c>
      <c r="AA5" s="36" t="s">
        <v>144</v>
      </c>
      <c r="AB5" s="36" t="s">
        <v>144</v>
      </c>
      <c r="AC5" s="37" t="s">
        <v>144</v>
      </c>
      <c r="AD5" s="36" t="s">
        <v>144</v>
      </c>
      <c r="AE5" s="36" t="s">
        <v>144</v>
      </c>
      <c r="AF5" s="37" t="s">
        <v>144</v>
      </c>
      <c r="AG5" s="36" t="s">
        <v>144</v>
      </c>
      <c r="AH5" s="36" t="s">
        <v>144</v>
      </c>
      <c r="AI5" s="36" t="s">
        <v>144</v>
      </c>
      <c r="AJ5" s="29"/>
    </row>
    <row r="6" customFormat="false" ht="12.75" hidden="false" customHeight="false" outlineLevel="0" collapsed="false">
      <c r="A6" s="82"/>
      <c r="B6" s="83" t="s">
        <v>145</v>
      </c>
      <c r="C6" s="80" t="s">
        <v>86</v>
      </c>
      <c r="D6" s="80" t="s">
        <v>139</v>
      </c>
      <c r="E6" s="80" t="s">
        <v>140</v>
      </c>
      <c r="F6" s="84" t="s">
        <v>146</v>
      </c>
      <c r="G6" s="80" t="s">
        <v>147</v>
      </c>
      <c r="H6" s="85" t="s">
        <v>140</v>
      </c>
      <c r="I6" s="86" t="s">
        <v>148</v>
      </c>
      <c r="J6" s="80" t="s">
        <v>149</v>
      </c>
      <c r="K6" s="80" t="s">
        <v>140</v>
      </c>
      <c r="L6" s="80" t="s">
        <v>44</v>
      </c>
      <c r="M6" s="80" t="s">
        <v>84</v>
      </c>
      <c r="N6" s="80" t="s">
        <v>146</v>
      </c>
      <c r="O6" s="80" t="s">
        <v>150</v>
      </c>
      <c r="P6" s="80" t="s">
        <v>75</v>
      </c>
      <c r="Q6" s="80" t="s">
        <v>151</v>
      </c>
      <c r="R6" s="80" t="s">
        <v>152</v>
      </c>
      <c r="S6" s="80" t="s">
        <v>153</v>
      </c>
      <c r="T6" s="87" t="s">
        <v>154</v>
      </c>
      <c r="U6" s="86" t="s">
        <v>150</v>
      </c>
      <c r="V6" s="80" t="s">
        <v>86</v>
      </c>
      <c r="W6" s="80" t="s">
        <v>44</v>
      </c>
      <c r="X6" s="80" t="s">
        <v>139</v>
      </c>
      <c r="Y6" s="80" t="s">
        <v>44</v>
      </c>
      <c r="Z6" s="80" t="s">
        <v>86</v>
      </c>
      <c r="AA6" s="80" t="s">
        <v>139</v>
      </c>
      <c r="AB6" s="80" t="s">
        <v>140</v>
      </c>
      <c r="AC6" s="80" t="s">
        <v>86</v>
      </c>
      <c r="AD6" s="80" t="s">
        <v>44</v>
      </c>
      <c r="AE6" s="80" t="s">
        <v>139</v>
      </c>
      <c r="AF6" s="80" t="s">
        <v>86</v>
      </c>
      <c r="AG6" s="80" t="s">
        <v>44</v>
      </c>
      <c r="AH6" s="80" t="s">
        <v>139</v>
      </c>
      <c r="AI6" s="80" t="s">
        <v>140</v>
      </c>
      <c r="AJ6" s="29"/>
    </row>
    <row r="7" customFormat="false" ht="12.75" hidden="false" customHeight="false" outlineLevel="0" collapsed="false">
      <c r="A7" s="88" t="n">
        <f aca="false">Weather_Input!A5</f>
        <v>36999</v>
      </c>
      <c r="B7" s="89" t="n">
        <v>0</v>
      </c>
      <c r="C7" s="90" t="n">
        <v>0</v>
      </c>
      <c r="D7" s="91" t="n">
        <v>0</v>
      </c>
      <c r="E7" s="91" t="n">
        <v>0</v>
      </c>
      <c r="F7" s="89" t="n">
        <v>0</v>
      </c>
      <c r="G7" s="89" t="n">
        <v>0</v>
      </c>
      <c r="H7" s="92" t="n">
        <v>0</v>
      </c>
      <c r="I7" s="93" t="n">
        <v>0</v>
      </c>
      <c r="J7" s="93" t="n">
        <v>0</v>
      </c>
      <c r="K7" s="91" t="n">
        <v>0</v>
      </c>
      <c r="L7" s="93" t="n">
        <v>0</v>
      </c>
      <c r="M7" s="91" t="n">
        <v>0</v>
      </c>
      <c r="N7" s="91" t="n">
        <v>0</v>
      </c>
      <c r="O7" s="94" t="n">
        <v>0</v>
      </c>
      <c r="P7" s="91" t="n">
        <v>150000</v>
      </c>
      <c r="Q7" s="50" t="n">
        <f aca="false">P7*0.015</f>
        <v>2250</v>
      </c>
      <c r="R7" s="91" t="n">
        <v>640</v>
      </c>
      <c r="S7" s="91" t="n">
        <v>0</v>
      </c>
      <c r="T7" s="91" t="n">
        <v>0</v>
      </c>
      <c r="U7" s="93" t="n">
        <v>0</v>
      </c>
      <c r="V7" s="91" t="n">
        <v>0</v>
      </c>
      <c r="W7" s="91" t="n">
        <v>0</v>
      </c>
      <c r="X7" s="91" t="n">
        <v>0</v>
      </c>
      <c r="Y7" s="91" t="n">
        <v>0</v>
      </c>
      <c r="Z7" s="91" t="n">
        <v>0</v>
      </c>
      <c r="AA7" s="93" t="n">
        <v>0</v>
      </c>
      <c r="AB7" s="93" t="n">
        <v>0</v>
      </c>
      <c r="AC7" s="93" t="n">
        <v>0</v>
      </c>
      <c r="AD7" s="93" t="n">
        <v>0</v>
      </c>
      <c r="AE7" s="93" t="n">
        <v>0</v>
      </c>
      <c r="AF7" s="93" t="n">
        <v>0</v>
      </c>
      <c r="AG7" s="93" t="n">
        <v>0</v>
      </c>
      <c r="AH7" s="93" t="n">
        <v>0</v>
      </c>
      <c r="AI7" s="93" t="n">
        <v>0</v>
      </c>
      <c r="AJ7" s="88" t="n">
        <f aca="false">Weather_Input!A5</f>
        <v>36999</v>
      </c>
    </row>
    <row r="8" customFormat="false" ht="12.75" hidden="false" customHeight="false" outlineLevel="0" collapsed="false">
      <c r="A8" s="88" t="n">
        <f aca="false">A7+1</f>
        <v>37000</v>
      </c>
      <c r="B8" s="89" t="n">
        <v>0</v>
      </c>
      <c r="C8" s="90" t="n">
        <v>0</v>
      </c>
      <c r="D8" s="91" t="n">
        <v>0</v>
      </c>
      <c r="E8" s="91" t="n">
        <v>0</v>
      </c>
      <c r="F8" s="89" t="n">
        <v>0</v>
      </c>
      <c r="G8" s="89" t="n">
        <v>0</v>
      </c>
      <c r="H8" s="92" t="n">
        <v>3173</v>
      </c>
      <c r="I8" s="93" t="n">
        <v>0</v>
      </c>
      <c r="J8" s="93" t="n">
        <v>0</v>
      </c>
      <c r="K8" s="91" t="n">
        <v>0</v>
      </c>
      <c r="L8" s="93" t="n">
        <v>0</v>
      </c>
      <c r="M8" s="91" t="n">
        <v>0</v>
      </c>
      <c r="N8" s="91" t="n">
        <v>0</v>
      </c>
      <c r="O8" s="94" t="n">
        <v>0</v>
      </c>
      <c r="P8" s="91" t="n">
        <v>185000</v>
      </c>
      <c r="Q8" s="50" t="n">
        <f aca="false">P8*0.015</f>
        <v>2775</v>
      </c>
      <c r="R8" s="91" t="n">
        <v>640</v>
      </c>
      <c r="S8" s="91" t="n">
        <v>0</v>
      </c>
      <c r="T8" s="91" t="n">
        <v>0</v>
      </c>
      <c r="U8" s="93" t="n">
        <v>0</v>
      </c>
      <c r="V8" s="91" t="n">
        <v>0</v>
      </c>
      <c r="W8" s="91" t="n">
        <v>0</v>
      </c>
      <c r="X8" s="91" t="n">
        <v>0</v>
      </c>
      <c r="Y8" s="91" t="n">
        <v>0</v>
      </c>
      <c r="Z8" s="91" t="n">
        <v>0</v>
      </c>
      <c r="AA8" s="93" t="n">
        <v>0</v>
      </c>
      <c r="AB8" s="93" t="n">
        <v>0</v>
      </c>
      <c r="AC8" s="93" t="n">
        <v>0</v>
      </c>
      <c r="AD8" s="93" t="n">
        <v>0</v>
      </c>
      <c r="AE8" s="93" t="n">
        <v>0</v>
      </c>
      <c r="AF8" s="93" t="n">
        <v>0</v>
      </c>
      <c r="AG8" s="93" t="n">
        <v>0</v>
      </c>
      <c r="AH8" s="93" t="n">
        <v>0</v>
      </c>
      <c r="AI8" s="93" t="n">
        <v>0</v>
      </c>
      <c r="AJ8" s="88" t="n">
        <f aca="false">AJ7+1</f>
        <v>37000</v>
      </c>
      <c r="AK8" s="93"/>
      <c r="AL8" s="93"/>
      <c r="AM8" s="93"/>
      <c r="AO8" s="93"/>
      <c r="AP8" s="93"/>
      <c r="AQ8" s="93"/>
      <c r="AR8" s="93"/>
      <c r="AS8" s="93"/>
      <c r="AT8" s="93"/>
      <c r="AU8" s="93"/>
      <c r="AV8" s="93"/>
      <c r="AW8" s="93"/>
      <c r="AX8" s="93"/>
      <c r="AY8" s="93"/>
      <c r="AZ8" s="93"/>
      <c r="BA8" s="93"/>
      <c r="BB8" s="93"/>
      <c r="BC8" s="93"/>
    </row>
    <row r="9" customFormat="false" ht="12.75" hidden="false" customHeight="false" outlineLevel="0" collapsed="false">
      <c r="A9" s="88" t="n">
        <f aca="false">A8+1</f>
        <v>37001</v>
      </c>
      <c r="B9" s="89" t="n">
        <v>0</v>
      </c>
      <c r="C9" s="90" t="n">
        <v>0</v>
      </c>
      <c r="D9" s="91" t="n">
        <v>0</v>
      </c>
      <c r="E9" s="91" t="n">
        <v>0</v>
      </c>
      <c r="F9" s="89" t="n">
        <v>0</v>
      </c>
      <c r="G9" s="89" t="n">
        <v>0</v>
      </c>
      <c r="H9" s="92" t="n">
        <v>0</v>
      </c>
      <c r="I9" s="93" t="n">
        <v>0</v>
      </c>
      <c r="J9" s="93" t="n">
        <v>0</v>
      </c>
      <c r="K9" s="91" t="n">
        <v>0</v>
      </c>
      <c r="L9" s="93" t="n">
        <v>0</v>
      </c>
      <c r="M9" s="91" t="n">
        <v>0</v>
      </c>
      <c r="N9" s="91" t="n">
        <v>0</v>
      </c>
      <c r="O9" s="94" t="n">
        <v>0</v>
      </c>
      <c r="P9" s="91" t="n">
        <v>185000</v>
      </c>
      <c r="Q9" s="50" t="n">
        <f aca="false">P9*0.015</f>
        <v>2775</v>
      </c>
      <c r="R9" s="91" t="n">
        <v>640</v>
      </c>
      <c r="S9" s="91" t="n">
        <v>0</v>
      </c>
      <c r="T9" s="91" t="n">
        <v>0</v>
      </c>
      <c r="U9" s="93" t="n">
        <v>0</v>
      </c>
      <c r="V9" s="91" t="n">
        <v>0</v>
      </c>
      <c r="W9" s="91" t="n">
        <v>0</v>
      </c>
      <c r="X9" s="91" t="n">
        <v>0</v>
      </c>
      <c r="Y9" s="91" t="n">
        <v>0</v>
      </c>
      <c r="Z9" s="91" t="n">
        <v>0</v>
      </c>
      <c r="AA9" s="93" t="n">
        <v>0</v>
      </c>
      <c r="AB9" s="93" t="n">
        <v>0</v>
      </c>
      <c r="AC9" s="93" t="n">
        <v>0</v>
      </c>
      <c r="AD9" s="93" t="n">
        <v>0</v>
      </c>
      <c r="AE9" s="93" t="n">
        <v>0</v>
      </c>
      <c r="AF9" s="93" t="n">
        <v>0</v>
      </c>
      <c r="AG9" s="93" t="n">
        <v>0</v>
      </c>
      <c r="AH9" s="93" t="n">
        <v>0</v>
      </c>
      <c r="AI9" s="93" t="n">
        <v>0</v>
      </c>
      <c r="AJ9" s="88" t="n">
        <f aca="false">AJ8+1</f>
        <v>37001</v>
      </c>
      <c r="AN9" s="93"/>
    </row>
    <row r="10" customFormat="false" ht="12.75" hidden="false" customHeight="false" outlineLevel="0" collapsed="false">
      <c r="A10" s="88" t="n">
        <f aca="false">A9+1</f>
        <v>37002</v>
      </c>
      <c r="B10" s="89" t="n">
        <v>0</v>
      </c>
      <c r="C10" s="90" t="n">
        <v>0</v>
      </c>
      <c r="D10" s="91" t="n">
        <v>0</v>
      </c>
      <c r="E10" s="91" t="n">
        <v>0</v>
      </c>
      <c r="F10" s="89" t="n">
        <v>0</v>
      </c>
      <c r="G10" s="89" t="n">
        <v>0</v>
      </c>
      <c r="H10" s="92" t="n">
        <v>0</v>
      </c>
      <c r="I10" s="93" t="n">
        <v>0</v>
      </c>
      <c r="J10" s="93" t="n">
        <v>0</v>
      </c>
      <c r="K10" s="91" t="n">
        <v>0</v>
      </c>
      <c r="L10" s="93" t="n">
        <v>0</v>
      </c>
      <c r="M10" s="91" t="n">
        <v>0</v>
      </c>
      <c r="N10" s="91" t="n">
        <v>0</v>
      </c>
      <c r="O10" s="94" t="n">
        <v>0</v>
      </c>
      <c r="P10" s="91" t="n">
        <v>185000</v>
      </c>
      <c r="Q10" s="50" t="n">
        <f aca="false">P10*0.015</f>
        <v>2775</v>
      </c>
      <c r="R10" s="91" t="n">
        <v>640</v>
      </c>
      <c r="S10" s="91" t="n">
        <v>0</v>
      </c>
      <c r="T10" s="91" t="n">
        <v>0</v>
      </c>
      <c r="U10" s="93" t="n">
        <v>0</v>
      </c>
      <c r="V10" s="91" t="n">
        <v>0</v>
      </c>
      <c r="W10" s="91" t="n">
        <v>0</v>
      </c>
      <c r="X10" s="91" t="n">
        <v>0</v>
      </c>
      <c r="Y10" s="91" t="n">
        <v>0</v>
      </c>
      <c r="Z10" s="91" t="n">
        <v>0</v>
      </c>
      <c r="AA10" s="93" t="n">
        <v>0</v>
      </c>
      <c r="AB10" s="93" t="n">
        <v>0</v>
      </c>
      <c r="AC10" s="93" t="n">
        <v>0</v>
      </c>
      <c r="AD10" s="93" t="n">
        <v>0</v>
      </c>
      <c r="AE10" s="93" t="n">
        <v>0</v>
      </c>
      <c r="AF10" s="93" t="n">
        <v>0</v>
      </c>
      <c r="AG10" s="93" t="n">
        <v>0</v>
      </c>
      <c r="AH10" s="93" t="n">
        <v>0</v>
      </c>
      <c r="AI10" s="93" t="n">
        <v>0</v>
      </c>
      <c r="AJ10" s="88" t="n">
        <f aca="false">AJ9+1</f>
        <v>37002</v>
      </c>
    </row>
    <row r="11" customFormat="false" ht="12.75" hidden="false" customHeight="false" outlineLevel="0" collapsed="false">
      <c r="A11" s="88" t="n">
        <f aca="false">A10+1</f>
        <v>37003</v>
      </c>
      <c r="B11" s="89" t="n">
        <v>0</v>
      </c>
      <c r="C11" s="90" t="n">
        <v>0</v>
      </c>
      <c r="D11" s="91" t="n">
        <v>0</v>
      </c>
      <c r="E11" s="91" t="n">
        <v>0</v>
      </c>
      <c r="F11" s="89" t="n">
        <v>0</v>
      </c>
      <c r="G11" s="89" t="n">
        <v>0</v>
      </c>
      <c r="H11" s="92" t="n">
        <v>0</v>
      </c>
      <c r="I11" s="93" t="n">
        <v>0</v>
      </c>
      <c r="J11" s="93" t="n">
        <v>0</v>
      </c>
      <c r="K11" s="91" t="n">
        <v>0</v>
      </c>
      <c r="L11" s="93" t="n">
        <v>0</v>
      </c>
      <c r="M11" s="91" t="n">
        <v>0</v>
      </c>
      <c r="N11" s="91" t="n">
        <v>0</v>
      </c>
      <c r="O11" s="94" t="n">
        <v>0</v>
      </c>
      <c r="P11" s="91" t="n">
        <v>185000</v>
      </c>
      <c r="Q11" s="50" t="n">
        <f aca="false">P11*0.015</f>
        <v>2775</v>
      </c>
      <c r="R11" s="91" t="n">
        <v>640</v>
      </c>
      <c r="S11" s="91" t="n">
        <v>0</v>
      </c>
      <c r="T11" s="91" t="n">
        <v>0</v>
      </c>
      <c r="U11" s="93" t="n">
        <v>0</v>
      </c>
      <c r="V11" s="91" t="n">
        <v>0</v>
      </c>
      <c r="W11" s="91" t="n">
        <v>0</v>
      </c>
      <c r="X11" s="91" t="n">
        <v>0</v>
      </c>
      <c r="Y11" s="91" t="n">
        <v>0</v>
      </c>
      <c r="Z11" s="91" t="n">
        <v>0</v>
      </c>
      <c r="AA11" s="93" t="n">
        <v>0</v>
      </c>
      <c r="AB11" s="93" t="n">
        <v>0</v>
      </c>
      <c r="AC11" s="93" t="n">
        <v>0</v>
      </c>
      <c r="AD11" s="93" t="n">
        <v>0</v>
      </c>
      <c r="AE11" s="93" t="n">
        <v>0</v>
      </c>
      <c r="AF11" s="93" t="n">
        <v>0</v>
      </c>
      <c r="AG11" s="93" t="n">
        <v>0</v>
      </c>
      <c r="AH11" s="93" t="n">
        <v>0</v>
      </c>
      <c r="AI11" s="93" t="n">
        <v>0</v>
      </c>
      <c r="AJ11" s="88" t="n">
        <f aca="false">AJ10+1</f>
        <v>37003</v>
      </c>
    </row>
    <row r="12" customFormat="false" ht="12.75" hidden="false" customHeight="false" outlineLevel="0" collapsed="false">
      <c r="A12" s="88" t="n">
        <f aca="false">A11+1</f>
        <v>37004</v>
      </c>
      <c r="B12" s="89" t="n">
        <v>0</v>
      </c>
      <c r="C12" s="90" t="n">
        <v>0</v>
      </c>
      <c r="D12" s="91" t="n">
        <v>0</v>
      </c>
      <c r="E12" s="91" t="n">
        <v>0</v>
      </c>
      <c r="F12" s="89" t="n">
        <v>0</v>
      </c>
      <c r="G12" s="89" t="n">
        <v>0</v>
      </c>
      <c r="H12" s="92" t="n">
        <v>0</v>
      </c>
      <c r="I12" s="93" t="n">
        <v>0</v>
      </c>
      <c r="J12" s="93" t="n">
        <v>0</v>
      </c>
      <c r="K12" s="91" t="n">
        <v>0</v>
      </c>
      <c r="L12" s="93" t="n">
        <v>0</v>
      </c>
      <c r="M12" s="91" t="n">
        <v>0</v>
      </c>
      <c r="N12" s="91" t="n">
        <v>0</v>
      </c>
      <c r="O12" s="94" t="n">
        <v>0</v>
      </c>
      <c r="P12" s="91" t="n">
        <v>185000</v>
      </c>
      <c r="Q12" s="50" t="n">
        <f aca="false">P12*0.015</f>
        <v>2775</v>
      </c>
      <c r="R12" s="91" t="n">
        <v>640</v>
      </c>
      <c r="S12" s="91" t="n">
        <v>0</v>
      </c>
      <c r="T12" s="91" t="n">
        <v>0</v>
      </c>
      <c r="U12" s="93" t="n">
        <v>0</v>
      </c>
      <c r="V12" s="91" t="n">
        <v>0</v>
      </c>
      <c r="W12" s="91" t="n">
        <v>0</v>
      </c>
      <c r="X12" s="91" t="n">
        <v>0</v>
      </c>
      <c r="Y12" s="91" t="n">
        <v>0</v>
      </c>
      <c r="Z12" s="91" t="n">
        <v>0</v>
      </c>
      <c r="AA12" s="93" t="n">
        <v>0</v>
      </c>
      <c r="AB12" s="93" t="n">
        <v>0</v>
      </c>
      <c r="AC12" s="93" t="n">
        <v>0</v>
      </c>
      <c r="AD12" s="93" t="n">
        <v>0</v>
      </c>
      <c r="AE12" s="93" t="n">
        <v>0</v>
      </c>
      <c r="AF12" s="93" t="n">
        <v>0</v>
      </c>
      <c r="AG12" s="93" t="n">
        <v>0</v>
      </c>
      <c r="AH12" s="93" t="n">
        <v>0</v>
      </c>
      <c r="AI12" s="93" t="n">
        <v>0</v>
      </c>
      <c r="AJ12" s="88" t="n">
        <f aca="false">AJ11+1</f>
        <v>37004</v>
      </c>
    </row>
    <row r="13" customFormat="false" ht="15" hidden="false" customHeight="false" outlineLevel="0" collapsed="false">
      <c r="A13" s="29"/>
      <c r="B13" s="29"/>
      <c r="C13" s="29"/>
      <c r="D13" s="29" t="s">
        <v>0</v>
      </c>
      <c r="E13" s="29"/>
      <c r="F13" s="29"/>
      <c r="G13" s="29"/>
      <c r="H13" s="29"/>
      <c r="I13" s="29"/>
      <c r="J13" s="18"/>
      <c r="K13" s="18"/>
      <c r="L13" s="93"/>
      <c r="M13" s="29"/>
      <c r="N13" s="91" t="s">
        <v>0</v>
      </c>
      <c r="O13" s="29"/>
      <c r="P13" s="29"/>
      <c r="Q13" s="29"/>
      <c r="R13" s="29"/>
      <c r="S13" s="29"/>
      <c r="T13" s="29"/>
      <c r="U13" s="93" t="s">
        <v>0</v>
      </c>
      <c r="V13" s="29"/>
      <c r="W13" s="29"/>
      <c r="X13" s="29"/>
      <c r="Y13" s="29"/>
      <c r="Z13" s="29" t="s">
        <v>0</v>
      </c>
      <c r="AA13" s="29"/>
      <c r="AB13" s="93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</row>
    <row r="14" customFormat="false" ht="15" hidden="false" customHeight="false" outlineLevel="0" collapsed="false">
      <c r="A14" s="29"/>
      <c r="B14" s="29"/>
      <c r="C14" s="29"/>
      <c r="D14" s="29" t="s">
        <v>155</v>
      </c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91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</row>
    <row r="15" customFormat="false" ht="1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18" t="s">
        <v>0</v>
      </c>
      <c r="K15" s="18"/>
      <c r="L15" s="29"/>
      <c r="M15" s="29"/>
      <c r="N15" s="29"/>
      <c r="O15" s="29"/>
      <c r="P15" s="29"/>
      <c r="Q15" s="29"/>
      <c r="R15" s="29"/>
      <c r="S15" s="29"/>
      <c r="T15" s="91"/>
      <c r="U15" s="95"/>
      <c r="V15" s="74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</row>
    <row r="16" customFormat="false" ht="1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 t="s">
        <v>0</v>
      </c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91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</row>
    <row r="17" customFormat="false" ht="15" hidden="false" customHeight="false" outlineLevel="0" collapsed="false">
      <c r="T17" s="91"/>
    </row>
  </sheetData>
  <mergeCells count="7">
    <mergeCell ref="C3:F3"/>
    <mergeCell ref="I3:O3"/>
    <mergeCell ref="P3:U3"/>
    <mergeCell ref="V3:Z3"/>
    <mergeCell ref="V4:X4"/>
    <mergeCell ref="Y4:AB4"/>
    <mergeCell ref="AC4:AE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6" min="1" style="29" width="8.77"/>
    <col collapsed="false" customWidth="true" hidden="false" outlineLevel="0" max="17" min="17" style="29" width="9.55"/>
    <col collapsed="false" customWidth="false" hidden="false" outlineLevel="0" max="23" min="18" style="29" width="8.77"/>
    <col collapsed="false" customWidth="true" hidden="false" outlineLevel="0" max="24" min="24" style="29" width="10.55"/>
    <col collapsed="false" customWidth="false" hidden="false" outlineLevel="0" max="257" min="25" style="29" width="8.77"/>
  </cols>
  <sheetData>
    <row r="1" customFormat="false" ht="12.75" hidden="false" customHeight="false" outlineLevel="0" collapsed="false">
      <c r="A1" s="96"/>
      <c r="B1" s="61"/>
      <c r="C1" s="61"/>
      <c r="D1" s="61"/>
      <c r="E1" s="61"/>
      <c r="F1" s="61"/>
      <c r="G1" s="61"/>
      <c r="H1" s="61"/>
      <c r="I1" s="61"/>
      <c r="J1" s="61"/>
      <c r="X1" s="29" t="s">
        <v>0</v>
      </c>
    </row>
    <row r="2" customFormat="false" ht="12.75" hidden="false" customHeight="false" outlineLevel="0" collapsed="false">
      <c r="U2" s="74"/>
    </row>
    <row r="3" customFormat="false" ht="12.75" hidden="false" customHeight="true" outlineLevel="0" collapsed="false">
      <c r="C3" s="97" t="s">
        <v>156</v>
      </c>
      <c r="D3" s="97"/>
      <c r="E3" s="97"/>
      <c r="F3" s="97"/>
      <c r="G3" s="97"/>
      <c r="H3" s="71" t="s">
        <v>157</v>
      </c>
      <c r="I3" s="71"/>
      <c r="J3" s="71"/>
      <c r="K3" s="71"/>
      <c r="L3" s="71"/>
      <c r="M3" s="71" t="s">
        <v>158</v>
      </c>
      <c r="N3" s="71"/>
      <c r="O3" s="71"/>
      <c r="P3" s="71"/>
      <c r="Q3" s="71"/>
      <c r="R3" s="71"/>
      <c r="S3" s="71"/>
      <c r="T3" s="71"/>
      <c r="U3" s="71"/>
      <c r="V3" s="98"/>
      <c r="W3" s="98"/>
      <c r="X3" s="36"/>
      <c r="Y3" s="76"/>
      <c r="Z3" s="69" t="s">
        <v>159</v>
      </c>
      <c r="AA3" s="69"/>
      <c r="AB3" s="69"/>
      <c r="AC3" s="69"/>
      <c r="AD3" s="69"/>
      <c r="AE3" s="69"/>
    </row>
    <row r="4" customFormat="false" ht="12.75" hidden="false" customHeight="false" outlineLevel="0" collapsed="false">
      <c r="C4" s="30"/>
      <c r="G4" s="73"/>
      <c r="K4" s="73"/>
      <c r="L4" s="76"/>
      <c r="M4" s="37"/>
      <c r="S4" s="73"/>
      <c r="T4" s="75" t="s">
        <v>160</v>
      </c>
      <c r="V4" s="36" t="s">
        <v>161</v>
      </c>
      <c r="Y4" s="73"/>
      <c r="Z4" s="74"/>
      <c r="AE4" s="73"/>
    </row>
    <row r="5" customFormat="false" ht="12.75" hidden="false" customHeight="false" outlineLevel="0" collapsed="false">
      <c r="B5" s="36" t="s">
        <v>162</v>
      </c>
      <c r="C5" s="37"/>
      <c r="D5" s="36"/>
      <c r="E5" s="36"/>
      <c r="F5" s="36"/>
      <c r="G5" s="78"/>
      <c r="H5" s="36"/>
      <c r="I5" s="36"/>
      <c r="J5" s="36"/>
      <c r="K5" s="78" t="s">
        <v>63</v>
      </c>
      <c r="L5" s="76" t="s">
        <v>44</v>
      </c>
      <c r="M5" s="37" t="s">
        <v>64</v>
      </c>
      <c r="N5" s="37" t="s">
        <v>0</v>
      </c>
      <c r="O5" s="36" t="s">
        <v>0</v>
      </c>
      <c r="P5" s="36" t="s">
        <v>0</v>
      </c>
      <c r="Q5" s="36" t="s">
        <v>163</v>
      </c>
      <c r="R5" s="33" t="s">
        <v>86</v>
      </c>
      <c r="S5" s="78" t="s">
        <v>0</v>
      </c>
      <c r="T5" s="75" t="s">
        <v>84</v>
      </c>
      <c r="U5" s="33" t="s">
        <v>142</v>
      </c>
      <c r="V5" s="36" t="s">
        <v>164</v>
      </c>
      <c r="W5" s="36"/>
      <c r="X5" s="76" t="s">
        <v>85</v>
      </c>
      <c r="Y5" s="73"/>
      <c r="Z5" s="36"/>
      <c r="AA5" s="36"/>
      <c r="AB5" s="36"/>
      <c r="AE5" s="78" t="s">
        <v>165</v>
      </c>
    </row>
    <row r="6" customFormat="false" ht="12.75" hidden="false" customHeight="false" outlineLevel="0" collapsed="false">
      <c r="B6" s="80" t="s">
        <v>166</v>
      </c>
      <c r="C6" s="99" t="s">
        <v>86</v>
      </c>
      <c r="D6" s="80" t="s">
        <v>139</v>
      </c>
      <c r="E6" s="80" t="s">
        <v>140</v>
      </c>
      <c r="F6" s="80" t="s">
        <v>84</v>
      </c>
      <c r="G6" s="83" t="s">
        <v>146</v>
      </c>
      <c r="H6" s="80" t="s">
        <v>141</v>
      </c>
      <c r="I6" s="80" t="s">
        <v>95</v>
      </c>
      <c r="J6" s="80" t="s">
        <v>76</v>
      </c>
      <c r="K6" s="83" t="s">
        <v>96</v>
      </c>
      <c r="L6" s="80" t="s">
        <v>167</v>
      </c>
      <c r="M6" s="99" t="s">
        <v>75</v>
      </c>
      <c r="N6" s="80" t="s">
        <v>0</v>
      </c>
      <c r="O6" s="80" t="s">
        <v>0</v>
      </c>
      <c r="P6" s="80" t="s">
        <v>0</v>
      </c>
      <c r="Q6" s="100" t="s">
        <v>168</v>
      </c>
      <c r="R6" s="87" t="s">
        <v>150</v>
      </c>
      <c r="S6" s="83" t="s">
        <v>0</v>
      </c>
      <c r="T6" s="85" t="s">
        <v>140</v>
      </c>
      <c r="U6" s="87" t="s">
        <v>148</v>
      </c>
      <c r="V6" s="80" t="s">
        <v>169</v>
      </c>
      <c r="W6" s="80" t="s">
        <v>0</v>
      </c>
      <c r="X6" s="101" t="s">
        <v>170</v>
      </c>
      <c r="Y6" s="83" t="s">
        <v>85</v>
      </c>
      <c r="Z6" s="80" t="s">
        <v>86</v>
      </c>
      <c r="AA6" s="80" t="s">
        <v>139</v>
      </c>
      <c r="AB6" s="80" t="s">
        <v>140</v>
      </c>
      <c r="AC6" s="80" t="s">
        <v>44</v>
      </c>
      <c r="AD6" s="80" t="s">
        <v>146</v>
      </c>
      <c r="AE6" s="83" t="s">
        <v>171</v>
      </c>
    </row>
    <row r="7" customFormat="false" ht="12.75" hidden="false" customHeight="false" outlineLevel="0" collapsed="false">
      <c r="A7" s="88" t="n">
        <f aca="false">Weather_Input!A5</f>
        <v>36999</v>
      </c>
      <c r="B7" s="50" t="n">
        <v>0</v>
      </c>
      <c r="C7" s="102" t="n">
        <v>30400</v>
      </c>
      <c r="D7" s="50" t="n">
        <v>0</v>
      </c>
      <c r="E7" s="50" t="n">
        <v>3800</v>
      </c>
      <c r="F7" s="50" t="n">
        <v>0</v>
      </c>
      <c r="G7" s="89" t="n">
        <v>0</v>
      </c>
      <c r="H7" s="91" t="n">
        <v>1000</v>
      </c>
      <c r="I7" s="91" t="n">
        <v>10000</v>
      </c>
      <c r="J7" s="91" t="n">
        <v>0</v>
      </c>
      <c r="K7" s="103" t="n">
        <v>0</v>
      </c>
      <c r="L7" s="94" t="n">
        <v>11080</v>
      </c>
      <c r="M7" s="104" t="n">
        <v>0</v>
      </c>
      <c r="N7" s="91" t="n">
        <v>0</v>
      </c>
      <c r="O7" s="91" t="n">
        <v>0</v>
      </c>
      <c r="P7" s="91" t="n">
        <v>0</v>
      </c>
      <c r="Q7" s="91" t="n">
        <v>0</v>
      </c>
      <c r="R7" s="91" t="n">
        <v>0</v>
      </c>
      <c r="S7" s="103" t="n">
        <v>0</v>
      </c>
      <c r="T7" s="105" t="n">
        <v>0</v>
      </c>
      <c r="U7" s="91" t="n">
        <v>0</v>
      </c>
      <c r="V7" s="94" t="n">
        <v>243044</v>
      </c>
      <c r="W7" s="94" t="n">
        <v>0</v>
      </c>
      <c r="X7" s="93" t="n">
        <v>5000</v>
      </c>
      <c r="Y7" s="103" t="n">
        <v>207088</v>
      </c>
      <c r="Z7" s="94" t="n">
        <v>41160</v>
      </c>
      <c r="AA7" s="29" t="n">
        <v>0</v>
      </c>
      <c r="AB7" s="93" t="n">
        <v>366514</v>
      </c>
      <c r="AC7" s="93" t="n">
        <v>81846</v>
      </c>
      <c r="AD7" s="93" t="n">
        <v>0</v>
      </c>
      <c r="AE7" s="103" t="n">
        <v>0</v>
      </c>
      <c r="AF7" s="106" t="n">
        <f aca="false">Weather_Input!A5</f>
        <v>36999</v>
      </c>
      <c r="AI7" s="93"/>
      <c r="AJ7" s="93"/>
      <c r="AK7" s="93"/>
    </row>
    <row r="8" customFormat="false" ht="12.75" hidden="false" customHeight="false" outlineLevel="0" collapsed="false">
      <c r="A8" s="88" t="n">
        <f aca="false">A7+1</f>
        <v>37000</v>
      </c>
      <c r="B8" s="50" t="n">
        <v>0</v>
      </c>
      <c r="C8" s="102" t="n">
        <v>30000</v>
      </c>
      <c r="D8" s="50" t="n">
        <v>0</v>
      </c>
      <c r="E8" s="50" t="n">
        <v>0</v>
      </c>
      <c r="F8" s="50" t="n">
        <v>0</v>
      </c>
      <c r="G8" s="89" t="n">
        <v>0</v>
      </c>
      <c r="H8" s="91" t="n">
        <v>1000</v>
      </c>
      <c r="I8" s="91" t="n">
        <v>10000</v>
      </c>
      <c r="J8" s="91" t="n">
        <v>0</v>
      </c>
      <c r="K8" s="103" t="n">
        <v>0</v>
      </c>
      <c r="L8" s="94" t="n">
        <v>0</v>
      </c>
      <c r="M8" s="104" t="n">
        <v>0</v>
      </c>
      <c r="N8" s="91" t="n">
        <v>0</v>
      </c>
      <c r="O8" s="91" t="n">
        <v>0</v>
      </c>
      <c r="P8" s="91" t="n">
        <v>0</v>
      </c>
      <c r="Q8" s="91" t="n">
        <v>0</v>
      </c>
      <c r="R8" s="91" t="n">
        <v>0</v>
      </c>
      <c r="S8" s="103" t="n">
        <v>0</v>
      </c>
      <c r="T8" s="105" t="n">
        <v>0</v>
      </c>
      <c r="U8" s="91" t="n">
        <v>0</v>
      </c>
      <c r="V8" s="94" t="n">
        <v>243044</v>
      </c>
      <c r="W8" s="94" t="n">
        <v>0</v>
      </c>
      <c r="X8" s="93" t="n">
        <v>0</v>
      </c>
      <c r="Y8" s="103" t="n">
        <v>144909</v>
      </c>
      <c r="Z8" s="94" t="n">
        <v>41160</v>
      </c>
      <c r="AA8" s="29" t="n">
        <v>0</v>
      </c>
      <c r="AB8" s="93" t="n">
        <v>337217</v>
      </c>
      <c r="AC8" s="93" t="n">
        <v>179557</v>
      </c>
      <c r="AD8" s="93" t="n">
        <v>0</v>
      </c>
      <c r="AE8" s="103" t="n">
        <v>0</v>
      </c>
      <c r="AF8" s="88" t="n">
        <f aca="false">AF7+1</f>
        <v>37000</v>
      </c>
      <c r="AI8" s="93"/>
      <c r="AJ8" s="93"/>
      <c r="AK8" s="93"/>
    </row>
    <row r="9" customFormat="false" ht="12.75" hidden="false" customHeight="false" outlineLevel="0" collapsed="false">
      <c r="A9" s="88" t="n">
        <f aca="false">A8+1</f>
        <v>37001</v>
      </c>
      <c r="B9" s="50" t="n">
        <v>0</v>
      </c>
      <c r="C9" s="102" t="n">
        <v>0</v>
      </c>
      <c r="D9" s="50" t="n">
        <v>0</v>
      </c>
      <c r="E9" s="50" t="n">
        <v>0</v>
      </c>
      <c r="F9" s="50" t="n">
        <v>0</v>
      </c>
      <c r="G9" s="89" t="n">
        <v>0</v>
      </c>
      <c r="H9" s="91" t="n">
        <v>1000</v>
      </c>
      <c r="I9" s="91" t="n">
        <v>10000</v>
      </c>
      <c r="J9" s="91" t="n">
        <v>0</v>
      </c>
      <c r="K9" s="103" t="n">
        <v>0</v>
      </c>
      <c r="L9" s="94" t="n">
        <v>0</v>
      </c>
      <c r="M9" s="104" t="n">
        <v>0</v>
      </c>
      <c r="N9" s="91" t="n">
        <v>0</v>
      </c>
      <c r="O9" s="91" t="n">
        <v>0</v>
      </c>
      <c r="P9" s="91" t="n">
        <v>0</v>
      </c>
      <c r="Q9" s="91" t="n">
        <v>0</v>
      </c>
      <c r="R9" s="91" t="n">
        <v>0</v>
      </c>
      <c r="S9" s="103" t="n">
        <v>0</v>
      </c>
      <c r="T9" s="105" t="n">
        <v>0</v>
      </c>
      <c r="U9" s="91" t="n">
        <v>0</v>
      </c>
      <c r="V9" s="94" t="n">
        <v>243044</v>
      </c>
      <c r="W9" s="94" t="n">
        <v>0</v>
      </c>
      <c r="X9" s="93" t="n">
        <v>0</v>
      </c>
      <c r="Y9" s="103" t="n">
        <v>131973</v>
      </c>
      <c r="Z9" s="94" t="n">
        <v>41160</v>
      </c>
      <c r="AA9" s="29" t="n">
        <v>0</v>
      </c>
      <c r="AB9" s="93" t="n">
        <v>337217</v>
      </c>
      <c r="AC9" s="93" t="n">
        <v>179557</v>
      </c>
      <c r="AD9" s="93" t="n">
        <v>0</v>
      </c>
      <c r="AE9" s="103" t="n">
        <v>0</v>
      </c>
      <c r="AF9" s="88" t="n">
        <f aca="false">AF8+1</f>
        <v>37001</v>
      </c>
      <c r="AG9" s="93"/>
      <c r="AH9" s="93"/>
      <c r="AI9" s="93"/>
      <c r="AJ9" s="93"/>
      <c r="AK9" s="93"/>
      <c r="AL9" s="93"/>
      <c r="AM9" s="93"/>
      <c r="AN9" s="93"/>
      <c r="AO9" s="93"/>
      <c r="AP9" s="93"/>
      <c r="AQ9" s="93"/>
      <c r="AR9" s="93"/>
      <c r="AS9" s="93"/>
      <c r="AT9" s="93"/>
      <c r="AU9" s="93"/>
      <c r="AV9" s="93"/>
      <c r="AW9" s="93"/>
      <c r="AX9" s="93"/>
      <c r="AY9" s="93"/>
      <c r="AZ9" s="93"/>
      <c r="BA9" s="93"/>
      <c r="BB9" s="93"/>
      <c r="BC9" s="93"/>
      <c r="BD9" s="93"/>
      <c r="BE9" s="93"/>
      <c r="BF9" s="93"/>
      <c r="BG9" s="93"/>
      <c r="BH9" s="93"/>
      <c r="BI9" s="93"/>
      <c r="BJ9" s="93"/>
      <c r="BK9" s="93"/>
      <c r="BL9" s="93"/>
      <c r="BM9" s="93"/>
      <c r="BN9" s="93"/>
      <c r="BO9" s="93"/>
      <c r="BP9" s="93"/>
      <c r="BQ9" s="93"/>
      <c r="BR9" s="93"/>
      <c r="BS9" s="93"/>
      <c r="BT9" s="93"/>
      <c r="BU9" s="93"/>
      <c r="BV9" s="93"/>
      <c r="BW9" s="93"/>
      <c r="BX9" s="93"/>
      <c r="BY9" s="93"/>
      <c r="BZ9" s="93"/>
      <c r="CA9" s="93"/>
      <c r="CB9" s="93"/>
      <c r="CC9" s="93"/>
      <c r="CD9" s="93"/>
      <c r="CE9" s="93"/>
      <c r="CF9" s="93"/>
      <c r="CG9" s="93"/>
      <c r="CH9" s="93"/>
      <c r="CI9" s="93"/>
      <c r="CJ9" s="93"/>
      <c r="CK9" s="93"/>
      <c r="CL9" s="93"/>
      <c r="CM9" s="93"/>
      <c r="CN9" s="93"/>
      <c r="CO9" s="93"/>
      <c r="CP9" s="93"/>
      <c r="CQ9" s="93"/>
      <c r="CR9" s="93"/>
      <c r="CS9" s="93"/>
      <c r="CT9" s="93"/>
      <c r="CU9" s="93"/>
      <c r="CV9" s="93"/>
      <c r="CW9" s="93"/>
      <c r="CX9" s="93"/>
      <c r="CY9" s="93"/>
      <c r="CZ9" s="93"/>
      <c r="DA9" s="93"/>
      <c r="DB9" s="93"/>
      <c r="DC9" s="93"/>
      <c r="DD9" s="93"/>
      <c r="DE9" s="93"/>
      <c r="DF9" s="93"/>
      <c r="DG9" s="93"/>
      <c r="DH9" s="93"/>
      <c r="DI9" s="93"/>
      <c r="DJ9" s="93"/>
      <c r="DK9" s="93"/>
      <c r="DL9" s="93"/>
      <c r="DM9" s="93"/>
      <c r="DN9" s="93"/>
      <c r="DO9" s="93"/>
      <c r="DP9" s="93"/>
      <c r="DQ9" s="93"/>
      <c r="DR9" s="93"/>
      <c r="DS9" s="93"/>
      <c r="DT9" s="93"/>
      <c r="DU9" s="93"/>
      <c r="DV9" s="93"/>
      <c r="DW9" s="93"/>
      <c r="DX9" s="93"/>
      <c r="DY9" s="93"/>
      <c r="DZ9" s="93"/>
      <c r="EA9" s="93"/>
      <c r="EB9" s="93"/>
      <c r="EC9" s="93"/>
      <c r="ED9" s="93"/>
      <c r="EE9" s="93"/>
      <c r="EF9" s="93"/>
      <c r="EG9" s="93"/>
      <c r="EH9" s="93"/>
      <c r="EI9" s="93"/>
      <c r="EJ9" s="93"/>
      <c r="EK9" s="93"/>
      <c r="EL9" s="93"/>
      <c r="EM9" s="93"/>
      <c r="EN9" s="93"/>
      <c r="EO9" s="93"/>
      <c r="EP9" s="93"/>
      <c r="EQ9" s="93"/>
      <c r="ER9" s="93"/>
      <c r="ES9" s="93"/>
      <c r="ET9" s="93"/>
      <c r="EU9" s="93"/>
      <c r="EV9" s="93"/>
      <c r="EW9" s="93"/>
      <c r="EX9" s="93"/>
      <c r="EY9" s="93"/>
      <c r="EZ9" s="93"/>
      <c r="FA9" s="93"/>
      <c r="FB9" s="93"/>
      <c r="FC9" s="93"/>
      <c r="FD9" s="93"/>
      <c r="FE9" s="93"/>
      <c r="FF9" s="93"/>
      <c r="FG9" s="93"/>
      <c r="FH9" s="93"/>
      <c r="FI9" s="93"/>
      <c r="FJ9" s="93"/>
      <c r="FK9" s="93"/>
      <c r="FL9" s="93"/>
      <c r="FM9" s="93"/>
      <c r="FN9" s="93"/>
      <c r="FO9" s="93"/>
      <c r="FP9" s="93"/>
      <c r="FQ9" s="93"/>
      <c r="FR9" s="93"/>
      <c r="FS9" s="93"/>
      <c r="FT9" s="93"/>
      <c r="FU9" s="93"/>
      <c r="FV9" s="93"/>
      <c r="FW9" s="93"/>
      <c r="FX9" s="93"/>
      <c r="FY9" s="93"/>
      <c r="FZ9" s="93"/>
      <c r="GA9" s="93"/>
      <c r="GB9" s="93"/>
      <c r="GC9" s="93"/>
      <c r="GD9" s="93"/>
      <c r="GE9" s="93"/>
      <c r="GF9" s="93"/>
      <c r="GG9" s="93"/>
      <c r="GH9" s="93"/>
      <c r="GI9" s="93"/>
      <c r="GJ9" s="93"/>
      <c r="GK9" s="93"/>
      <c r="GL9" s="93"/>
      <c r="GM9" s="93"/>
      <c r="GN9" s="93"/>
      <c r="GO9" s="93"/>
      <c r="GP9" s="93"/>
      <c r="GQ9" s="93"/>
      <c r="GR9" s="93"/>
      <c r="GS9" s="93"/>
      <c r="GT9" s="93"/>
      <c r="GU9" s="93"/>
      <c r="GV9" s="93"/>
      <c r="GW9" s="93"/>
      <c r="GX9" s="93"/>
      <c r="GY9" s="93"/>
      <c r="GZ9" s="93"/>
      <c r="HA9" s="93"/>
      <c r="HB9" s="93"/>
      <c r="HC9" s="93"/>
      <c r="HD9" s="93"/>
      <c r="HE9" s="93"/>
      <c r="HF9" s="93"/>
      <c r="HG9" s="93"/>
      <c r="HH9" s="93"/>
      <c r="HI9" s="93"/>
      <c r="HJ9" s="93"/>
      <c r="HK9" s="93"/>
      <c r="HL9" s="93"/>
      <c r="HM9" s="93"/>
      <c r="HN9" s="93"/>
      <c r="HO9" s="93"/>
      <c r="HP9" s="93"/>
      <c r="HQ9" s="93"/>
      <c r="HR9" s="93"/>
      <c r="HS9" s="93"/>
      <c r="HT9" s="93"/>
      <c r="HU9" s="93"/>
      <c r="HV9" s="93"/>
      <c r="HW9" s="93"/>
      <c r="HX9" s="93"/>
      <c r="HY9" s="93"/>
      <c r="HZ9" s="93"/>
      <c r="IA9" s="93"/>
      <c r="IB9" s="93"/>
      <c r="IC9" s="93"/>
      <c r="ID9" s="93"/>
      <c r="IE9" s="93"/>
      <c r="IF9" s="93"/>
      <c r="IG9" s="93"/>
      <c r="IH9" s="93"/>
      <c r="II9" s="93"/>
      <c r="IJ9" s="93"/>
      <c r="IK9" s="93"/>
      <c r="IL9" s="93"/>
      <c r="IM9" s="93"/>
      <c r="IN9" s="93"/>
      <c r="IO9" s="93"/>
      <c r="IP9" s="93"/>
      <c r="IQ9" s="93"/>
      <c r="IR9" s="93"/>
      <c r="IS9" s="93"/>
      <c r="IT9" s="93"/>
      <c r="IU9" s="93"/>
      <c r="IV9" s="93"/>
      <c r="IW9" s="93"/>
    </row>
    <row r="10" customFormat="false" ht="12.75" hidden="false" customHeight="false" outlineLevel="0" collapsed="false">
      <c r="A10" s="88" t="n">
        <f aca="false">A9+1</f>
        <v>37002</v>
      </c>
      <c r="B10" s="50" t="n">
        <v>0</v>
      </c>
      <c r="C10" s="102" t="n">
        <v>0</v>
      </c>
      <c r="D10" s="50" t="n">
        <v>0</v>
      </c>
      <c r="E10" s="50" t="n">
        <v>0</v>
      </c>
      <c r="F10" s="50" t="n">
        <v>0</v>
      </c>
      <c r="G10" s="89" t="n">
        <v>0</v>
      </c>
      <c r="H10" s="91" t="n">
        <v>1000</v>
      </c>
      <c r="I10" s="91" t="n">
        <v>10000</v>
      </c>
      <c r="J10" s="91" t="n">
        <v>0</v>
      </c>
      <c r="K10" s="103" t="n">
        <v>0</v>
      </c>
      <c r="L10" s="94" t="n">
        <v>0</v>
      </c>
      <c r="M10" s="104" t="n">
        <v>0</v>
      </c>
      <c r="N10" s="91" t="n">
        <v>0</v>
      </c>
      <c r="O10" s="91" t="n">
        <v>0</v>
      </c>
      <c r="P10" s="91" t="n">
        <v>0</v>
      </c>
      <c r="Q10" s="91" t="n">
        <v>0</v>
      </c>
      <c r="R10" s="91" t="n">
        <v>0</v>
      </c>
      <c r="S10" s="103" t="n">
        <v>0</v>
      </c>
      <c r="T10" s="105" t="n">
        <v>0</v>
      </c>
      <c r="U10" s="91" t="n">
        <v>0</v>
      </c>
      <c r="V10" s="94" t="n">
        <v>243044</v>
      </c>
      <c r="W10" s="94" t="n">
        <v>0</v>
      </c>
      <c r="X10" s="93" t="n">
        <v>0</v>
      </c>
      <c r="Y10" s="103" t="n">
        <v>121063</v>
      </c>
      <c r="Z10" s="94" t="n">
        <v>41160</v>
      </c>
      <c r="AA10" s="29" t="n">
        <v>0</v>
      </c>
      <c r="AB10" s="93" t="n">
        <v>337217</v>
      </c>
      <c r="AC10" s="93" t="n">
        <v>179557</v>
      </c>
      <c r="AD10" s="93" t="n">
        <v>0</v>
      </c>
      <c r="AE10" s="103" t="n">
        <v>0</v>
      </c>
      <c r="AF10" s="88" t="n">
        <f aca="false">AF9+1</f>
        <v>37002</v>
      </c>
      <c r="AI10" s="93"/>
      <c r="AJ10" s="93"/>
      <c r="AK10" s="93"/>
    </row>
    <row r="11" customFormat="false" ht="12.75" hidden="false" customHeight="false" outlineLevel="0" collapsed="false">
      <c r="A11" s="88" t="n">
        <f aca="false">A10+1</f>
        <v>37003</v>
      </c>
      <c r="B11" s="50" t="n">
        <v>0</v>
      </c>
      <c r="C11" s="102" t="n">
        <v>0</v>
      </c>
      <c r="D11" s="50" t="n">
        <v>0</v>
      </c>
      <c r="E11" s="50" t="n">
        <v>0</v>
      </c>
      <c r="F11" s="50" t="n">
        <v>0</v>
      </c>
      <c r="G11" s="89" t="n">
        <v>0</v>
      </c>
      <c r="H11" s="91" t="n">
        <v>1000</v>
      </c>
      <c r="I11" s="91" t="n">
        <v>10000</v>
      </c>
      <c r="J11" s="91" t="n">
        <v>0</v>
      </c>
      <c r="K11" s="103" t="n">
        <v>0</v>
      </c>
      <c r="L11" s="94" t="n">
        <v>0</v>
      </c>
      <c r="M11" s="104" t="n">
        <v>0</v>
      </c>
      <c r="N11" s="91" t="n">
        <v>0</v>
      </c>
      <c r="O11" s="91" t="n">
        <v>0</v>
      </c>
      <c r="P11" s="91" t="n">
        <v>0</v>
      </c>
      <c r="Q11" s="91" t="n">
        <v>0</v>
      </c>
      <c r="R11" s="91" t="n">
        <v>0</v>
      </c>
      <c r="S11" s="103" t="n">
        <v>0</v>
      </c>
      <c r="T11" s="105" t="n">
        <v>0</v>
      </c>
      <c r="U11" s="91" t="n">
        <v>0</v>
      </c>
      <c r="V11" s="94" t="n">
        <v>243044</v>
      </c>
      <c r="W11" s="94" t="n">
        <v>0</v>
      </c>
      <c r="X11" s="93" t="n">
        <v>0</v>
      </c>
      <c r="Y11" s="103" t="n">
        <v>121063</v>
      </c>
      <c r="Z11" s="94" t="n">
        <v>41160</v>
      </c>
      <c r="AA11" s="29" t="n">
        <v>0</v>
      </c>
      <c r="AB11" s="93" t="n">
        <v>337217</v>
      </c>
      <c r="AC11" s="93" t="n">
        <v>179557</v>
      </c>
      <c r="AD11" s="93" t="n">
        <v>0</v>
      </c>
      <c r="AE11" s="103" t="n">
        <v>0</v>
      </c>
      <c r="AF11" s="88" t="n">
        <f aca="false">AF10+1</f>
        <v>37003</v>
      </c>
    </row>
    <row r="12" customFormat="false" ht="12.75" hidden="false" customHeight="false" outlineLevel="0" collapsed="false">
      <c r="A12" s="88" t="n">
        <f aca="false">A11+1</f>
        <v>37004</v>
      </c>
      <c r="B12" s="50" t="n">
        <v>0</v>
      </c>
      <c r="C12" s="102" t="n">
        <v>0</v>
      </c>
      <c r="D12" s="50" t="n">
        <v>0</v>
      </c>
      <c r="E12" s="50" t="n">
        <v>0</v>
      </c>
      <c r="F12" s="50" t="n">
        <v>0</v>
      </c>
      <c r="G12" s="89" t="n">
        <v>0</v>
      </c>
      <c r="H12" s="91" t="n">
        <v>1000</v>
      </c>
      <c r="I12" s="91" t="n">
        <v>10000</v>
      </c>
      <c r="J12" s="91" t="n">
        <v>0</v>
      </c>
      <c r="K12" s="103" t="n">
        <v>0</v>
      </c>
      <c r="L12" s="94" t="n">
        <v>0</v>
      </c>
      <c r="M12" s="104" t="n">
        <v>0</v>
      </c>
      <c r="N12" s="91" t="n">
        <v>0</v>
      </c>
      <c r="O12" s="91" t="n">
        <v>0</v>
      </c>
      <c r="P12" s="91" t="n">
        <v>0</v>
      </c>
      <c r="Q12" s="91" t="n">
        <v>0</v>
      </c>
      <c r="R12" s="91" t="n">
        <v>0</v>
      </c>
      <c r="S12" s="103" t="n">
        <v>0</v>
      </c>
      <c r="T12" s="105" t="n">
        <v>0</v>
      </c>
      <c r="U12" s="91" t="n">
        <v>0</v>
      </c>
      <c r="V12" s="94" t="n">
        <v>243044</v>
      </c>
      <c r="W12" s="94" t="n">
        <v>0</v>
      </c>
      <c r="X12" s="93" t="n">
        <v>0</v>
      </c>
      <c r="Y12" s="103" t="n">
        <v>121063</v>
      </c>
      <c r="Z12" s="94" t="n">
        <v>41160</v>
      </c>
      <c r="AA12" s="29" t="n">
        <v>0</v>
      </c>
      <c r="AB12" s="93" t="n">
        <v>337217</v>
      </c>
      <c r="AC12" s="93" t="n">
        <v>179557</v>
      </c>
      <c r="AD12" s="93" t="n">
        <v>0</v>
      </c>
      <c r="AE12" s="103" t="n">
        <v>0</v>
      </c>
      <c r="AF12" s="88" t="n">
        <f aca="false">AF11+1</f>
        <v>37004</v>
      </c>
    </row>
    <row r="13" customFormat="false" ht="12.75" hidden="false" customHeight="false" outlineLevel="0" collapsed="false">
      <c r="G13" s="29" t="s">
        <v>0</v>
      </c>
      <c r="I13" s="18"/>
      <c r="P13" s="29" t="s">
        <v>0</v>
      </c>
      <c r="T13" s="105"/>
      <c r="U13" s="29" t="s">
        <v>0</v>
      </c>
      <c r="V13" s="18" t="s">
        <v>0</v>
      </c>
      <c r="W13" s="94" t="s">
        <v>0</v>
      </c>
      <c r="X13" s="93"/>
      <c r="Z13" s="74"/>
      <c r="AB13" s="93"/>
      <c r="AD13" s="93"/>
    </row>
    <row r="14" customFormat="false" ht="12.75" hidden="false" customHeight="false" outlineLevel="0" collapsed="false">
      <c r="A14" s="29" t="s">
        <v>0</v>
      </c>
      <c r="I14" s="18"/>
      <c r="X14" s="18"/>
      <c r="Z14" s="29" t="s">
        <v>0</v>
      </c>
      <c r="AB14" s="93"/>
    </row>
    <row r="15" customFormat="false" ht="12.75" hidden="false" customHeight="false" outlineLevel="0" collapsed="false">
      <c r="I15" s="18"/>
      <c r="X15" s="18"/>
    </row>
    <row r="17" customFormat="false" ht="12.75" hidden="false" customHeight="false" outlineLevel="0" collapsed="false">
      <c r="P17" s="29" t="s">
        <v>0</v>
      </c>
    </row>
    <row r="18" customFormat="false" ht="12.75" hidden="false" customHeight="false" outlineLevel="0" collapsed="false">
      <c r="AC18" s="29" t="s">
        <v>0</v>
      </c>
    </row>
    <row r="19" customFormat="false" ht="12.75" hidden="false" customHeight="false" outlineLevel="0" collapsed="false">
      <c r="AA19" s="29" t="s">
        <v>0</v>
      </c>
      <c r="AG19" s="93"/>
    </row>
    <row r="20" customFormat="false" ht="12.75" hidden="false" customHeight="false" outlineLevel="0" collapsed="false">
      <c r="Z20" s="95" t="s">
        <v>0</v>
      </c>
      <c r="AG20" s="93"/>
    </row>
    <row r="21" customFormat="false" ht="12.75" hidden="false" customHeight="false" outlineLevel="0" collapsed="false">
      <c r="AG21" s="93"/>
    </row>
    <row r="22" customFormat="false" ht="12.75" hidden="false" customHeight="false" outlineLevel="0" collapsed="false">
      <c r="AG22" s="93"/>
    </row>
    <row r="23" customFormat="false" ht="12.75" hidden="false" customHeight="false" outlineLevel="0" collapsed="false">
      <c r="AG23" s="93"/>
    </row>
    <row r="25" customFormat="false" ht="12.75" hidden="false" customHeight="false" outlineLevel="0" collapsed="false">
      <c r="AB25" s="93" t="s">
        <v>0</v>
      </c>
    </row>
  </sheetData>
  <mergeCells count="4">
    <mergeCell ref="C3:G3"/>
    <mergeCell ref="H3:L3"/>
    <mergeCell ref="M3:U3"/>
    <mergeCell ref="Z3:AE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107" t="s">
        <v>0</v>
      </c>
      <c r="B1" s="65"/>
      <c r="C1" s="65"/>
      <c r="D1" s="65"/>
      <c r="E1" s="65"/>
      <c r="F1" s="65"/>
      <c r="G1" s="65"/>
      <c r="H1" s="65"/>
      <c r="I1" s="65"/>
      <c r="J1" s="65"/>
      <c r="K1" s="65"/>
    </row>
    <row r="2" customFormat="false" ht="12.75" hidden="false" customHeight="false" outlineLevel="0" collapsed="false">
      <c r="A2" s="61"/>
      <c r="B2" s="61"/>
      <c r="C2" s="61"/>
      <c r="D2" s="66"/>
      <c r="E2" s="66"/>
      <c r="F2" s="66"/>
      <c r="G2" s="61"/>
      <c r="H2" s="61"/>
      <c r="I2" s="61"/>
      <c r="J2" s="61"/>
      <c r="K2" s="61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</row>
    <row r="3" customFormat="false" ht="12.75" hidden="false" customHeight="false" outlineLevel="0" collapsed="false">
      <c r="A3" s="67"/>
      <c r="B3" s="69" t="s">
        <v>172</v>
      </c>
      <c r="C3" s="71" t="s">
        <v>173</v>
      </c>
      <c r="D3" s="71"/>
      <c r="E3" s="71"/>
      <c r="F3" s="71"/>
      <c r="G3" s="72" t="s">
        <v>174</v>
      </c>
      <c r="H3" s="72"/>
      <c r="I3" s="72"/>
      <c r="J3" s="72"/>
      <c r="K3" s="72"/>
      <c r="L3" s="71" t="s">
        <v>93</v>
      </c>
      <c r="M3" s="71"/>
      <c r="N3" s="71"/>
      <c r="O3" s="71"/>
      <c r="P3" s="71"/>
      <c r="Q3" s="71"/>
      <c r="R3" s="71"/>
      <c r="S3" s="72" t="s">
        <v>175</v>
      </c>
      <c r="T3" s="72"/>
      <c r="U3" s="72"/>
      <c r="V3" s="72"/>
      <c r="W3" s="72"/>
      <c r="X3" s="72"/>
      <c r="Y3" s="57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</row>
    <row r="4" customFormat="false" ht="12.75" hidden="false" customHeight="false" outlineLevel="0" collapsed="false">
      <c r="A4" s="29"/>
      <c r="B4" s="69" t="s">
        <v>176</v>
      </c>
      <c r="C4" s="29"/>
      <c r="D4" s="29"/>
      <c r="E4" s="29"/>
      <c r="F4" s="29"/>
      <c r="G4" s="37" t="s">
        <v>177</v>
      </c>
      <c r="H4" s="37"/>
      <c r="I4" s="36" t="s">
        <v>178</v>
      </c>
      <c r="J4" s="36"/>
      <c r="K4" s="76" t="s">
        <v>179</v>
      </c>
      <c r="L4" s="76" t="s">
        <v>179</v>
      </c>
      <c r="M4" s="37" t="s">
        <v>179</v>
      </c>
      <c r="N4" s="76" t="s">
        <v>125</v>
      </c>
      <c r="O4" s="29"/>
      <c r="P4" s="29"/>
      <c r="Q4" s="29"/>
      <c r="R4" s="36"/>
      <c r="S4" s="108"/>
      <c r="T4" s="29"/>
      <c r="U4" s="29"/>
      <c r="V4" s="29"/>
      <c r="W4" s="29"/>
      <c r="X4" s="29"/>
      <c r="Y4" s="29"/>
      <c r="Z4" s="36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</row>
    <row r="5" customFormat="false" ht="12.75" hidden="false" customHeight="false" outlineLevel="0" collapsed="false">
      <c r="A5" s="29"/>
      <c r="B5" s="73"/>
      <c r="C5" s="29"/>
      <c r="D5" s="29"/>
      <c r="E5" s="29"/>
      <c r="F5" s="29"/>
      <c r="G5" s="37" t="s">
        <v>180</v>
      </c>
      <c r="H5" s="36" t="s">
        <v>44</v>
      </c>
      <c r="I5" s="109" t="n">
        <v>0.05</v>
      </c>
      <c r="J5" s="109" t="s">
        <v>86</v>
      </c>
      <c r="K5" s="76" t="s">
        <v>75</v>
      </c>
      <c r="L5" s="76" t="s">
        <v>75</v>
      </c>
      <c r="M5" s="76" t="s">
        <v>75</v>
      </c>
      <c r="N5" s="76" t="s">
        <v>75</v>
      </c>
      <c r="O5" s="36" t="s">
        <v>86</v>
      </c>
      <c r="P5" s="36" t="s">
        <v>44</v>
      </c>
      <c r="Q5" s="36" t="s">
        <v>44</v>
      </c>
      <c r="R5" s="109" t="s">
        <v>44</v>
      </c>
      <c r="S5" s="37" t="s">
        <v>86</v>
      </c>
      <c r="T5" s="37"/>
      <c r="U5" s="37"/>
      <c r="V5" s="36" t="s">
        <v>0</v>
      </c>
      <c r="W5" s="36" t="s">
        <v>139</v>
      </c>
      <c r="X5" s="36" t="s">
        <v>0</v>
      </c>
      <c r="Y5" s="29"/>
      <c r="Z5" s="36" t="s">
        <v>44</v>
      </c>
      <c r="AA5" s="36"/>
      <c r="AB5" s="36" t="s">
        <v>0</v>
      </c>
      <c r="AC5" s="28" t="s">
        <v>181</v>
      </c>
      <c r="AD5" s="29"/>
      <c r="AE5" s="36" t="s">
        <v>0</v>
      </c>
      <c r="AF5" s="29"/>
      <c r="AG5" s="29"/>
      <c r="AH5" s="29"/>
      <c r="AI5" s="29"/>
      <c r="AJ5" s="29"/>
      <c r="AK5" s="29"/>
    </row>
    <row r="6" customFormat="false" ht="12.75" hidden="false" customHeight="false" outlineLevel="0" collapsed="false">
      <c r="A6" s="82"/>
      <c r="B6" s="83" t="s">
        <v>84</v>
      </c>
      <c r="C6" s="80" t="s">
        <v>44</v>
      </c>
      <c r="D6" s="80" t="s">
        <v>86</v>
      </c>
      <c r="E6" s="80" t="s">
        <v>139</v>
      </c>
      <c r="F6" s="80" t="s">
        <v>140</v>
      </c>
      <c r="G6" s="99" t="s">
        <v>182</v>
      </c>
      <c r="H6" s="80" t="s">
        <v>167</v>
      </c>
      <c r="I6" s="80" t="s">
        <v>183</v>
      </c>
      <c r="J6" s="80" t="s">
        <v>150</v>
      </c>
      <c r="K6" s="80" t="s">
        <v>184</v>
      </c>
      <c r="L6" s="80" t="s">
        <v>185</v>
      </c>
      <c r="M6" s="80" t="s">
        <v>186</v>
      </c>
      <c r="N6" s="80" t="s">
        <v>187</v>
      </c>
      <c r="O6" s="80" t="n">
        <v>50</v>
      </c>
      <c r="P6" s="80" t="s">
        <v>188</v>
      </c>
      <c r="Q6" s="80" t="s">
        <v>153</v>
      </c>
      <c r="R6" s="80" t="s">
        <v>189</v>
      </c>
      <c r="S6" s="99" t="s">
        <v>190</v>
      </c>
      <c r="T6" s="80" t="s">
        <v>191</v>
      </c>
      <c r="U6" s="80" t="s">
        <v>192</v>
      </c>
      <c r="V6" s="99" t="s">
        <v>190</v>
      </c>
      <c r="W6" s="80" t="s">
        <v>191</v>
      </c>
      <c r="X6" s="80" t="s">
        <v>192</v>
      </c>
      <c r="Y6" s="99" t="s">
        <v>190</v>
      </c>
      <c r="Z6" s="80" t="s">
        <v>191</v>
      </c>
      <c r="AA6" s="80" t="s">
        <v>192</v>
      </c>
      <c r="AB6" s="99" t="s">
        <v>190</v>
      </c>
      <c r="AC6" s="80" t="s">
        <v>191</v>
      </c>
      <c r="AD6" s="80" t="s">
        <v>192</v>
      </c>
      <c r="AE6" s="80" t="s">
        <v>193</v>
      </c>
      <c r="AF6" s="29"/>
      <c r="AG6" s="29"/>
      <c r="AH6" s="29"/>
      <c r="AI6" s="29"/>
      <c r="AJ6" s="29"/>
      <c r="AK6" s="29"/>
    </row>
    <row r="7" customFormat="false" ht="12.75" hidden="false" customHeight="false" outlineLevel="0" collapsed="false">
      <c r="A7" s="110" t="n">
        <f aca="false">Weather_Input!A5</f>
        <v>36999</v>
      </c>
      <c r="B7" s="89" t="n">
        <v>0</v>
      </c>
      <c r="C7" s="91" t="n">
        <v>0</v>
      </c>
      <c r="D7" s="91" t="n">
        <v>0</v>
      </c>
      <c r="E7" s="91" t="n">
        <v>0</v>
      </c>
      <c r="F7" s="91" t="n">
        <v>0</v>
      </c>
      <c r="G7" s="104" t="n">
        <v>0</v>
      </c>
      <c r="H7" s="91" t="n">
        <v>0</v>
      </c>
      <c r="I7" s="90" t="n">
        <v>7197</v>
      </c>
      <c r="J7" s="90" t="n">
        <v>20000</v>
      </c>
      <c r="K7" s="102" t="n">
        <v>0</v>
      </c>
      <c r="L7" s="111" t="n">
        <v>0</v>
      </c>
      <c r="M7" s="111" t="n">
        <v>0</v>
      </c>
      <c r="N7" s="111" t="n">
        <v>0</v>
      </c>
      <c r="O7" s="111" t="n">
        <v>0</v>
      </c>
      <c r="P7" s="91" t="n">
        <v>0</v>
      </c>
      <c r="Q7" s="111" t="n">
        <v>0</v>
      </c>
      <c r="R7" s="91" t="n">
        <v>0</v>
      </c>
      <c r="S7" s="112" t="n">
        <v>0</v>
      </c>
      <c r="T7" s="91" t="n">
        <v>0</v>
      </c>
      <c r="U7" s="91" t="n">
        <v>0</v>
      </c>
      <c r="V7" s="112" t="n">
        <v>0</v>
      </c>
      <c r="W7" s="91" t="n">
        <v>0</v>
      </c>
      <c r="X7" s="91" t="n">
        <v>0</v>
      </c>
      <c r="Y7" s="112" t="n">
        <v>0</v>
      </c>
      <c r="Z7" s="91" t="n">
        <v>0</v>
      </c>
      <c r="AA7" s="91" t="n">
        <v>0</v>
      </c>
      <c r="AB7" s="104" t="n">
        <v>0</v>
      </c>
      <c r="AC7" s="91" t="n">
        <v>0</v>
      </c>
      <c r="AD7" s="91" t="n">
        <v>0</v>
      </c>
      <c r="AE7" s="91" t="n">
        <v>0</v>
      </c>
      <c r="AF7" s="88" t="n">
        <f aca="false">Weather_Input!A5</f>
        <v>36999</v>
      </c>
      <c r="AG7" s="93"/>
      <c r="AH7" s="93"/>
      <c r="AI7" s="93"/>
      <c r="AJ7" s="93"/>
      <c r="AK7" s="93"/>
    </row>
    <row r="8" customFormat="false" ht="12.75" hidden="false" customHeight="false" outlineLevel="0" collapsed="false">
      <c r="A8" s="110" t="n">
        <f aca="false">Weather_Input!A6</f>
        <v>37000</v>
      </c>
      <c r="B8" s="89" t="n">
        <v>0</v>
      </c>
      <c r="C8" s="91" t="n">
        <v>0</v>
      </c>
      <c r="D8" s="91" t="n">
        <v>0</v>
      </c>
      <c r="E8" s="91" t="n">
        <v>0</v>
      </c>
      <c r="F8" s="91" t="n">
        <v>0</v>
      </c>
      <c r="G8" s="104" t="n">
        <v>0</v>
      </c>
      <c r="H8" s="91" t="n">
        <v>0</v>
      </c>
      <c r="I8" s="90" t="n">
        <v>7197</v>
      </c>
      <c r="J8" s="90" t="n">
        <v>0</v>
      </c>
      <c r="K8" s="102" t="n">
        <v>0</v>
      </c>
      <c r="L8" s="111" t="n">
        <v>0</v>
      </c>
      <c r="M8" s="111" t="n">
        <v>0</v>
      </c>
      <c r="N8" s="111" t="n">
        <v>0</v>
      </c>
      <c r="O8" s="111" t="n">
        <v>0</v>
      </c>
      <c r="P8" s="91" t="n">
        <v>0</v>
      </c>
      <c r="Q8" s="111" t="n">
        <v>0</v>
      </c>
      <c r="R8" s="91" t="n">
        <v>0</v>
      </c>
      <c r="S8" s="112" t="n">
        <v>0</v>
      </c>
      <c r="T8" s="91" t="n">
        <v>0</v>
      </c>
      <c r="U8" s="91" t="n">
        <v>0</v>
      </c>
      <c r="V8" s="112" t="n">
        <v>0</v>
      </c>
      <c r="W8" s="91" t="n">
        <v>0</v>
      </c>
      <c r="X8" s="91" t="n">
        <v>0</v>
      </c>
      <c r="Y8" s="112" t="n">
        <v>0</v>
      </c>
      <c r="Z8" s="91" t="n">
        <v>0</v>
      </c>
      <c r="AA8" s="91" t="n">
        <v>0</v>
      </c>
      <c r="AB8" s="104" t="n">
        <v>0</v>
      </c>
      <c r="AC8" s="91" t="n">
        <v>0</v>
      </c>
      <c r="AD8" s="91" t="n">
        <v>0</v>
      </c>
      <c r="AE8" s="91" t="n">
        <v>0</v>
      </c>
      <c r="AF8" s="110" t="n">
        <f aca="false">AF7+1</f>
        <v>37000</v>
      </c>
      <c r="AG8" s="93"/>
      <c r="AH8" s="93"/>
      <c r="AI8" s="93"/>
      <c r="AJ8" s="93"/>
      <c r="AK8" s="93"/>
    </row>
    <row r="9" customFormat="false" ht="12.75" hidden="false" customHeight="false" outlineLevel="0" collapsed="false">
      <c r="A9" s="88" t="n">
        <f aca="false">A8+1</f>
        <v>37001</v>
      </c>
      <c r="B9" s="89" t="n">
        <v>0</v>
      </c>
      <c r="C9" s="91" t="n">
        <v>0</v>
      </c>
      <c r="D9" s="91" t="n">
        <v>0</v>
      </c>
      <c r="E9" s="91" t="n">
        <v>0</v>
      </c>
      <c r="F9" s="91" t="n">
        <v>0</v>
      </c>
      <c r="G9" s="104" t="n">
        <v>0</v>
      </c>
      <c r="H9" s="91" t="n">
        <v>0</v>
      </c>
      <c r="I9" s="90" t="n">
        <v>7197</v>
      </c>
      <c r="J9" s="90" t="n">
        <v>0</v>
      </c>
      <c r="K9" s="102" t="n">
        <v>0</v>
      </c>
      <c r="L9" s="111" t="n">
        <v>0</v>
      </c>
      <c r="M9" s="111" t="n">
        <v>0</v>
      </c>
      <c r="N9" s="111" t="n">
        <v>0</v>
      </c>
      <c r="O9" s="111" t="n">
        <v>0</v>
      </c>
      <c r="P9" s="91" t="n">
        <v>0</v>
      </c>
      <c r="Q9" s="111" t="n">
        <v>0</v>
      </c>
      <c r="R9" s="91" t="n">
        <v>0</v>
      </c>
      <c r="S9" s="112" t="n">
        <v>0</v>
      </c>
      <c r="T9" s="91" t="n">
        <v>0</v>
      </c>
      <c r="U9" s="91" t="n">
        <v>0</v>
      </c>
      <c r="V9" s="112" t="n">
        <v>0</v>
      </c>
      <c r="W9" s="91" t="n">
        <v>0</v>
      </c>
      <c r="X9" s="91" t="n">
        <v>0</v>
      </c>
      <c r="Y9" s="112" t="n">
        <v>0</v>
      </c>
      <c r="Z9" s="91" t="n">
        <v>0</v>
      </c>
      <c r="AA9" s="91" t="n">
        <v>0</v>
      </c>
      <c r="AB9" s="104" t="n">
        <v>0</v>
      </c>
      <c r="AC9" s="91" t="n">
        <v>0</v>
      </c>
      <c r="AD9" s="91" t="n">
        <v>0</v>
      </c>
      <c r="AE9" s="91" t="n">
        <v>0</v>
      </c>
      <c r="AF9" s="88" t="n">
        <f aca="false">AF8+1</f>
        <v>37001</v>
      </c>
      <c r="AG9" s="93"/>
      <c r="AH9" s="93"/>
      <c r="AI9" s="93"/>
      <c r="AJ9" s="93"/>
      <c r="AK9" s="93"/>
    </row>
    <row r="10" customFormat="false" ht="12.75" hidden="false" customHeight="false" outlineLevel="0" collapsed="false">
      <c r="A10" s="88" t="n">
        <f aca="false">A9+1</f>
        <v>37002</v>
      </c>
      <c r="B10" s="89" t="n">
        <v>0</v>
      </c>
      <c r="C10" s="91" t="n">
        <v>0</v>
      </c>
      <c r="D10" s="91" t="n">
        <v>0</v>
      </c>
      <c r="E10" s="91" t="n">
        <v>0</v>
      </c>
      <c r="F10" s="91" t="n">
        <v>0</v>
      </c>
      <c r="G10" s="104" t="n">
        <v>0</v>
      </c>
      <c r="H10" s="91" t="n">
        <v>0</v>
      </c>
      <c r="I10" s="90" t="n">
        <v>7197</v>
      </c>
      <c r="J10" s="90" t="n">
        <v>0</v>
      </c>
      <c r="K10" s="102" t="n">
        <v>0</v>
      </c>
      <c r="L10" s="111" t="n">
        <v>0</v>
      </c>
      <c r="M10" s="111" t="n">
        <v>0</v>
      </c>
      <c r="N10" s="111" t="n">
        <v>0</v>
      </c>
      <c r="O10" s="111" t="n">
        <v>0</v>
      </c>
      <c r="P10" s="91" t="n">
        <v>0</v>
      </c>
      <c r="Q10" s="111" t="n">
        <v>0</v>
      </c>
      <c r="R10" s="91" t="n">
        <v>0</v>
      </c>
      <c r="S10" s="112" t="n">
        <v>0</v>
      </c>
      <c r="T10" s="91" t="n">
        <v>0</v>
      </c>
      <c r="U10" s="91" t="n">
        <v>0</v>
      </c>
      <c r="V10" s="112" t="n">
        <v>0</v>
      </c>
      <c r="W10" s="91" t="n">
        <v>0</v>
      </c>
      <c r="X10" s="91" t="n">
        <v>0</v>
      </c>
      <c r="Y10" s="112" t="n">
        <v>0</v>
      </c>
      <c r="Z10" s="91" t="n">
        <v>0</v>
      </c>
      <c r="AA10" s="91" t="n">
        <v>0</v>
      </c>
      <c r="AB10" s="104" t="n">
        <v>0</v>
      </c>
      <c r="AC10" s="91" t="n">
        <v>0</v>
      </c>
      <c r="AD10" s="91" t="n">
        <v>0</v>
      </c>
      <c r="AE10" s="91" t="n">
        <v>0</v>
      </c>
      <c r="AF10" s="88" t="n">
        <f aca="false">AF9+1</f>
        <v>37002</v>
      </c>
      <c r="AG10" s="93"/>
      <c r="AH10" s="93"/>
      <c r="AI10" s="93"/>
      <c r="AJ10" s="93"/>
      <c r="AK10" s="93"/>
    </row>
    <row r="11" customFormat="false" ht="12.75" hidden="false" customHeight="false" outlineLevel="0" collapsed="false">
      <c r="A11" s="88" t="n">
        <f aca="false">A10+1</f>
        <v>37003</v>
      </c>
      <c r="B11" s="89" t="n">
        <v>0</v>
      </c>
      <c r="C11" s="91" t="n">
        <v>0</v>
      </c>
      <c r="D11" s="91" t="n">
        <v>0</v>
      </c>
      <c r="E11" s="91" t="n">
        <v>0</v>
      </c>
      <c r="F11" s="91" t="n">
        <v>0</v>
      </c>
      <c r="G11" s="104" t="n">
        <v>0</v>
      </c>
      <c r="H11" s="91" t="n">
        <v>0</v>
      </c>
      <c r="I11" s="90" t="n">
        <v>7197</v>
      </c>
      <c r="J11" s="90" t="n">
        <v>0</v>
      </c>
      <c r="K11" s="102" t="n">
        <v>0</v>
      </c>
      <c r="L11" s="111" t="n">
        <v>0</v>
      </c>
      <c r="M11" s="111" t="n">
        <v>0</v>
      </c>
      <c r="N11" s="111" t="n">
        <v>0</v>
      </c>
      <c r="O11" s="111" t="n">
        <v>0</v>
      </c>
      <c r="P11" s="91" t="n">
        <v>0</v>
      </c>
      <c r="Q11" s="111" t="n">
        <v>0</v>
      </c>
      <c r="R11" s="91" t="n">
        <v>0</v>
      </c>
      <c r="S11" s="112" t="n">
        <v>0</v>
      </c>
      <c r="T11" s="91" t="n">
        <v>0</v>
      </c>
      <c r="U11" s="91" t="n">
        <v>0</v>
      </c>
      <c r="V11" s="112" t="n">
        <v>0</v>
      </c>
      <c r="W11" s="91" t="n">
        <v>0</v>
      </c>
      <c r="X11" s="91" t="n">
        <v>0</v>
      </c>
      <c r="Y11" s="112" t="n">
        <v>0</v>
      </c>
      <c r="Z11" s="91" t="n">
        <v>0</v>
      </c>
      <c r="AA11" s="91" t="n">
        <v>0</v>
      </c>
      <c r="AB11" s="104" t="n">
        <v>0</v>
      </c>
      <c r="AC11" s="91" t="n">
        <v>0</v>
      </c>
      <c r="AD11" s="91" t="n">
        <v>0</v>
      </c>
      <c r="AE11" s="91" t="n">
        <v>0</v>
      </c>
      <c r="AF11" s="88" t="n">
        <f aca="false">AF10+1</f>
        <v>37003</v>
      </c>
      <c r="AG11" s="93"/>
      <c r="AH11" s="93"/>
      <c r="AI11" s="93"/>
      <c r="AJ11" s="93"/>
      <c r="AK11" s="93"/>
    </row>
    <row r="12" customFormat="false" ht="12.75" hidden="false" customHeight="false" outlineLevel="0" collapsed="false">
      <c r="A12" s="88" t="n">
        <f aca="false">A11+1</f>
        <v>37004</v>
      </c>
      <c r="B12" s="89" t="n">
        <v>0</v>
      </c>
      <c r="C12" s="91" t="n">
        <v>0</v>
      </c>
      <c r="D12" s="91" t="n">
        <v>0</v>
      </c>
      <c r="E12" s="91" t="n">
        <v>0</v>
      </c>
      <c r="F12" s="91" t="n">
        <v>0</v>
      </c>
      <c r="G12" s="104" t="n">
        <v>0</v>
      </c>
      <c r="H12" s="91" t="n">
        <v>0</v>
      </c>
      <c r="I12" s="90" t="n">
        <v>7197</v>
      </c>
      <c r="J12" s="90" t="n">
        <v>0</v>
      </c>
      <c r="K12" s="102" t="n">
        <v>0</v>
      </c>
      <c r="L12" s="111" t="n">
        <v>0</v>
      </c>
      <c r="M12" s="111" t="n">
        <v>0</v>
      </c>
      <c r="N12" s="111" t="n">
        <v>0</v>
      </c>
      <c r="O12" s="111" t="n">
        <v>0</v>
      </c>
      <c r="P12" s="91" t="n">
        <v>0</v>
      </c>
      <c r="Q12" s="111" t="n">
        <v>0</v>
      </c>
      <c r="R12" s="91" t="n">
        <v>0</v>
      </c>
      <c r="S12" s="112" t="n">
        <v>0</v>
      </c>
      <c r="T12" s="91" t="n">
        <v>0</v>
      </c>
      <c r="U12" s="91" t="n">
        <v>0</v>
      </c>
      <c r="V12" s="112" t="n">
        <v>0</v>
      </c>
      <c r="W12" s="91" t="n">
        <v>0</v>
      </c>
      <c r="X12" s="91" t="n">
        <v>0</v>
      </c>
      <c r="Y12" s="112" t="n">
        <v>0</v>
      </c>
      <c r="Z12" s="91" t="n">
        <v>0</v>
      </c>
      <c r="AA12" s="91" t="n">
        <v>0</v>
      </c>
      <c r="AB12" s="104" t="n">
        <v>0</v>
      </c>
      <c r="AC12" s="91" t="n">
        <v>0</v>
      </c>
      <c r="AD12" s="91" t="n">
        <v>0</v>
      </c>
      <c r="AE12" s="91" t="n">
        <v>0</v>
      </c>
      <c r="AF12" s="88" t="n">
        <f aca="false">AF11+1</f>
        <v>37004</v>
      </c>
      <c r="AG12" s="93"/>
      <c r="AH12" s="93"/>
      <c r="AI12" s="93"/>
      <c r="AJ12" s="93"/>
      <c r="AK12" s="93"/>
    </row>
    <row r="13" customFormat="false" ht="12.75" hidden="false" customHeight="false" outlineLevel="0" collapsed="false">
      <c r="A13" s="93"/>
      <c r="B13" s="93"/>
      <c r="C13" s="91"/>
      <c r="D13" s="93"/>
      <c r="E13" s="91"/>
      <c r="F13" s="91"/>
      <c r="G13" s="93"/>
      <c r="H13" s="93" t="s">
        <v>0</v>
      </c>
      <c r="I13" s="93"/>
      <c r="J13" s="93"/>
      <c r="K13" s="93"/>
      <c r="L13" s="93" t="s">
        <v>0</v>
      </c>
      <c r="M13" s="93"/>
      <c r="N13" s="93"/>
      <c r="O13" s="29"/>
      <c r="P13" s="93"/>
      <c r="Q13" s="93"/>
      <c r="R13" s="93"/>
      <c r="S13" s="112"/>
      <c r="T13" s="93"/>
      <c r="U13" s="93"/>
      <c r="V13" s="113"/>
      <c r="W13" s="93"/>
      <c r="X13" s="93"/>
      <c r="Y13" s="93"/>
      <c r="Z13" s="93"/>
      <c r="AA13" s="93"/>
      <c r="AB13" s="93"/>
      <c r="AC13" s="93"/>
      <c r="AD13" s="93"/>
      <c r="AE13" s="93"/>
      <c r="AF13" s="93"/>
      <c r="AG13" s="93"/>
      <c r="AH13" s="93"/>
      <c r="AI13" s="93"/>
      <c r="AJ13" s="93"/>
      <c r="AK13" s="94"/>
    </row>
    <row r="14" customFormat="false" ht="12.75" hidden="false" customHeight="false" outlineLevel="0" collapsed="false">
      <c r="A14" s="93"/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29"/>
      <c r="P14" s="93"/>
      <c r="Q14" s="93"/>
      <c r="R14" s="93"/>
      <c r="S14" s="93"/>
      <c r="T14" s="93"/>
      <c r="U14" s="93"/>
      <c r="V14" s="93"/>
      <c r="W14" s="93"/>
      <c r="X14" s="93"/>
      <c r="Y14" s="93"/>
      <c r="Z14" s="93"/>
      <c r="AA14" s="93"/>
      <c r="AB14" s="93"/>
      <c r="AC14" s="93"/>
      <c r="AD14" s="93"/>
      <c r="AE14" s="93"/>
      <c r="AF14" s="93"/>
      <c r="AG14" s="93"/>
      <c r="AH14" s="93"/>
      <c r="AI14" s="93"/>
      <c r="AJ14" s="93"/>
      <c r="AK14" s="50"/>
    </row>
    <row r="15" customFormat="false" ht="12.7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</row>
    <row r="16" customFormat="false" ht="12.7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114"/>
    </row>
    <row r="17" customFormat="false" ht="12.75" hidden="false" customHeight="false" outlineLevel="0" collapsed="false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</row>
    <row r="18" customFormat="false" ht="12.75" hidden="false" customHeight="false" outlineLevel="0" collapsed="false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R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29" width="8.77"/>
  </cols>
  <sheetData>
    <row r="1" customFormat="false" ht="12.75" hidden="false" customHeight="false" outlineLevel="0" collapsed="false">
      <c r="A1" s="96" t="s">
        <v>2</v>
      </c>
      <c r="B1" s="61"/>
      <c r="C1" s="29" t="s">
        <v>0</v>
      </c>
      <c r="P1" s="29" t="s">
        <v>0</v>
      </c>
    </row>
    <row r="3" customFormat="false" ht="12.75" hidden="false" customHeight="false" outlineLevel="0" collapsed="false">
      <c r="B3" s="114" t="s">
        <v>172</v>
      </c>
      <c r="C3" s="115" t="s">
        <v>194</v>
      </c>
      <c r="D3" s="115"/>
      <c r="E3" s="115"/>
      <c r="F3" s="115"/>
      <c r="G3" s="115"/>
      <c r="H3" s="71" t="s">
        <v>158</v>
      </c>
      <c r="I3" s="71"/>
      <c r="J3" s="71"/>
      <c r="K3" s="71"/>
      <c r="L3" s="71"/>
      <c r="M3" s="71"/>
      <c r="N3" s="71"/>
      <c r="O3" s="69" t="s">
        <v>195</v>
      </c>
      <c r="P3" s="69"/>
      <c r="Q3" s="69"/>
      <c r="R3" s="69"/>
      <c r="S3" s="69"/>
      <c r="T3" s="69"/>
      <c r="U3" s="69"/>
    </row>
    <row r="4" customFormat="false" ht="12.75" hidden="false" customHeight="false" outlineLevel="0" collapsed="false">
      <c r="B4" s="114" t="s">
        <v>196</v>
      </c>
      <c r="C4" s="37"/>
      <c r="D4" s="36"/>
      <c r="E4" s="36"/>
      <c r="F4" s="76"/>
      <c r="G4" s="76" t="s">
        <v>178</v>
      </c>
      <c r="H4" s="37"/>
      <c r="M4" s="73"/>
      <c r="N4" s="74"/>
      <c r="P4" s="36" t="s">
        <v>197</v>
      </c>
      <c r="Q4" s="36"/>
      <c r="U4" s="73"/>
    </row>
    <row r="5" customFormat="false" ht="12.75" hidden="false" customHeight="false" outlineLevel="0" collapsed="false">
      <c r="C5" s="37" t="s">
        <v>44</v>
      </c>
      <c r="D5" s="36" t="s">
        <v>198</v>
      </c>
      <c r="E5" s="36" t="s">
        <v>86</v>
      </c>
      <c r="F5" s="76" t="s">
        <v>44</v>
      </c>
      <c r="G5" s="116" t="n">
        <v>0.05</v>
      </c>
      <c r="H5" s="37" t="s">
        <v>64</v>
      </c>
      <c r="I5" s="36" t="s">
        <v>44</v>
      </c>
      <c r="J5" s="36" t="s">
        <v>44</v>
      </c>
      <c r="K5" s="36" t="s">
        <v>44</v>
      </c>
      <c r="L5" s="36" t="s">
        <v>86</v>
      </c>
      <c r="M5" s="78" t="s">
        <v>86</v>
      </c>
      <c r="N5" s="36" t="s">
        <v>140</v>
      </c>
      <c r="O5" s="36"/>
      <c r="P5" s="36" t="s">
        <v>199</v>
      </c>
      <c r="Q5" s="36" t="s">
        <v>199</v>
      </c>
      <c r="R5" s="36" t="s">
        <v>44</v>
      </c>
      <c r="S5" s="29" t="s">
        <v>200</v>
      </c>
      <c r="U5" s="78"/>
    </row>
    <row r="6" customFormat="false" ht="12.75" hidden="false" customHeight="false" outlineLevel="0" collapsed="false">
      <c r="B6" s="80" t="s">
        <v>84</v>
      </c>
      <c r="C6" s="99" t="s">
        <v>180</v>
      </c>
      <c r="D6" s="80" t="s">
        <v>201</v>
      </c>
      <c r="E6" s="80" t="s">
        <v>150</v>
      </c>
      <c r="F6" s="80" t="s">
        <v>167</v>
      </c>
      <c r="G6" s="80" t="s">
        <v>183</v>
      </c>
      <c r="H6" s="99" t="s">
        <v>75</v>
      </c>
      <c r="I6" s="80" t="s">
        <v>188</v>
      </c>
      <c r="J6" s="80" t="s">
        <v>153</v>
      </c>
      <c r="K6" s="80" t="s">
        <v>189</v>
      </c>
      <c r="L6" s="80" t="s">
        <v>202</v>
      </c>
      <c r="M6" s="83" t="s">
        <v>203</v>
      </c>
      <c r="N6" s="80" t="s">
        <v>204</v>
      </c>
      <c r="O6" s="80" t="s">
        <v>139</v>
      </c>
      <c r="P6" s="80" t="s">
        <v>205</v>
      </c>
      <c r="Q6" s="80" t="s">
        <v>206</v>
      </c>
      <c r="R6" s="80" t="s">
        <v>199</v>
      </c>
      <c r="S6" s="87" t="s">
        <v>44</v>
      </c>
      <c r="T6" s="80" t="s">
        <v>140</v>
      </c>
      <c r="U6" s="83" t="s">
        <v>76</v>
      </c>
    </row>
    <row r="7" customFormat="false" ht="12.75" hidden="false" customHeight="false" outlineLevel="0" collapsed="false">
      <c r="A7" s="88" t="n">
        <f aca="false">Weather_Input!A5</f>
        <v>36999</v>
      </c>
      <c r="B7" s="50" t="n">
        <v>0</v>
      </c>
      <c r="C7" s="102" t="n">
        <v>0</v>
      </c>
      <c r="D7" s="50" t="n">
        <v>0</v>
      </c>
      <c r="E7" s="50" t="n">
        <v>0</v>
      </c>
      <c r="F7" s="50" t="n">
        <v>5540</v>
      </c>
      <c r="G7" s="50" t="n">
        <f aca="false">(R7+S7+C7+PGL_Requirements!Y7+PGL_Requirements!Z7-NSG_Requirements!C7)*0.05</f>
        <v>5498.35</v>
      </c>
      <c r="H7" s="102" t="n">
        <v>0</v>
      </c>
      <c r="I7" s="50" t="n">
        <v>0</v>
      </c>
      <c r="J7" s="50" t="n">
        <v>0</v>
      </c>
      <c r="K7" s="50" t="n">
        <v>0</v>
      </c>
      <c r="L7" s="50" t="n">
        <v>15000</v>
      </c>
      <c r="M7" s="50" t="n">
        <v>0</v>
      </c>
      <c r="N7" s="102" t="n">
        <v>0</v>
      </c>
      <c r="O7" s="90" t="n">
        <v>0</v>
      </c>
      <c r="P7" s="50" t="n">
        <v>0</v>
      </c>
      <c r="Q7" s="50" t="n">
        <v>20000</v>
      </c>
      <c r="R7" s="50" t="n">
        <v>80464</v>
      </c>
      <c r="S7" s="50" t="n">
        <v>29503</v>
      </c>
      <c r="T7" s="50" t="n">
        <v>0</v>
      </c>
      <c r="U7" s="50" t="n">
        <v>0</v>
      </c>
      <c r="V7" s="88" t="n">
        <f aca="false">Weather_Input!A5</f>
        <v>36999</v>
      </c>
      <c r="W7" s="93"/>
      <c r="X7" s="93"/>
    </row>
    <row r="8" customFormat="false" ht="12.75" hidden="false" customHeight="false" outlineLevel="0" collapsed="false">
      <c r="A8" s="88" t="n">
        <f aca="false">A7+1</f>
        <v>37000</v>
      </c>
      <c r="B8" s="50" t="n">
        <v>0</v>
      </c>
      <c r="C8" s="102" t="n">
        <v>0</v>
      </c>
      <c r="D8" s="50" t="n">
        <v>0</v>
      </c>
      <c r="E8" s="50" t="n">
        <v>0</v>
      </c>
      <c r="F8" s="50" t="n">
        <v>0</v>
      </c>
      <c r="G8" s="50" t="n">
        <f aca="false">(R8+S8+C8+PGL_Requirements!Y8+PGL_Requirements!Z8-NSG_Requirements!C8)*0.05</f>
        <v>4535.3</v>
      </c>
      <c r="H8" s="102" t="n">
        <v>0</v>
      </c>
      <c r="I8" s="50" t="n">
        <v>0</v>
      </c>
      <c r="J8" s="50" t="n">
        <v>0</v>
      </c>
      <c r="K8" s="50" t="n">
        <v>0</v>
      </c>
      <c r="L8" s="50" t="n">
        <v>0</v>
      </c>
      <c r="M8" s="50" t="n">
        <v>0</v>
      </c>
      <c r="N8" s="102" t="n">
        <v>0</v>
      </c>
      <c r="O8" s="90" t="n">
        <v>0</v>
      </c>
      <c r="P8" s="50" t="n">
        <v>0</v>
      </c>
      <c r="Q8" s="50" t="n">
        <v>20000</v>
      </c>
      <c r="R8" s="50" t="n">
        <v>61203</v>
      </c>
      <c r="S8" s="50" t="n">
        <v>29503</v>
      </c>
      <c r="T8" s="50" t="n">
        <v>0</v>
      </c>
      <c r="U8" s="50" t="n">
        <v>0</v>
      </c>
      <c r="V8" s="88" t="n">
        <f aca="false">V7+1</f>
        <v>37000</v>
      </c>
      <c r="W8" s="93"/>
      <c r="X8" s="93"/>
    </row>
    <row r="9" customFormat="false" ht="12.75" hidden="false" customHeight="false" outlineLevel="0" collapsed="false">
      <c r="A9" s="88" t="n">
        <f aca="false">A8+1</f>
        <v>37001</v>
      </c>
      <c r="B9" s="50" t="n">
        <v>0</v>
      </c>
      <c r="C9" s="102" t="n">
        <v>0</v>
      </c>
      <c r="D9" s="50" t="n">
        <v>0</v>
      </c>
      <c r="E9" s="50" t="n">
        <v>0</v>
      </c>
      <c r="F9" s="50" t="n">
        <v>0</v>
      </c>
      <c r="G9" s="50" t="n">
        <f aca="false">(R9+S9+C9+PGL_Requirements!Y9+PGL_Requirements!Z9-NSG_Requirements!C9)*0.05</f>
        <v>4531.05</v>
      </c>
      <c r="H9" s="102" t="n">
        <v>0</v>
      </c>
      <c r="I9" s="50" t="n">
        <v>0</v>
      </c>
      <c r="J9" s="50" t="n">
        <v>0</v>
      </c>
      <c r="K9" s="50" t="n">
        <v>0</v>
      </c>
      <c r="L9" s="50" t="n">
        <v>0</v>
      </c>
      <c r="M9" s="50" t="n">
        <v>0</v>
      </c>
      <c r="N9" s="102" t="n">
        <v>0</v>
      </c>
      <c r="O9" s="90" t="n">
        <v>0</v>
      </c>
      <c r="P9" s="50" t="n">
        <v>0</v>
      </c>
      <c r="Q9" s="50" t="n">
        <v>20000</v>
      </c>
      <c r="R9" s="50" t="n">
        <v>61118</v>
      </c>
      <c r="S9" s="50" t="n">
        <v>29503</v>
      </c>
      <c r="T9" s="50" t="n">
        <v>0</v>
      </c>
      <c r="U9" s="50" t="n">
        <v>0</v>
      </c>
      <c r="V9" s="88" t="n">
        <f aca="false">V8+1</f>
        <v>37001</v>
      </c>
      <c r="W9" s="93"/>
      <c r="X9" s="93"/>
    </row>
    <row r="10" customFormat="false" ht="12.75" hidden="false" customHeight="false" outlineLevel="0" collapsed="false">
      <c r="A10" s="88" t="n">
        <f aca="false">A9+1</f>
        <v>37002</v>
      </c>
      <c r="B10" s="50" t="n">
        <v>0</v>
      </c>
      <c r="C10" s="102" t="n">
        <v>0</v>
      </c>
      <c r="D10" s="50" t="n">
        <v>0</v>
      </c>
      <c r="E10" s="50" t="n">
        <v>0</v>
      </c>
      <c r="F10" s="50" t="n">
        <v>0</v>
      </c>
      <c r="G10" s="50" t="n">
        <f aca="false">(R10+S10+C10+PGL_Requirements!Y10+PGL_Requirements!Z10-NSG_Requirements!C10)*0.05</f>
        <v>4531.05</v>
      </c>
      <c r="H10" s="102" t="n">
        <v>0</v>
      </c>
      <c r="I10" s="50" t="n">
        <v>0</v>
      </c>
      <c r="J10" s="50" t="n">
        <v>0</v>
      </c>
      <c r="K10" s="50" t="n">
        <v>0</v>
      </c>
      <c r="L10" s="50" t="n">
        <v>0</v>
      </c>
      <c r="M10" s="50" t="n">
        <v>0</v>
      </c>
      <c r="N10" s="102" t="n">
        <v>0</v>
      </c>
      <c r="O10" s="90" t="n">
        <v>0</v>
      </c>
      <c r="P10" s="50" t="n">
        <v>0</v>
      </c>
      <c r="Q10" s="50" t="n">
        <v>20000</v>
      </c>
      <c r="R10" s="50" t="n">
        <v>61118</v>
      </c>
      <c r="S10" s="50" t="n">
        <v>29503</v>
      </c>
      <c r="T10" s="50" t="n">
        <v>0</v>
      </c>
      <c r="U10" s="50" t="n">
        <v>0</v>
      </c>
      <c r="V10" s="88" t="n">
        <f aca="false">V9+1</f>
        <v>37002</v>
      </c>
      <c r="W10" s="93"/>
      <c r="X10" s="93"/>
    </row>
    <row r="11" customFormat="false" ht="12.75" hidden="false" customHeight="false" outlineLevel="0" collapsed="false">
      <c r="A11" s="88" t="n">
        <f aca="false">A10+1</f>
        <v>37003</v>
      </c>
      <c r="B11" s="50" t="n">
        <v>0</v>
      </c>
      <c r="C11" s="102" t="n">
        <v>0</v>
      </c>
      <c r="D11" s="50" t="n">
        <v>0</v>
      </c>
      <c r="E11" s="50" t="n">
        <v>0</v>
      </c>
      <c r="F11" s="50" t="n">
        <v>0</v>
      </c>
      <c r="G11" s="50" t="n">
        <f aca="false">(R11+S11+C11+PGL_Requirements!Y11+PGL_Requirements!Z11-NSG_Requirements!C11)*0.05</f>
        <v>4531.05</v>
      </c>
      <c r="H11" s="102" t="n">
        <v>0</v>
      </c>
      <c r="I11" s="50" t="n">
        <v>0</v>
      </c>
      <c r="J11" s="50" t="n">
        <v>0</v>
      </c>
      <c r="K11" s="50" t="n">
        <v>0</v>
      </c>
      <c r="L11" s="50" t="n">
        <v>0</v>
      </c>
      <c r="M11" s="50" t="n">
        <v>0</v>
      </c>
      <c r="N11" s="102" t="n">
        <v>0</v>
      </c>
      <c r="O11" s="90" t="n">
        <v>0</v>
      </c>
      <c r="P11" s="50" t="n">
        <v>0</v>
      </c>
      <c r="Q11" s="50" t="n">
        <v>20000</v>
      </c>
      <c r="R11" s="50" t="n">
        <v>61118</v>
      </c>
      <c r="S11" s="50" t="n">
        <v>29503</v>
      </c>
      <c r="T11" s="50" t="n">
        <v>0</v>
      </c>
      <c r="U11" s="50" t="n">
        <v>0</v>
      </c>
      <c r="V11" s="88" t="n">
        <f aca="false">V10+1</f>
        <v>37003</v>
      </c>
      <c r="W11" s="93"/>
      <c r="X11" s="93"/>
    </row>
    <row r="12" customFormat="false" ht="12.75" hidden="false" customHeight="false" outlineLevel="0" collapsed="false">
      <c r="A12" s="88" t="n">
        <f aca="false">A11+1</f>
        <v>37004</v>
      </c>
      <c r="B12" s="50" t="n">
        <v>0</v>
      </c>
      <c r="C12" s="102" t="n">
        <v>0</v>
      </c>
      <c r="D12" s="50" t="n">
        <v>0</v>
      </c>
      <c r="E12" s="50" t="n">
        <v>0</v>
      </c>
      <c r="F12" s="50" t="n">
        <v>0</v>
      </c>
      <c r="G12" s="50" t="n">
        <f aca="false">(R12+S12+C12+PGL_Requirements!Y12+PGL_Requirements!Z12-NSG_Requirements!C12)*0.05</f>
        <v>4531.05</v>
      </c>
      <c r="H12" s="102" t="n">
        <v>0</v>
      </c>
      <c r="I12" s="50" t="n">
        <v>0</v>
      </c>
      <c r="J12" s="50" t="n">
        <v>0</v>
      </c>
      <c r="K12" s="50" t="n">
        <v>0</v>
      </c>
      <c r="L12" s="50" t="n">
        <v>0</v>
      </c>
      <c r="M12" s="50" t="n">
        <v>0</v>
      </c>
      <c r="N12" s="102" t="n">
        <v>0</v>
      </c>
      <c r="O12" s="90" t="n">
        <v>0</v>
      </c>
      <c r="P12" s="50" t="n">
        <v>0</v>
      </c>
      <c r="Q12" s="50" t="n">
        <v>20000</v>
      </c>
      <c r="R12" s="50" t="n">
        <v>61118</v>
      </c>
      <c r="S12" s="50" t="n">
        <v>29503</v>
      </c>
      <c r="T12" s="50" t="n">
        <v>0</v>
      </c>
      <c r="U12" s="50" t="n">
        <v>0</v>
      </c>
      <c r="V12" s="88" t="n">
        <f aca="false">V11+1</f>
        <v>37004</v>
      </c>
      <c r="W12" s="93"/>
      <c r="X12" s="93"/>
    </row>
    <row r="13" customFormat="false" ht="12.75" hidden="false" customHeight="false" outlineLevel="0" collapsed="false">
      <c r="A13" s="93"/>
      <c r="B13" s="93"/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50"/>
      <c r="N13" s="102"/>
      <c r="O13" s="93"/>
      <c r="P13" s="93"/>
      <c r="Q13" s="93"/>
      <c r="R13" s="50"/>
      <c r="S13" s="50"/>
      <c r="T13" s="50"/>
      <c r="U13" s="93"/>
      <c r="V13" s="93"/>
      <c r="W13" s="93"/>
      <c r="X13" s="93"/>
    </row>
    <row r="14" customFormat="false" ht="12.75" hidden="false" customHeight="false" outlineLevel="0" collapsed="false">
      <c r="A14" s="93"/>
      <c r="B14" s="93"/>
      <c r="C14" s="93"/>
      <c r="D14" s="93" t="s">
        <v>0</v>
      </c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50" t="s">
        <v>0</v>
      </c>
      <c r="S14" s="93"/>
      <c r="T14" s="93"/>
      <c r="U14" s="93"/>
      <c r="V14" s="93"/>
      <c r="W14" s="93"/>
      <c r="X14" s="93"/>
    </row>
    <row r="15" customFormat="false" ht="12.75" hidden="false" customHeight="false" outlineLevel="0" collapsed="false">
      <c r="A15" s="93"/>
      <c r="B15" s="93"/>
      <c r="C15" s="93"/>
      <c r="D15" s="93"/>
      <c r="E15" s="93"/>
      <c r="F15" s="93"/>
      <c r="G15" s="93"/>
      <c r="H15" s="93"/>
      <c r="I15" s="93"/>
      <c r="J15" s="93"/>
      <c r="K15" s="93"/>
      <c r="L15" s="93"/>
      <c r="M15" s="93"/>
      <c r="N15" s="93"/>
      <c r="O15" s="93"/>
      <c r="P15" s="93"/>
      <c r="Q15" s="93"/>
      <c r="R15" s="50" t="s">
        <v>0</v>
      </c>
      <c r="S15" s="93"/>
      <c r="T15" s="93" t="s">
        <v>0</v>
      </c>
      <c r="U15" s="93"/>
      <c r="V15" s="93"/>
      <c r="W15" s="93"/>
      <c r="X15" s="93"/>
    </row>
    <row r="16" customFormat="false" ht="12.75" hidden="false" customHeight="false" outlineLevel="0" collapsed="false">
      <c r="R16" s="19" t="s">
        <v>0</v>
      </c>
    </row>
    <row r="17" customFormat="false" ht="12.75" hidden="false" customHeight="false" outlineLevel="0" collapsed="false">
      <c r="R17" s="19" t="s">
        <v>0</v>
      </c>
      <c r="S17" s="19" t="s">
        <v>0</v>
      </c>
      <c r="T17" s="19"/>
      <c r="U17" s="29" t="s">
        <v>207</v>
      </c>
    </row>
    <row r="18" customFormat="false" ht="15" hidden="false" customHeight="false" outlineLevel="0" collapsed="false">
      <c r="K18" s="0"/>
      <c r="L18" s="0"/>
      <c r="R18" s="19" t="s">
        <v>0</v>
      </c>
      <c r="V18" s="19" t="s">
        <v>0</v>
      </c>
    </row>
    <row r="19" customFormat="false" ht="15" hidden="false" customHeight="false" outlineLevel="0" collapsed="false"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</row>
    <row r="20" customFormat="false" ht="15" hidden="false" customHeight="false" outlineLevel="0" collapsed="false">
      <c r="C20" s="0"/>
      <c r="K20" s="0"/>
      <c r="L20" s="0"/>
      <c r="M20" s="0"/>
      <c r="N20" s="0"/>
      <c r="CR20" s="93"/>
    </row>
    <row r="21" customFormat="false" ht="15" hidden="false" customHeight="false" outlineLevel="0" collapsed="false">
      <c r="C21" s="0"/>
      <c r="K21" s="0"/>
      <c r="L21" s="0"/>
      <c r="M21" s="0"/>
      <c r="N21" s="0"/>
    </row>
    <row r="22" customFormat="false" ht="15" hidden="false" customHeight="false" outlineLevel="0" collapsed="false">
      <c r="C22" s="0"/>
      <c r="K22" s="0"/>
      <c r="L22" s="0"/>
      <c r="M22" s="0"/>
      <c r="N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</row>
    <row r="26" customFormat="false" ht="15" hidden="false" customHeight="false" outlineLevel="0" collapsed="false">
      <c r="C26" s="0"/>
      <c r="D26" s="0"/>
      <c r="E26" s="0"/>
      <c r="F26" s="0"/>
      <c r="H26" s="0"/>
      <c r="L26" s="0"/>
    </row>
    <row r="27" customFormat="false" ht="15" hidden="false" customHeight="false" outlineLevel="0" collapsed="false">
      <c r="C27" s="0"/>
      <c r="D27" s="0"/>
      <c r="E27" s="0"/>
      <c r="F27" s="0"/>
      <c r="H27" s="0"/>
      <c r="L27" s="0"/>
    </row>
    <row r="28" customFormat="false" ht="15" hidden="false" customHeight="false" outlineLevel="0" collapsed="false">
      <c r="C28" s="0"/>
      <c r="D28" s="0"/>
      <c r="E28" s="0"/>
      <c r="F28" s="0"/>
      <c r="H28" s="0"/>
      <c r="L28" s="0"/>
    </row>
    <row r="29" customFormat="false" ht="15" hidden="false" customHeight="false" outlineLevel="0" collapsed="false">
      <c r="C29" s="0"/>
      <c r="D29" s="0"/>
      <c r="E29" s="0"/>
      <c r="H29" s="0"/>
      <c r="L29" s="0"/>
    </row>
    <row r="30" customFormat="false" ht="15" hidden="false" customHeight="false" outlineLevel="0" collapsed="false">
      <c r="C30" s="0"/>
      <c r="H30" s="0"/>
      <c r="L30" s="0"/>
    </row>
  </sheetData>
  <mergeCells count="3">
    <mergeCell ref="C3:G3"/>
    <mergeCell ref="H3:N3"/>
    <mergeCell ref="O3:U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65"/>
  <sheetViews>
    <sheetView showFormulas="false" showGridLines="true" showRowColHeaders="true" showZeros="true" rightToLeft="false" tabSelected="false" showOutlineSymbols="true" defaultGridColor="true" view="normal" topLeftCell="A55" colorId="64" zoomScale="75" zoomScaleNormal="75" zoomScalePageLayoutView="100" workbookViewId="0">
      <selection pane="topLeft" activeCell="A55" activeCellId="0" sqref="A55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17" width="28.99"/>
    <col collapsed="false" customWidth="true" hidden="false" outlineLevel="0" max="2" min="2" style="117" width="11.99"/>
    <col collapsed="false" customWidth="true" hidden="false" outlineLevel="0" max="3" min="3" style="117" width="15.21"/>
    <col collapsed="false" customWidth="true" hidden="false" outlineLevel="0" max="9" min="4" style="117" width="8.65"/>
    <col collapsed="false" customWidth="true" hidden="false" outlineLevel="0" max="10" min="10" style="117" width="20.32"/>
    <col collapsed="false" customWidth="true" hidden="false" outlineLevel="0" max="11" min="11" style="117" width="16.55"/>
    <col collapsed="false" customWidth="false" hidden="false" outlineLevel="0" max="12" min="12" style="117" width="9.77"/>
    <col collapsed="false" customWidth="true" hidden="false" outlineLevel="0" max="13" min="13" style="117" width="13.77"/>
    <col collapsed="false" customWidth="false" hidden="false" outlineLevel="0" max="257" min="14" style="117" width="9.77"/>
  </cols>
  <sheetData>
    <row r="1" customFormat="false" ht="16.5" hidden="false" customHeight="false" outlineLevel="0" collapsed="false">
      <c r="A1" s="118" t="s">
        <v>208</v>
      </c>
      <c r="B1" s="119"/>
      <c r="C1" s="120"/>
      <c r="D1" s="119"/>
      <c r="E1" s="119"/>
      <c r="F1" s="119" t="s">
        <v>0</v>
      </c>
      <c r="G1" s="119" t="s">
        <v>209</v>
      </c>
      <c r="H1" s="121" t="str">
        <f aca="false">D3</f>
        <v>WED</v>
      </c>
      <c r="I1" s="122" t="n">
        <f aca="false">D4</f>
        <v>36999</v>
      </c>
    </row>
    <row r="2" customFormat="false" ht="15.75" hidden="false" customHeight="false" outlineLevel="0" collapsed="false">
      <c r="A2" s="123" t="s">
        <v>210</v>
      </c>
      <c r="B2" s="124"/>
      <c r="C2" s="124"/>
      <c r="D2" s="124"/>
      <c r="E2" s="124"/>
      <c r="F2" s="124"/>
      <c r="G2" s="124"/>
      <c r="H2" s="124"/>
      <c r="I2" s="125"/>
    </row>
    <row r="3" customFormat="false" ht="16.5" hidden="false" customHeight="false" outlineLevel="0" collapsed="false">
      <c r="A3" s="126"/>
      <c r="B3" s="124"/>
      <c r="C3" s="124"/>
      <c r="D3" s="127" t="str">
        <f aca="false">CHOOSE(WEEKDAY(D4),"SUN","MON","TUE","WED","THU","FRI","SAT")</f>
        <v>WED</v>
      </c>
      <c r="E3" s="127" t="str">
        <f aca="false">CHOOSE(WEEKDAY(E4),"SUN","MON","TUE","WED","THU","FRI","SAT")</f>
        <v>THU</v>
      </c>
      <c r="F3" s="127" t="str">
        <f aca="false">CHOOSE(WEEKDAY(F4),"SUN","MON","TUE","WED","THU","FRI","SAT")</f>
        <v>FRI</v>
      </c>
      <c r="G3" s="127" t="str">
        <f aca="false">CHOOSE(WEEKDAY(G4),"SUN","MON","TUE","WED","THU","FRI","SAT")</f>
        <v>SAT</v>
      </c>
      <c r="H3" s="127" t="str">
        <f aca="false">CHOOSE(WEEKDAY(H4),"SUN","MON","TUE","WED","THU","FRI","SAT")</f>
        <v>SUN</v>
      </c>
      <c r="I3" s="128" t="str">
        <f aca="false">CHOOSE(WEEKDAY(I4),"SUN","MON","TUE","WED","THU","FRI","SAT")</f>
        <v>MON</v>
      </c>
    </row>
    <row r="4" customFormat="false" ht="15.75" hidden="false" customHeight="false" outlineLevel="0" collapsed="false">
      <c r="A4" s="129"/>
      <c r="B4" s="130"/>
      <c r="C4" s="130"/>
      <c r="D4" s="131" t="n">
        <f aca="false">Weather_Input!A5</f>
        <v>36999</v>
      </c>
      <c r="E4" s="131" t="n">
        <f aca="false">Weather_Input!A6</f>
        <v>37000</v>
      </c>
      <c r="F4" s="131" t="n">
        <f aca="false">Weather_Input!A7</f>
        <v>37001</v>
      </c>
      <c r="G4" s="131" t="n">
        <f aca="false">Weather_Input!A8</f>
        <v>37002</v>
      </c>
      <c r="H4" s="131" t="n">
        <f aca="false">Weather_Input!A9</f>
        <v>37003</v>
      </c>
      <c r="I4" s="132" t="n">
        <f aca="false">Weather_Input!A10</f>
        <v>37004</v>
      </c>
    </row>
    <row r="5" customFormat="false" ht="16.5" hidden="false" customHeight="true" outlineLevel="0" collapsed="false">
      <c r="A5" s="133" t="s">
        <v>211</v>
      </c>
      <c r="B5" s="124"/>
      <c r="C5" s="124" t="s">
        <v>212</v>
      </c>
      <c r="D5" s="134" t="str">
        <f aca="false">TEXT(Weather_Input!B5,"0")&amp;"/"&amp;TEXT(Weather_Input!C5,"0")&amp;"/"&amp;TEXT((Weather_Input!B5+Weather_Input!C5)/2,"0")</f>
        <v>54/35/45</v>
      </c>
      <c r="E5" s="134" t="str">
        <f aca="false">TEXT(Weather_Input!B6,"0")&amp;"/"&amp;TEXT(Weather_Input!C6,"0")&amp;"/"&amp;TEXT((Weather_Input!B6+Weather_Input!C6)/2,"0")</f>
        <v>67/50/59</v>
      </c>
      <c r="F5" s="134" t="str">
        <f aca="false">TEXT(Weather_Input!B7,"0")&amp;"/"&amp;TEXT(Weather_Input!C7,"0")&amp;"/"&amp;TEXT((Weather_Input!B7+Weather_Input!C7)/2,"0")</f>
        <v>76/56/66</v>
      </c>
      <c r="G5" s="134" t="str">
        <f aca="false">TEXT(Weather_Input!B8,"0")&amp;"/"&amp;TEXT(Weather_Input!C8,"0")&amp;"/"&amp;TEXT((Weather_Input!B8+Weather_Input!C8)/2,"0")</f>
        <v>80/55/68</v>
      </c>
      <c r="H5" s="134" t="str">
        <f aca="false">TEXT(Weather_Input!B9,"0")&amp;"/"&amp;TEXT(Weather_Input!C9,"0")&amp;"/"&amp;TEXT((Weather_Input!B9+Weather_Input!C9)/2,"0")</f>
        <v>70/49/60</v>
      </c>
      <c r="I5" s="135" t="str">
        <f aca="false">TEXT(Weather_Input!B10,"0")&amp;"/"&amp;TEXT(Weather_Input!C10,"0")&amp;"/"&amp;TEXT((Weather_Input!B10+Weather_Input!C10)/2,"0")</f>
        <v>70/49/60</v>
      </c>
    </row>
    <row r="6" customFormat="false" ht="15.75" hidden="false" customHeight="false" outlineLevel="0" collapsed="false">
      <c r="A6" s="136" t="s">
        <v>213</v>
      </c>
      <c r="B6" s="124"/>
      <c r="C6" s="124"/>
      <c r="D6" s="134" t="n">
        <f aca="false">PGL_Deliveries!C5/1000</f>
        <v>605</v>
      </c>
      <c r="E6" s="134" t="n">
        <f aca="false">PGL_Deliveries!C6/1000</f>
        <v>370</v>
      </c>
      <c r="F6" s="134" t="n">
        <f aca="false">PGL_Deliveries!C7/1000</f>
        <v>280</v>
      </c>
      <c r="G6" s="134" t="n">
        <f aca="false">PGL_Deliveries!C8/1000</f>
        <v>240</v>
      </c>
      <c r="H6" s="134" t="n">
        <f aca="false">PGL_Deliveries!C9/1000</f>
        <v>315</v>
      </c>
      <c r="I6" s="135" t="n">
        <f aca="false">PGL_Deliveries!C10/1000</f>
        <v>330</v>
      </c>
    </row>
    <row r="7" customFormat="false" ht="15.75" hidden="false" customHeight="false" outlineLevel="0" collapsed="false">
      <c r="A7" s="136" t="s">
        <v>214</v>
      </c>
      <c r="B7" s="124" t="s">
        <v>140</v>
      </c>
      <c r="C7" s="124"/>
      <c r="D7" s="134" t="n">
        <f aca="false">PGL_Requirements!H7/1000*0.5</f>
        <v>0</v>
      </c>
      <c r="E7" s="134" t="n">
        <f aca="false">PGL_Requirements!H8/1000*0.5</f>
        <v>1.5865</v>
      </c>
      <c r="F7" s="134" t="n">
        <f aca="false">PGL_Requirements!H9/1000*0.5</f>
        <v>0</v>
      </c>
      <c r="G7" s="134" t="n">
        <f aca="false">PGL_Requirements!H10/1000*0.5</f>
        <v>0</v>
      </c>
      <c r="H7" s="134" t="n">
        <f aca="false">PGL_Requirements!H11/1000*0.5</f>
        <v>0</v>
      </c>
      <c r="I7" s="135" t="n">
        <f aca="false">PGL_Requirements!H12/1000*0.5</f>
        <v>0</v>
      </c>
    </row>
    <row r="8" customFormat="false" ht="15.75" hidden="false" customHeight="false" outlineLevel="0" collapsed="false">
      <c r="A8" s="136" t="s">
        <v>215</v>
      </c>
      <c r="B8" s="124"/>
      <c r="C8" s="124"/>
      <c r="D8" s="134" t="n">
        <f aca="false">PGL_Requirements!I7/1000</f>
        <v>0</v>
      </c>
      <c r="E8" s="134" t="n">
        <f aca="false">PGL_Requirements!I8/1000</f>
        <v>0</v>
      </c>
      <c r="F8" s="134" t="n">
        <f aca="false">PGL_Requirements!I9/1000</f>
        <v>0</v>
      </c>
      <c r="G8" s="134" t="n">
        <f aca="false">PGL_Requirements!I10/1000</f>
        <v>0</v>
      </c>
      <c r="H8" s="134" t="n">
        <f aca="false">PGL_Requirements!I11/1000</f>
        <v>0</v>
      </c>
      <c r="I8" s="135" t="n">
        <f aca="false">PGL_Requirements!I12/1000</f>
        <v>0</v>
      </c>
    </row>
    <row r="9" customFormat="false" ht="15.75" hidden="false" customHeight="false" outlineLevel="0" collapsed="false">
      <c r="A9" s="133" t="s">
        <v>216</v>
      </c>
      <c r="B9" s="124" t="s">
        <v>217</v>
      </c>
      <c r="C9" s="137"/>
      <c r="D9" s="134" t="n">
        <v>0</v>
      </c>
      <c r="E9" s="134" t="n">
        <v>0</v>
      </c>
      <c r="F9" s="134" t="n">
        <v>0</v>
      </c>
      <c r="G9" s="134" t="n">
        <v>0</v>
      </c>
      <c r="H9" s="134" t="n">
        <v>0</v>
      </c>
      <c r="I9" s="135" t="n">
        <v>0</v>
      </c>
    </row>
    <row r="10" customFormat="false" ht="15.75" hidden="false" customHeight="false" outlineLevel="0" collapsed="false">
      <c r="A10" s="133"/>
      <c r="B10" s="124" t="s">
        <v>218</v>
      </c>
      <c r="C10" s="137"/>
      <c r="D10" s="134" t="n">
        <v>0</v>
      </c>
      <c r="E10" s="134" t="n">
        <v>0</v>
      </c>
      <c r="F10" s="134" t="n">
        <v>0</v>
      </c>
      <c r="G10" s="134" t="n">
        <v>0</v>
      </c>
      <c r="H10" s="134" t="n">
        <v>0</v>
      </c>
      <c r="I10" s="135" t="n">
        <v>0</v>
      </c>
    </row>
    <row r="11" customFormat="false" ht="15.75" hidden="false" customHeight="false" outlineLevel="0" collapsed="false">
      <c r="A11" s="133"/>
      <c r="B11" s="124" t="s">
        <v>140</v>
      </c>
      <c r="C11" s="124"/>
      <c r="D11" s="134" t="n">
        <f aca="false">PGL_Requirements!K7/1000</f>
        <v>0</v>
      </c>
      <c r="E11" s="134" t="n">
        <f aca="false">PGL_Requirements!K8/1000</f>
        <v>0</v>
      </c>
      <c r="F11" s="134" t="n">
        <f aca="false">PGL_Requirements!K9/1000</f>
        <v>0</v>
      </c>
      <c r="G11" s="134" t="n">
        <f aca="false">PGL_Requirements!K10/1000</f>
        <v>0</v>
      </c>
      <c r="H11" s="134" t="n">
        <f aca="false">PGL_Requirements!K11/1000</f>
        <v>0</v>
      </c>
      <c r="I11" s="135" t="n">
        <f aca="false">PGL_Requirements!K12/1000</f>
        <v>0</v>
      </c>
    </row>
    <row r="12" customFormat="false" ht="15.75" hidden="false" customHeight="false" outlineLevel="0" collapsed="false">
      <c r="A12" s="133"/>
      <c r="B12" s="124" t="s">
        <v>219</v>
      </c>
      <c r="C12" s="124"/>
      <c r="D12" s="134" t="n">
        <f aca="false">PGL_Requirements!L7/1000</f>
        <v>0</v>
      </c>
      <c r="E12" s="134" t="n">
        <f aca="false">PGL_Requirements!L8/1000</f>
        <v>0</v>
      </c>
      <c r="F12" s="134" t="n">
        <f aca="false">PGL_Requirements!L9/1000</f>
        <v>0</v>
      </c>
      <c r="G12" s="134" t="n">
        <f aca="false">PGL_Requirements!L10/1000</f>
        <v>0</v>
      </c>
      <c r="H12" s="134" t="n">
        <f aca="false">PGL_Requirements!L11/1000</f>
        <v>0</v>
      </c>
      <c r="I12" s="135" t="n">
        <f aca="false">PGL_Requirements!L12/1000</f>
        <v>0</v>
      </c>
    </row>
    <row r="13" customFormat="false" ht="15.75" hidden="false" customHeight="false" outlineLevel="0" collapsed="false">
      <c r="A13" s="133" t="s">
        <v>220</v>
      </c>
      <c r="B13" s="124" t="s">
        <v>221</v>
      </c>
      <c r="C13" s="124" t="s">
        <v>75</v>
      </c>
      <c r="D13" s="134" t="n">
        <f aca="false">PGL_Requirements!P7/1000</f>
        <v>150</v>
      </c>
      <c r="E13" s="134" t="n">
        <f aca="false">PGL_Requirements!P8/1000</f>
        <v>185</v>
      </c>
      <c r="F13" s="134" t="n">
        <f aca="false">PGL_Requirements!P9/1000</f>
        <v>185</v>
      </c>
      <c r="G13" s="134" t="n">
        <f aca="false">PGL_Requirements!P10/1000</f>
        <v>185</v>
      </c>
      <c r="H13" s="134" t="n">
        <f aca="false">PGL_Requirements!P11/1000</f>
        <v>185</v>
      </c>
      <c r="I13" s="135" t="n">
        <f aca="false">PGL_Requirements!P12/1000</f>
        <v>185</v>
      </c>
    </row>
    <row r="14" customFormat="false" ht="15.75" hidden="false" customHeight="false" outlineLevel="0" collapsed="false">
      <c r="A14" s="133"/>
      <c r="B14" s="124"/>
      <c r="C14" s="124" t="s">
        <v>151</v>
      </c>
      <c r="D14" s="134" t="n">
        <f aca="false">PGL_Requirements!Q7/1000</f>
        <v>2.25</v>
      </c>
      <c r="E14" s="134" t="n">
        <f aca="false">PGL_Requirements!Q8/1000</f>
        <v>2.775</v>
      </c>
      <c r="F14" s="134" t="n">
        <f aca="false">PGL_Requirements!Q9/1000</f>
        <v>2.775</v>
      </c>
      <c r="G14" s="134" t="n">
        <f aca="false">PGL_Requirements!Q10/1000</f>
        <v>2.775</v>
      </c>
      <c r="H14" s="134" t="n">
        <f aca="false">PGL_Requirements!Q11/1000</f>
        <v>2.775</v>
      </c>
      <c r="I14" s="135" t="n">
        <f aca="false">PGL_Requirements!Q12/1000</f>
        <v>2.775</v>
      </c>
    </row>
    <row r="15" customFormat="false" ht="15.75" hidden="false" customHeight="false" outlineLevel="0" collapsed="false">
      <c r="A15" s="133"/>
      <c r="C15" s="124" t="s">
        <v>152</v>
      </c>
      <c r="D15" s="134" t="n">
        <f aca="false">PGL_Requirements!R7/1000</f>
        <v>0.64</v>
      </c>
      <c r="E15" s="134" t="n">
        <f aca="false">PGL_Requirements!R8/1000</f>
        <v>0.64</v>
      </c>
      <c r="F15" s="134" t="n">
        <f aca="false">PGL_Requirements!R9/1000</f>
        <v>0.64</v>
      </c>
      <c r="G15" s="134" t="n">
        <f aca="false">PGL_Requirements!R10/1000</f>
        <v>0.64</v>
      </c>
      <c r="H15" s="134" t="n">
        <f aca="false">PGL_Requirements!R11/1000</f>
        <v>0.64</v>
      </c>
      <c r="I15" s="135" t="n">
        <f aca="false">PGL_Requirements!R12/1000</f>
        <v>0.64</v>
      </c>
    </row>
    <row r="16" customFormat="false" ht="15.75" hidden="false" customHeight="false" outlineLevel="0" collapsed="false">
      <c r="A16" s="133"/>
      <c r="C16" s="124" t="s">
        <v>222</v>
      </c>
      <c r="D16" s="134" t="n">
        <f aca="false">PGL_Requirements!B7/1000</f>
        <v>0</v>
      </c>
      <c r="E16" s="134" t="n">
        <f aca="false">PGL_Requirements!B8/1000</f>
        <v>0</v>
      </c>
      <c r="F16" s="134" t="n">
        <f aca="false">PGL_Requirements!B9/1000</f>
        <v>0</v>
      </c>
      <c r="G16" s="134" t="n">
        <f aca="false">PGL_Requirements!B10/1000</f>
        <v>0</v>
      </c>
      <c r="H16" s="134" t="n">
        <f aca="false">PGL_Requirements!B11/1000</f>
        <v>0</v>
      </c>
      <c r="I16" s="135" t="n">
        <f aca="false">PGL_Requirements!B12/1000</f>
        <v>0</v>
      </c>
      <c r="IV16" s="134" t="s">
        <v>0</v>
      </c>
    </row>
    <row r="17" customFormat="false" ht="15.75" hidden="false" customHeight="false" outlineLevel="0" collapsed="false">
      <c r="A17" s="133"/>
      <c r="B17" s="124" t="s">
        <v>68</v>
      </c>
      <c r="C17" s="124" t="s">
        <v>154</v>
      </c>
      <c r="D17" s="134" t="n">
        <v>0</v>
      </c>
      <c r="E17" s="134" t="n">
        <v>0</v>
      </c>
      <c r="F17" s="134" t="n">
        <v>0</v>
      </c>
      <c r="G17" s="134" t="n">
        <v>0</v>
      </c>
      <c r="H17" s="134" t="n">
        <v>0</v>
      </c>
      <c r="I17" s="135" t="n">
        <v>0</v>
      </c>
    </row>
    <row r="18" customFormat="false" ht="15.75" hidden="false" customHeight="false" outlineLevel="0" collapsed="false">
      <c r="A18" s="133"/>
      <c r="B18" s="124" t="s">
        <v>217</v>
      </c>
      <c r="C18" s="124" t="s">
        <v>150</v>
      </c>
      <c r="D18" s="134" t="n">
        <f aca="false">PGL_Requirements!U7/1000</f>
        <v>0</v>
      </c>
      <c r="E18" s="134" t="n">
        <f aca="false">PGL_Requirements!U8/1000</f>
        <v>0</v>
      </c>
      <c r="F18" s="134" t="n">
        <f aca="false">PGL_Requirements!U9/1000</f>
        <v>0</v>
      </c>
      <c r="G18" s="134" t="n">
        <f aca="false">PGL_Requirements!U10/1000</f>
        <v>0</v>
      </c>
      <c r="H18" s="134" t="n">
        <f aca="false">PGL_Requirements!U11/1000</f>
        <v>0</v>
      </c>
      <c r="I18" s="135" t="n">
        <f aca="false">PGL_Requirements!U12/1000</f>
        <v>0</v>
      </c>
    </row>
    <row r="19" customFormat="false" ht="15.75" hidden="false" customHeight="false" outlineLevel="0" collapsed="false">
      <c r="A19" s="133"/>
      <c r="B19" s="124" t="s">
        <v>219</v>
      </c>
      <c r="C19" s="124" t="s">
        <v>150</v>
      </c>
      <c r="D19" s="134" t="n">
        <f aca="false">PGL_Requirements!O7/1000</f>
        <v>0</v>
      </c>
      <c r="E19" s="134" t="n">
        <f aca="false">PGL_Requirements!O8/1000</f>
        <v>0</v>
      </c>
      <c r="F19" s="134" t="n">
        <f aca="false">PGL_Requirements!O9/1000</f>
        <v>0</v>
      </c>
      <c r="G19" s="134" t="n">
        <f aca="false">PGL_Requirements!O10/1000</f>
        <v>0</v>
      </c>
      <c r="H19" s="134" t="n">
        <f aca="false">PGL_Requirements!O11/1000</f>
        <v>0</v>
      </c>
      <c r="I19" s="135" t="n">
        <f aca="false">PGL_Requirements!O12/1000</f>
        <v>0</v>
      </c>
    </row>
    <row r="20" customFormat="false" ht="15.75" hidden="false" customHeight="false" outlineLevel="0" collapsed="false">
      <c r="A20" s="136" t="s">
        <v>223</v>
      </c>
      <c r="B20" s="138" t="s">
        <v>217</v>
      </c>
      <c r="C20" s="138"/>
      <c r="D20" s="134" t="n">
        <f aca="false">(PGL_Requirements!$V$7+PGL_Requirements!$W$7+PGL_Requirements!$X$7)/1000</f>
        <v>0</v>
      </c>
      <c r="E20" s="134" t="n">
        <f aca="false">(PGL_Requirements!$V$8+PGL_Requirements!$W$8+PGL_Requirements!$X$8)/1000</f>
        <v>0</v>
      </c>
      <c r="F20" s="134" t="n">
        <f aca="false">(PGL_Requirements!$V$9+PGL_Requirements!$W$9+PGL_Requirements!$X$9)/1000</f>
        <v>0</v>
      </c>
      <c r="G20" s="134" t="n">
        <f aca="false">(PGL_Requirements!$V$10+PGL_Requirements!$W$10+PGL_Requirements!$X$10)/1000</f>
        <v>0</v>
      </c>
      <c r="H20" s="134" t="n">
        <f aca="false">(PGL_Requirements!$V$11+PGL_Requirements!$W$11+PGL_Requirements!$X$11)/1000</f>
        <v>0</v>
      </c>
      <c r="I20" s="135" t="n">
        <f aca="false">(PGL_Requirements!$V$12+PGL_Requirements!$W$12+PGL_Requirements!$X$12)/1000</f>
        <v>0</v>
      </c>
    </row>
    <row r="21" customFormat="false" ht="15.75" hidden="false" customHeight="false" outlineLevel="0" collapsed="false">
      <c r="A21" s="133"/>
      <c r="B21" s="138" t="s">
        <v>219</v>
      </c>
      <c r="C21" s="138"/>
      <c r="D21" s="134" t="n">
        <f aca="false">(PGL_Requirements!$Y$7+PGL_Requirements!$Z$7+PGL_Requirements!$AA$7+PGL_Requirements!$AB$7)/1000</f>
        <v>0</v>
      </c>
      <c r="E21" s="134" t="n">
        <f aca="false">(PGL_Requirements!$Y$8+PGL_Requirements!$Z$8+PGL_Requirements!$AA$8+PGL_Requirements!$AB$8)/1000</f>
        <v>0</v>
      </c>
      <c r="F21" s="134" t="n">
        <f aca="false">(PGL_Requirements!$Y$9+PGL_Requirements!$Z$9+PGL_Requirements!$AA$9+PGL_Requirements!$AB$9)/1000</f>
        <v>0</v>
      </c>
      <c r="G21" s="134" t="n">
        <f aca="false">(PGL_Requirements!$Y$10+PGL_Requirements!$Z$10+PGL_Requirements!$AA$10+PGL_Requirements!$AB$10)/1000</f>
        <v>0</v>
      </c>
      <c r="H21" s="134" t="n">
        <f aca="false">(PGL_Requirements!$Y$11+PGL_Requirements!$Z$11+PGL_Requirements!$AA$11+PGL_Requirements!$AB$11)/1000</f>
        <v>0</v>
      </c>
      <c r="I21" s="135" t="n">
        <f aca="false">(PGL_Requirements!$Y$12+PGL_Requirements!$Z$12+PGL_Requirements!$AA$12+PGL_Requirements!$AB$12)/1000</f>
        <v>0</v>
      </c>
    </row>
    <row r="22" customFormat="false" ht="15.75" hidden="false" customHeight="false" outlineLevel="0" collapsed="false">
      <c r="A22" s="133"/>
      <c r="B22" s="124" t="s">
        <v>140</v>
      </c>
      <c r="C22" s="138"/>
      <c r="D22" s="134" t="n">
        <f aca="false">PGL_Requirements!$AF$7+PGL_Requirements!$AG$7+PGL_Requirements!$AH$7+PGL_Requirements!$AI$7/1000</f>
        <v>0</v>
      </c>
      <c r="E22" s="134" t="n">
        <f aca="false">PGL_Requirements!$AF$8+PGL_Requirements!$AG$8+PGL_Requirements!$AH$8+PGL_Requirements!$AI$8/1000</f>
        <v>0</v>
      </c>
      <c r="F22" s="134" t="n">
        <f aca="false">PGL_Requirements!$AF$9+PGL_Requirements!$AG$9+PGL_Requirements!$AH$9+PGL_Requirements!$AI$9/1000</f>
        <v>0</v>
      </c>
      <c r="G22" s="134" t="n">
        <f aca="false">PGL_Requirements!$AF$10+PGL_Requirements!$AG$10+PGL_Requirements!$AH$10+PGL_Requirements!$AI$10/1000</f>
        <v>0</v>
      </c>
      <c r="H22" s="134" t="n">
        <f aca="false">PGL_Requirements!$AF$11+PGL_Requirements!$AG$11+PGL_Requirements!$AH$11+PGL_Requirements!$AI$11/1000</f>
        <v>0</v>
      </c>
      <c r="I22" s="135" t="n">
        <f aca="false">PGL_Requirements!$AF$12+PGL_Requirements!$AG$12+PGL_Requirements!$AH$12+PGL_Requirements!$AI$12/1000</f>
        <v>0</v>
      </c>
      <c r="J22" s="139"/>
    </row>
    <row r="23" customFormat="false" ht="15.75" hidden="false" customHeight="false" outlineLevel="0" collapsed="false">
      <c r="A23" s="133"/>
      <c r="B23" s="138" t="s">
        <v>224</v>
      </c>
      <c r="C23" s="138" t="s">
        <v>191</v>
      </c>
      <c r="D23" s="134" t="n">
        <f aca="false">NSG_Supplies!H7/1000</f>
        <v>0</v>
      </c>
      <c r="E23" s="134" t="n">
        <f aca="false">NSG_Supplies!H8/1000</f>
        <v>0</v>
      </c>
      <c r="F23" s="134" t="n">
        <f aca="false">NSG_Supplies!H9/1000</f>
        <v>0</v>
      </c>
      <c r="G23" s="134" t="n">
        <f aca="false">NSG_Supplies!H10/1000</f>
        <v>0</v>
      </c>
      <c r="H23" s="134" t="n">
        <f aca="false">NSG_Supplies!H11/1000</f>
        <v>0</v>
      </c>
      <c r="I23" s="135" t="n">
        <f aca="false">NSG_Supplies!H12/1000</f>
        <v>0</v>
      </c>
      <c r="J23" s="139"/>
    </row>
    <row r="24" customFormat="false" ht="15.75" hidden="false" customHeight="false" outlineLevel="0" collapsed="false">
      <c r="A24" s="136" t="s">
        <v>225</v>
      </c>
      <c r="B24" s="124"/>
      <c r="C24" s="124"/>
      <c r="D24" s="134" t="n">
        <f aca="false">PGL_Requirements!G7/1000</f>
        <v>0</v>
      </c>
      <c r="E24" s="134" t="n">
        <f aca="false">PGL_Requirements!G8/1000</f>
        <v>0</v>
      </c>
      <c r="F24" s="134" t="n">
        <f aca="false">PGL_Requirements!G9/1000</f>
        <v>0</v>
      </c>
      <c r="G24" s="134" t="n">
        <f aca="false">PGL_Requirements!G10/1000</f>
        <v>0</v>
      </c>
      <c r="H24" s="134" t="n">
        <f aca="false">PGL_Requirements!G11/1000</f>
        <v>0</v>
      </c>
      <c r="I24" s="135" t="n">
        <f aca="false">PGL_Requirements!G12/1000</f>
        <v>0</v>
      </c>
    </row>
    <row r="25" customFormat="false" ht="15.75" hidden="false" customHeight="false" outlineLevel="0" collapsed="false">
      <c r="A25" s="133" t="s">
        <v>226</v>
      </c>
      <c r="B25" s="124" t="s">
        <v>227</v>
      </c>
      <c r="C25" s="124"/>
      <c r="D25" s="134" t="n">
        <f aca="false">PGL_Requirements!J7/1000</f>
        <v>0</v>
      </c>
      <c r="E25" s="134" t="n">
        <f aca="false">PGL_Requirements!J8/1000</f>
        <v>0</v>
      </c>
      <c r="F25" s="134" t="n">
        <f aca="false">PGL_Requirements!J9/1000</f>
        <v>0</v>
      </c>
      <c r="G25" s="134" t="n">
        <f aca="false">PGL_Requirements!J10/1000</f>
        <v>0</v>
      </c>
      <c r="H25" s="134" t="n">
        <f aca="false">PGL_Requirements!J11/1000</f>
        <v>0</v>
      </c>
      <c r="I25" s="135" t="n">
        <f aca="false">PGL_Requirements!J12/1000</f>
        <v>0</v>
      </c>
    </row>
    <row r="26" customFormat="false" ht="15.75" hidden="false" customHeight="false" outlineLevel="0" collapsed="false">
      <c r="A26" s="133"/>
      <c r="B26" s="124" t="s">
        <v>86</v>
      </c>
      <c r="C26" s="124"/>
      <c r="D26" s="134" t="n">
        <f aca="false">PGL_Requirements!C7/1000</f>
        <v>0</v>
      </c>
      <c r="E26" s="134" t="n">
        <f aca="false">PGL_Requirements!C8/1000</f>
        <v>0</v>
      </c>
      <c r="F26" s="134" t="n">
        <f aca="false">PGL_Requirements!C9/1000</f>
        <v>0</v>
      </c>
      <c r="G26" s="134" t="n">
        <f aca="false">PGL_Requirements!C10/1000</f>
        <v>0</v>
      </c>
      <c r="H26" s="134" t="n">
        <f aca="false">PGL_Requirements!C11/1000</f>
        <v>0</v>
      </c>
      <c r="I26" s="135" t="n">
        <f aca="false">PGL_Requirements!C12/1000</f>
        <v>0</v>
      </c>
    </row>
    <row r="27" customFormat="false" ht="15.75" hidden="false" customHeight="false" outlineLevel="0" collapsed="false">
      <c r="A27" s="133"/>
      <c r="B27" s="124" t="s">
        <v>139</v>
      </c>
      <c r="C27" s="124"/>
      <c r="D27" s="134" t="n">
        <f aca="false">PGL_Requirements!D7/1000</f>
        <v>0</v>
      </c>
      <c r="E27" s="134" t="n">
        <f aca="false">PGL_Requirements!D8/1000</f>
        <v>0</v>
      </c>
      <c r="F27" s="134" t="n">
        <f aca="false">PGL_Requirements!D9/1000</f>
        <v>0</v>
      </c>
      <c r="G27" s="134" t="n">
        <f aca="false">PGL_Requirements!D10/1000</f>
        <v>0</v>
      </c>
      <c r="H27" s="134" t="n">
        <f aca="false">PGL_Requirements!D11/1000</f>
        <v>0</v>
      </c>
      <c r="I27" s="135" t="n">
        <f aca="false">PGL_Requirements!D12/1000</f>
        <v>0</v>
      </c>
    </row>
    <row r="28" customFormat="false" ht="15.75" hidden="false" customHeight="false" outlineLevel="0" collapsed="false">
      <c r="A28" s="133"/>
      <c r="B28" s="124" t="s">
        <v>140</v>
      </c>
      <c r="C28" s="124"/>
      <c r="D28" s="134" t="n">
        <f aca="false">PGL_Requirements!E7/1000</f>
        <v>0</v>
      </c>
      <c r="E28" s="134" t="n">
        <f aca="false">PGL_Requirements!E8/1000</f>
        <v>0</v>
      </c>
      <c r="F28" s="134" t="n">
        <f aca="false">PGL_Requirements!E9/1000</f>
        <v>0</v>
      </c>
      <c r="G28" s="134" t="n">
        <f aca="false">PGL_Requirements!E10/1000</f>
        <v>0</v>
      </c>
      <c r="H28" s="134" t="n">
        <f aca="false">PGL_Requirements!E11/1000</f>
        <v>0</v>
      </c>
      <c r="I28" s="135" t="n">
        <f aca="false">PGL_Requirements!E12/1000</f>
        <v>0</v>
      </c>
    </row>
    <row r="29" customFormat="false" ht="15.75" hidden="false" customHeight="false" outlineLevel="0" collapsed="false">
      <c r="A29" s="133"/>
      <c r="B29" s="124" t="s">
        <v>146</v>
      </c>
      <c r="C29" s="124"/>
      <c r="D29" s="140" t="n">
        <f aca="false">PGL_Requirements!F7/1000</f>
        <v>0</v>
      </c>
      <c r="E29" s="140" t="n">
        <f aca="false">PGL_Requirements!F8/1000</f>
        <v>0</v>
      </c>
      <c r="F29" s="140" t="n">
        <f aca="false">PGL_Requirements!F9/1000</f>
        <v>0</v>
      </c>
      <c r="G29" s="140" t="n">
        <f aca="false">PGL_Requirements!F10/1000</f>
        <v>0</v>
      </c>
      <c r="H29" s="140" t="n">
        <f aca="false">PGL_Requirements!F11/1000</f>
        <v>0</v>
      </c>
      <c r="I29" s="141" t="n">
        <f aca="false">PGL_Requirements!F12/1000</f>
        <v>0</v>
      </c>
    </row>
    <row r="30" customFormat="false" ht="16.5" hidden="false" customHeight="false" outlineLevel="0" collapsed="false">
      <c r="A30" s="142" t="s">
        <v>228</v>
      </c>
      <c r="B30" s="143"/>
      <c r="C30" s="143"/>
      <c r="D30" s="144" t="n">
        <f aca="false">SUM(D6:D29)</f>
        <v>757.89</v>
      </c>
      <c r="E30" s="144" t="n">
        <f aca="false">SUM(E6:E29)</f>
        <v>560.0015</v>
      </c>
      <c r="F30" s="144" t="n">
        <f aca="false">SUM(F6:F29)</f>
        <v>468.415</v>
      </c>
      <c r="G30" s="144" t="n">
        <f aca="false">SUM(G6:G29)</f>
        <v>428.415</v>
      </c>
      <c r="H30" s="144" t="n">
        <f aca="false">SUM(H6:H29)</f>
        <v>503.415</v>
      </c>
      <c r="I30" s="145" t="n">
        <f aca="false">SUM(I6:I29)</f>
        <v>518.415</v>
      </c>
    </row>
    <row r="31" customFormat="false" ht="17.25" hidden="false" customHeight="false" outlineLevel="0" collapsed="false">
      <c r="A31" s="146"/>
      <c r="B31" s="124"/>
      <c r="C31" s="124"/>
      <c r="D31" s="147"/>
      <c r="E31" s="148"/>
      <c r="F31" s="148"/>
      <c r="G31" s="148"/>
      <c r="H31" s="148"/>
      <c r="I31" s="149"/>
    </row>
    <row r="32" customFormat="false" ht="16.5" hidden="false" customHeight="false" outlineLevel="0" collapsed="false">
      <c r="A32" s="150" t="s">
        <v>229</v>
      </c>
      <c r="B32" s="151"/>
      <c r="C32" s="151"/>
      <c r="D32" s="152"/>
      <c r="E32" s="153"/>
      <c r="F32" s="153"/>
      <c r="G32" s="153"/>
      <c r="H32" s="153"/>
      <c r="I32" s="154"/>
    </row>
    <row r="33" customFormat="false" ht="16.5" hidden="false" customHeight="false" outlineLevel="0" collapsed="false">
      <c r="A33" s="133" t="s">
        <v>230</v>
      </c>
      <c r="B33" s="124" t="s">
        <v>221</v>
      </c>
      <c r="C33" s="124" t="s">
        <v>75</v>
      </c>
      <c r="D33" s="134" t="n">
        <f aca="false">PGL_Supplies!M7/1000</f>
        <v>0</v>
      </c>
      <c r="E33" s="134" t="n">
        <f aca="false">PGL_Supplies!M8/1000</f>
        <v>0</v>
      </c>
      <c r="F33" s="134" t="n">
        <f aca="false">PGL_Supplies!M9/1000</f>
        <v>0</v>
      </c>
      <c r="G33" s="134" t="n">
        <f aca="false">PGL_Supplies!M10/1000</f>
        <v>0</v>
      </c>
      <c r="H33" s="134" t="n">
        <f aca="false">PGL_Supplies!M11/1000</f>
        <v>0</v>
      </c>
      <c r="I33" s="135" t="n">
        <f aca="false">PGL_Supplies!M12/1000</f>
        <v>0</v>
      </c>
    </row>
    <row r="34" customFormat="false" ht="15.75" hidden="false" customHeight="false" outlineLevel="0" collapsed="false">
      <c r="A34" s="133"/>
      <c r="B34" s="124"/>
      <c r="C34" s="124" t="s">
        <v>141</v>
      </c>
      <c r="D34" s="134" t="n">
        <f aca="false">PGL_Supplies!H7/1000</f>
        <v>1</v>
      </c>
      <c r="E34" s="134" t="n">
        <f aca="false">PGL_Supplies!H8/1000</f>
        <v>1</v>
      </c>
      <c r="F34" s="134" t="n">
        <f aca="false">PGL_Supplies!H9/1000</f>
        <v>1</v>
      </c>
      <c r="G34" s="134" t="n">
        <f aca="false">PGL_Supplies!H10/1000</f>
        <v>1</v>
      </c>
      <c r="H34" s="134" t="n">
        <f aca="false">PGL_Supplies!H11/1000</f>
        <v>1</v>
      </c>
      <c r="I34" s="135" t="n">
        <f aca="false">PGL_Supplies!H12/1000</f>
        <v>1</v>
      </c>
    </row>
    <row r="35" customFormat="false" ht="15.75" hidden="false" customHeight="false" outlineLevel="0" collapsed="false">
      <c r="A35" s="133"/>
      <c r="B35" s="124"/>
      <c r="C35" s="124" t="s">
        <v>76</v>
      </c>
      <c r="D35" s="134" t="n">
        <f aca="false">PGL_Supplies!J7/1000</f>
        <v>0</v>
      </c>
      <c r="E35" s="134" t="n">
        <f aca="false">PGL_Supplies!J8/1000</f>
        <v>0</v>
      </c>
      <c r="F35" s="134" t="n">
        <f aca="false">PGL_Supplies!J9/1000</f>
        <v>0</v>
      </c>
      <c r="G35" s="134" t="n">
        <f aca="false">PGL_Supplies!J10/1000</f>
        <v>0</v>
      </c>
      <c r="H35" s="134" t="n">
        <f aca="false">PGL_Supplies!J11/1000</f>
        <v>0</v>
      </c>
      <c r="I35" s="135" t="n">
        <f aca="false">PGL_Supplies!J12/1000</f>
        <v>0</v>
      </c>
    </row>
    <row r="36" customFormat="false" ht="15.75" hidden="false" customHeight="false" outlineLevel="0" collapsed="false">
      <c r="A36" s="133"/>
      <c r="B36" s="124" t="s">
        <v>217</v>
      </c>
      <c r="C36" s="124" t="s">
        <v>150</v>
      </c>
      <c r="D36" s="134" t="n">
        <f aca="false">PGL_Supplies!R7/1000</f>
        <v>0</v>
      </c>
      <c r="E36" s="134" t="n">
        <f aca="false">PGL_Supplies!R8/1000</f>
        <v>0</v>
      </c>
      <c r="F36" s="134" t="n">
        <f aca="false">PGL_Supplies!R9/1000</f>
        <v>0</v>
      </c>
      <c r="G36" s="134" t="n">
        <f aca="false">PGL_Supplies!R10/1000</f>
        <v>0</v>
      </c>
      <c r="H36" s="134" t="n">
        <f aca="false">PGL_Supplies!R11/1000</f>
        <v>0</v>
      </c>
      <c r="I36" s="135" t="n">
        <f aca="false">PGL_Supplies!R12/1000</f>
        <v>0</v>
      </c>
    </row>
    <row r="37" customFormat="false" ht="15.75" hidden="false" customHeight="false" outlineLevel="0" collapsed="false">
      <c r="A37" s="133"/>
      <c r="B37" s="124" t="s">
        <v>219</v>
      </c>
      <c r="C37" s="124" t="s">
        <v>150</v>
      </c>
      <c r="D37" s="134" t="n">
        <f aca="false">PGL_Supplies!L7/1000</f>
        <v>11.08</v>
      </c>
      <c r="E37" s="134" t="n">
        <f aca="false">PGL_Supplies!L8/1000</f>
        <v>0</v>
      </c>
      <c r="F37" s="134" t="n">
        <f aca="false">PGL_Supplies!L9/1000</f>
        <v>0</v>
      </c>
      <c r="G37" s="134" t="n">
        <f aca="false">PGL_Supplies!L10/1000</f>
        <v>0</v>
      </c>
      <c r="H37" s="134" t="n">
        <f aca="false">PGL_Supplies!L11/1000</f>
        <v>0</v>
      </c>
      <c r="I37" s="135" t="n">
        <f aca="false">PGL_Supplies!L12/1000</f>
        <v>0</v>
      </c>
    </row>
    <row r="38" customFormat="false" ht="15.75" hidden="false" customHeight="false" outlineLevel="0" collapsed="false">
      <c r="A38" s="136" t="s">
        <v>231</v>
      </c>
      <c r="B38" s="124" t="s">
        <v>217</v>
      </c>
      <c r="C38" s="124"/>
      <c r="D38" s="134" t="n">
        <f aca="false">(NSG_Requirements!$S$7+NSG_Requirements!$T$7+NSG_Requirements!$U$7)/1000</f>
        <v>0</v>
      </c>
      <c r="E38" s="134" t="n">
        <f aca="false">(NSG_Requirements!$S$8+NSG_Requirements!$T$8+NSG_Requirements!$U$8)/1000</f>
        <v>0</v>
      </c>
      <c r="F38" s="134" t="n">
        <f aca="false">(NSG_Requirements!$S$9+NSG_Requirements!$T$9+NSG_Requirements!$U$9)/1000</f>
        <v>0</v>
      </c>
      <c r="G38" s="134" t="n">
        <f aca="false">(NSG_Requirements!$S$10+NSG_Requirements!$T$10+NSG_Requirements!$U$10)/1000</f>
        <v>0</v>
      </c>
      <c r="H38" s="134" t="n">
        <f aca="false">(NSG_Requirements!$S$11+NSG_Requirements!$T$11+NSG_Requirements!$U$11)/1000</f>
        <v>0</v>
      </c>
      <c r="I38" s="135" t="n">
        <f aca="false">(NSG_Requirements!$S$12+NSG_Requirements!$T$11+NSG_Requirements!$U$11)/1000</f>
        <v>0</v>
      </c>
    </row>
    <row r="39" customFormat="false" ht="15.75" hidden="false" customHeight="false" outlineLevel="0" collapsed="false">
      <c r="A39" s="136"/>
      <c r="B39" s="124" t="s">
        <v>140</v>
      </c>
      <c r="C39" s="137"/>
      <c r="D39" s="134" t="n">
        <f aca="false">(NSG_Requirements!$AB$7+NSG_Requirements!$AC$7+NSG_Requirements!$AD$7+NSG_Requirements!$AE$7)/1000</f>
        <v>0</v>
      </c>
      <c r="E39" s="134" t="n">
        <f aca="false">(NSG_Requirements!$AB$8+NSG_Requirements!$AC$8+NSG_Requirements!$AD$8+NSG_Requirements!$AE$8)/1000</f>
        <v>0</v>
      </c>
      <c r="F39" s="134" t="n">
        <f aca="false">(NSG_Requirements!$AB$9+NSG_Requirements!$AC$9+NSG_Requirements!$AD$9+NSG_Requirements!$AE$9)/1000</f>
        <v>0</v>
      </c>
      <c r="G39" s="134" t="n">
        <f aca="false">(NSG_Requirements!$AB$10+NSG_Requirements!$AC$10+NSG_Requirements!$AD$10+NSG_Requirements!$AE$10)/1000</f>
        <v>0</v>
      </c>
      <c r="H39" s="134" t="n">
        <f aca="false">(NSG_Requirements!$AB$11+NSG_Requirements!$AC$11+NSG_Requirements!$AD$11+NSG_Requirements!$AE$11)/1000</f>
        <v>0</v>
      </c>
      <c r="I39" s="135" t="n">
        <f aca="false">(NSG_Requirements!$AB$12+NSG_Requirements!$AC$12+NSG_Requirements!$AD$12+NSG_Requirements!$AE$12)/1000</f>
        <v>0</v>
      </c>
    </row>
    <row r="40" customFormat="false" ht="15.75" hidden="false" customHeight="false" outlineLevel="0" collapsed="false">
      <c r="A40" s="136"/>
      <c r="B40" s="124" t="s">
        <v>219</v>
      </c>
      <c r="C40" s="124"/>
      <c r="D40" s="134" t="n">
        <f aca="false">(NSG_Requirements!$Y$7+NSG_Requirements!$Z$7+NSG_Requirements!$AA$7)/1000</f>
        <v>0</v>
      </c>
      <c r="E40" s="134" t="n">
        <f aca="false">(NSG_Requirements!$Y$8+NSG_Requirements!$Z$8+NSG_Requirements!$AA$8)/1000</f>
        <v>0</v>
      </c>
      <c r="F40" s="134" t="n">
        <f aca="false">(NSG_Requirements!$Y$9+NSG_Requirements!$Z$9+NSG_Requirements!$AA$9)/1000</f>
        <v>0</v>
      </c>
      <c r="G40" s="134" t="n">
        <f aca="false">(NSG_Requirements!$Y$10+NSG_Requirements!$Z$10+NSG_Requirements!$AA$10)/1000</f>
        <v>0</v>
      </c>
      <c r="H40" s="134" t="n">
        <f aca="false">(NSG_Requirements!$Y$11+NSG_Requirements!$Z$11+NSG_Requirements!$AA$11)/1000</f>
        <v>0</v>
      </c>
      <c r="I40" s="135" t="n">
        <f aca="false">(NSG_Requirements!$Y$12+NSG_Requirements!$Z$12+NSG_Requirements!$AA$12)/1000</f>
        <v>0</v>
      </c>
    </row>
    <row r="41" customFormat="false" ht="15.75" hidden="false" customHeight="false" outlineLevel="0" collapsed="false">
      <c r="A41" s="136"/>
      <c r="B41" s="124" t="s">
        <v>232</v>
      </c>
      <c r="C41" s="124" t="s">
        <v>233</v>
      </c>
      <c r="D41" s="134" t="n">
        <f aca="false">(NSG_Requirements!$L$7+NSG_Requirements!$M$7+NSG_Requirements!$N$7+NSG_Requirements!$K$7)/1000</f>
        <v>0</v>
      </c>
      <c r="E41" s="134" t="n">
        <f aca="false">(NSG_Requirements!$L$8+NSG_Requirements!$M$8+NSG_Requirements!$N$8+NSG_Requirements!$K$8)/1000</f>
        <v>0</v>
      </c>
      <c r="F41" s="134" t="n">
        <f aca="false">(NSG_Requirements!$L$9+NSG_Requirements!$M$9+NSG_Requirements!$N$9+NSG_Requirements!$K$9)/1000</f>
        <v>0</v>
      </c>
      <c r="G41" s="134" t="n">
        <f aca="false">(NSG_Requirements!$L$10+NSG_Requirements!$M$10+NSG_Requirements!$N$10+NSG_Requirements!$K$10)/1000</f>
        <v>0</v>
      </c>
      <c r="H41" s="134" t="n">
        <f aca="false">(NSG_Requirements!$L$11+NSG_Requirements!$M$11+NSG_Requirements!$N$11+NSG_Requirements!$K$11)/1000</f>
        <v>0</v>
      </c>
      <c r="I41" s="135" t="n">
        <f aca="false">(NSG_Requirements!$L$12+NSG_Requirements!$M$12+NSG_Requirements!$N$12+NSG_Requirements!$K$12)/1000</f>
        <v>0</v>
      </c>
    </row>
    <row r="42" customFormat="false" ht="15.75" hidden="false" customHeight="false" outlineLevel="0" collapsed="false">
      <c r="A42" s="136" t="s">
        <v>215</v>
      </c>
      <c r="B42" s="124"/>
      <c r="C42" s="124"/>
      <c r="D42" s="134" t="n">
        <f aca="false">PGL_Supplies!U7/1000</f>
        <v>0</v>
      </c>
      <c r="E42" s="134" t="n">
        <f aca="false">PGL_Supplies!U8/1000</f>
        <v>0</v>
      </c>
      <c r="F42" s="134" t="n">
        <f aca="false">PGL_Supplies!U9/1000</f>
        <v>0</v>
      </c>
      <c r="G42" s="134" t="n">
        <f aca="false">PGL_Supplies!U10/1000</f>
        <v>0</v>
      </c>
      <c r="H42" s="134" t="n">
        <f aca="false">PGL_Supplies!U11/1000</f>
        <v>0</v>
      </c>
      <c r="I42" s="135" t="n">
        <f aca="false">PGL_Supplies!U12/1000</f>
        <v>0</v>
      </c>
    </row>
    <row r="43" customFormat="false" ht="15.75" hidden="false" customHeight="false" outlineLevel="0" collapsed="false">
      <c r="A43" s="136" t="s">
        <v>234</v>
      </c>
      <c r="B43" s="124" t="s">
        <v>140</v>
      </c>
      <c r="C43" s="124"/>
      <c r="D43" s="134" t="n">
        <f aca="false">PGL_Supplies!T7/1000*0.5</f>
        <v>0</v>
      </c>
      <c r="E43" s="134" t="n">
        <f aca="false">PGL_Supplies!T8/1000*0.5</f>
        <v>0</v>
      </c>
      <c r="F43" s="134" t="n">
        <f aca="false">PGL_Supplies!T9/1000*0.5</f>
        <v>0</v>
      </c>
      <c r="G43" s="134" t="n">
        <f aca="false">PGL_Supplies!T10/1000*0.5</f>
        <v>0</v>
      </c>
      <c r="H43" s="134" t="n">
        <f aca="false">PGL_Supplies!T11/1000*0.5</f>
        <v>0</v>
      </c>
      <c r="I43" s="135" t="n">
        <f aca="false">PGL_Supplies!T12/1000*0.5</f>
        <v>0</v>
      </c>
    </row>
    <row r="44" customFormat="false" ht="15.75" hidden="false" customHeight="false" outlineLevel="0" collapsed="false">
      <c r="A44" s="133"/>
      <c r="B44" s="124" t="s">
        <v>218</v>
      </c>
      <c r="C44" s="137"/>
      <c r="D44" s="134" t="n">
        <v>0</v>
      </c>
      <c r="E44" s="134" t="n">
        <v>0</v>
      </c>
      <c r="F44" s="134" t="n">
        <v>0</v>
      </c>
      <c r="G44" s="134" t="n">
        <v>0</v>
      </c>
      <c r="H44" s="134" t="n">
        <v>0</v>
      </c>
      <c r="I44" s="135" t="n">
        <v>0</v>
      </c>
    </row>
    <row r="45" customFormat="false" ht="15.75" hidden="false" customHeight="false" outlineLevel="0" collapsed="false">
      <c r="A45" s="133"/>
      <c r="B45" s="124" t="s">
        <v>140</v>
      </c>
      <c r="C45" s="137"/>
      <c r="D45" s="134" t="n">
        <f aca="false">PGL_Supplies!W7/1000</f>
        <v>0</v>
      </c>
      <c r="E45" s="134" t="n">
        <f aca="false">PGL_Supplies!W8/1000</f>
        <v>0</v>
      </c>
      <c r="F45" s="134" t="n">
        <f aca="false">PGL_Supplies!W9/1000</f>
        <v>0</v>
      </c>
      <c r="G45" s="134" t="n">
        <f aca="false">PGL_Supplies!W10/1000</f>
        <v>0</v>
      </c>
      <c r="H45" s="134" t="n">
        <f aca="false">PGL_Supplies!W11/1000</f>
        <v>0</v>
      </c>
      <c r="I45" s="135" t="n">
        <f aca="false">PGL_Supplies!W12/1000</f>
        <v>0</v>
      </c>
    </row>
    <row r="46" customFormat="false" ht="15.75" hidden="false" customHeight="false" outlineLevel="0" collapsed="false">
      <c r="A46" s="133"/>
      <c r="B46" s="124" t="s">
        <v>219</v>
      </c>
      <c r="C46" s="124"/>
      <c r="D46" s="134" t="n">
        <v>0</v>
      </c>
      <c r="E46" s="134" t="n">
        <v>0</v>
      </c>
      <c r="F46" s="134" t="n">
        <v>0</v>
      </c>
      <c r="G46" s="134" t="n">
        <v>0</v>
      </c>
      <c r="H46" s="134" t="n">
        <v>0</v>
      </c>
      <c r="I46" s="135" t="n">
        <v>0</v>
      </c>
    </row>
    <row r="47" customFormat="false" ht="15.75" hidden="false" customHeight="false" outlineLevel="0" collapsed="false">
      <c r="A47" s="136" t="s">
        <v>235</v>
      </c>
      <c r="B47" s="124" t="s">
        <v>236</v>
      </c>
      <c r="C47" s="124"/>
      <c r="D47" s="134" t="n">
        <f aca="false">PGL_Supplies!Y7/1000</f>
        <v>207.088</v>
      </c>
      <c r="E47" s="134" t="n">
        <f aca="false">PGL_Supplies!Y8/1000</f>
        <v>144.909</v>
      </c>
      <c r="F47" s="134" t="n">
        <f aca="false">PGL_Supplies!Y9/1000</f>
        <v>131.973</v>
      </c>
      <c r="G47" s="134" t="n">
        <f aca="false">PGL_Supplies!Y10/1000</f>
        <v>121.063</v>
      </c>
      <c r="H47" s="134" t="n">
        <f aca="false">PGL_Supplies!Y11/1000</f>
        <v>121.063</v>
      </c>
      <c r="I47" s="135" t="n">
        <f aca="false">PGL_Supplies!Y12/1000</f>
        <v>121.063</v>
      </c>
    </row>
    <row r="48" customFormat="false" ht="15.75" hidden="false" customHeight="false" outlineLevel="0" collapsed="false">
      <c r="A48" s="136"/>
      <c r="B48" s="124" t="s">
        <v>217</v>
      </c>
      <c r="C48" s="137"/>
      <c r="D48" s="134" t="n">
        <f aca="false">PGL_Supplies!Z7/1000</f>
        <v>41.16</v>
      </c>
      <c r="E48" s="134" t="n">
        <f aca="false">PGL_Supplies!Z8/1000</f>
        <v>41.16</v>
      </c>
      <c r="F48" s="134" t="n">
        <f aca="false">PGL_Supplies!Z9/1000</f>
        <v>41.16</v>
      </c>
      <c r="G48" s="134" t="n">
        <f aca="false">PGL_Supplies!Z10/1000</f>
        <v>41.16</v>
      </c>
      <c r="H48" s="134" t="n">
        <f aca="false">PGL_Supplies!Z11/1000</f>
        <v>41.16</v>
      </c>
      <c r="I48" s="135" t="n">
        <f aca="false">PGL_Supplies!Z12/1000</f>
        <v>41.16</v>
      </c>
    </row>
    <row r="49" customFormat="false" ht="15.75" hidden="false" customHeight="false" outlineLevel="0" collapsed="false">
      <c r="A49" s="136"/>
      <c r="B49" s="124" t="s">
        <v>218</v>
      </c>
      <c r="C49" s="137"/>
      <c r="D49" s="134" t="n">
        <f aca="false">PGL_Supplies!AA7/1000</f>
        <v>0</v>
      </c>
      <c r="E49" s="134" t="n">
        <f aca="false">PGL_Supplies!AA8/1000</f>
        <v>0</v>
      </c>
      <c r="F49" s="134" t="n">
        <f aca="false">PGL_Supplies!AA9/1000</f>
        <v>0</v>
      </c>
      <c r="G49" s="134" t="n">
        <f aca="false">PGL_Supplies!AA10/1000</f>
        <v>0</v>
      </c>
      <c r="H49" s="134" t="n">
        <f aca="false">PGL_Supplies!AA11/1000</f>
        <v>0</v>
      </c>
      <c r="I49" s="135" t="n">
        <f aca="false">PGL_Supplies!AA12/1000</f>
        <v>0</v>
      </c>
    </row>
    <row r="50" customFormat="false" ht="15.75" hidden="false" customHeight="false" outlineLevel="0" collapsed="false">
      <c r="A50" s="136"/>
      <c r="B50" s="124" t="s">
        <v>140</v>
      </c>
      <c r="C50" s="137"/>
      <c r="D50" s="134" t="n">
        <f aca="false">PGL_Supplies!AB7/1000</f>
        <v>366.514</v>
      </c>
      <c r="E50" s="134" t="n">
        <f aca="false">PGL_Supplies!AB8/1000</f>
        <v>337.217</v>
      </c>
      <c r="F50" s="134" t="n">
        <f aca="false">PGL_Supplies!AB9/1000</f>
        <v>337.217</v>
      </c>
      <c r="G50" s="134" t="n">
        <f aca="false">PGL_Supplies!AB10/1000</f>
        <v>337.217</v>
      </c>
      <c r="H50" s="134" t="n">
        <f aca="false">PGL_Supplies!AB11/1000</f>
        <v>337.217</v>
      </c>
      <c r="I50" s="135" t="n">
        <f aca="false">PGL_Supplies!AB12/1000</f>
        <v>337.217</v>
      </c>
    </row>
    <row r="51" customFormat="false" ht="15.75" hidden="false" customHeight="false" outlineLevel="0" collapsed="false">
      <c r="A51" s="136"/>
      <c r="B51" s="124" t="s">
        <v>219</v>
      </c>
      <c r="C51" s="124"/>
      <c r="D51" s="134" t="n">
        <f aca="false">PGL_Supplies!AC7/1000</f>
        <v>81.846</v>
      </c>
      <c r="E51" s="134" t="n">
        <f aca="false">PGL_Supplies!AC8/1000</f>
        <v>179.557</v>
      </c>
      <c r="F51" s="134" t="n">
        <f aca="false">PGL_Supplies!AC9/1000</f>
        <v>179.557</v>
      </c>
      <c r="G51" s="134" t="n">
        <f aca="false">PGL_Supplies!AC10/1000</f>
        <v>179.557</v>
      </c>
      <c r="H51" s="134" t="n">
        <f aca="false">PGL_Supplies!AC11/1000</f>
        <v>179.557</v>
      </c>
      <c r="I51" s="135" t="n">
        <f aca="false">PGL_Supplies!AC12/1000</f>
        <v>179.557</v>
      </c>
    </row>
    <row r="52" customFormat="false" ht="15.75" hidden="false" customHeight="false" outlineLevel="0" collapsed="false">
      <c r="A52" s="136"/>
      <c r="B52" s="124" t="s">
        <v>237</v>
      </c>
      <c r="C52" s="124"/>
      <c r="D52" s="134" t="n">
        <f aca="false">PGL_Supplies!AD7/1000</f>
        <v>0</v>
      </c>
      <c r="E52" s="134" t="n">
        <f aca="false">PGL_Supplies!AD8/1000</f>
        <v>0</v>
      </c>
      <c r="F52" s="134" t="n">
        <f aca="false">PGL_Supplies!AD9/1000</f>
        <v>0</v>
      </c>
      <c r="G52" s="134" t="n">
        <f aca="false">PGL_Supplies!AD10/1000</f>
        <v>0</v>
      </c>
      <c r="H52" s="134" t="n">
        <f aca="false">PGL_Supplies!AD11/1000</f>
        <v>0</v>
      </c>
      <c r="I52" s="135" t="n">
        <f aca="false">PGL_Supplies!AD12/1000</f>
        <v>0</v>
      </c>
    </row>
    <row r="53" customFormat="false" ht="15.75" hidden="false" customHeight="false" outlineLevel="0" collapsed="false">
      <c r="A53" s="136"/>
      <c r="B53" s="124" t="s">
        <v>238</v>
      </c>
      <c r="C53" s="124"/>
      <c r="D53" s="134" t="n">
        <f aca="false">PGL_Supplies!I7/1000</f>
        <v>10</v>
      </c>
      <c r="E53" s="134" t="n">
        <f aca="false">PGL_Supplies!I8/1000</f>
        <v>10</v>
      </c>
      <c r="F53" s="134" t="n">
        <f aca="false">PGL_Supplies!I9/1000</f>
        <v>10</v>
      </c>
      <c r="G53" s="134" t="n">
        <f aca="false">PGL_Supplies!I10/1000</f>
        <v>10</v>
      </c>
      <c r="H53" s="134" t="n">
        <f aca="false">PGL_Supplies!I11/1000</f>
        <v>10</v>
      </c>
      <c r="I53" s="135" t="n">
        <f aca="false">PGL_Supplies!I12/1000</f>
        <v>10</v>
      </c>
      <c r="J53" s="117" t="s">
        <v>0</v>
      </c>
    </row>
    <row r="54" customFormat="false" ht="15.75" hidden="false" customHeight="false" outlineLevel="0" collapsed="false">
      <c r="A54" s="133"/>
      <c r="B54" s="124" t="s">
        <v>239</v>
      </c>
      <c r="C54" s="124"/>
      <c r="D54" s="134" t="n">
        <f aca="false">PGL_Supplies!K7/1000</f>
        <v>0</v>
      </c>
      <c r="E54" s="134" t="n">
        <f aca="false">PGL_Supplies!K8/1000</f>
        <v>0</v>
      </c>
      <c r="F54" s="134" t="n">
        <f aca="false">PGL_Supplies!K9/1000</f>
        <v>0</v>
      </c>
      <c r="G54" s="134" t="n">
        <f aca="false">PGL_Supplies!K10/1000</f>
        <v>0</v>
      </c>
      <c r="H54" s="134" t="n">
        <f aca="false">PGL_Supplies!K11/1000</f>
        <v>0</v>
      </c>
      <c r="I54" s="135" t="n">
        <f aca="false">PGL_Supplies!K12/1000</f>
        <v>0</v>
      </c>
    </row>
    <row r="55" customFormat="false" ht="15.75" hidden="false" customHeight="false" outlineLevel="0" collapsed="false">
      <c r="A55" s="136" t="s">
        <v>240</v>
      </c>
      <c r="B55" s="124"/>
      <c r="C55" s="124"/>
      <c r="D55" s="134" t="n">
        <f aca="false">PGL_Supplies!B7/1000</f>
        <v>0</v>
      </c>
      <c r="E55" s="134" t="n">
        <f aca="false">PGL_Supplies!B8/1000</f>
        <v>0</v>
      </c>
      <c r="F55" s="134" t="n">
        <f aca="false">PGL_Supplies!B9/1000</f>
        <v>0</v>
      </c>
      <c r="G55" s="134" t="n">
        <f aca="false">PGL_Supplies!B10/1000</f>
        <v>0</v>
      </c>
      <c r="H55" s="134" t="n">
        <f aca="false">PGL_Supplies!B11/1000</f>
        <v>0</v>
      </c>
      <c r="I55" s="135" t="n">
        <f aca="false">PGL_Supplies!B12/1000</f>
        <v>0</v>
      </c>
    </row>
    <row r="56" customFormat="false" ht="15.75" hidden="false" customHeight="false" outlineLevel="0" collapsed="false">
      <c r="A56" s="133" t="s">
        <v>241</v>
      </c>
      <c r="B56" s="124" t="s">
        <v>236</v>
      </c>
      <c r="C56" s="124"/>
      <c r="D56" s="134" t="n">
        <f aca="false">PGL_Supplies!X7/1000</f>
        <v>5</v>
      </c>
      <c r="E56" s="134" t="n">
        <f aca="false">PGL_Supplies!X8/1000</f>
        <v>0</v>
      </c>
      <c r="F56" s="134" t="n">
        <f aca="false">PGL_Supplies!X9/1000</f>
        <v>0</v>
      </c>
      <c r="G56" s="134" t="n">
        <f aca="false">PGL_Supplies!X10/1000</f>
        <v>0</v>
      </c>
      <c r="H56" s="134" t="n">
        <f aca="false">PGL_Supplies!X11/1000</f>
        <v>0</v>
      </c>
      <c r="I56" s="135" t="n">
        <f aca="false">PGL_Supplies!X12/1000</f>
        <v>0</v>
      </c>
    </row>
    <row r="57" customFormat="false" ht="15.75" hidden="false" customHeight="false" outlineLevel="0" collapsed="false">
      <c r="A57" s="133"/>
      <c r="B57" s="124" t="s">
        <v>217</v>
      </c>
      <c r="C57" s="124"/>
      <c r="D57" s="134" t="n">
        <f aca="false">PGL_Supplies!C7/1000</f>
        <v>30.4</v>
      </c>
      <c r="E57" s="134" t="n">
        <f aca="false">PGL_Supplies!C8/1000</f>
        <v>30</v>
      </c>
      <c r="F57" s="134" t="n">
        <f aca="false">PGL_Supplies!C9/1000</f>
        <v>0</v>
      </c>
      <c r="G57" s="134" t="n">
        <f aca="false">PGL_Supplies!C10/1000</f>
        <v>0</v>
      </c>
      <c r="H57" s="134" t="n">
        <f aca="false">PGL_Supplies!C11/1000</f>
        <v>0</v>
      </c>
      <c r="I57" s="135" t="n">
        <f aca="false">PGL_Supplies!C12/1000</f>
        <v>0</v>
      </c>
    </row>
    <row r="58" customFormat="false" ht="15.75" hidden="false" customHeight="false" outlineLevel="0" collapsed="false">
      <c r="A58" s="133"/>
      <c r="B58" s="138" t="s">
        <v>218</v>
      </c>
      <c r="C58" s="124"/>
      <c r="D58" s="134" t="n">
        <f aca="false">PGL_Supplies!D7/1000</f>
        <v>0</v>
      </c>
      <c r="E58" s="134" t="n">
        <f aca="false">PGL_Supplies!D8/1000</f>
        <v>0</v>
      </c>
      <c r="F58" s="134" t="n">
        <f aca="false">PGL_Supplies!D9/1000</f>
        <v>0</v>
      </c>
      <c r="G58" s="134" t="n">
        <f aca="false">PGL_Supplies!D10/1000</f>
        <v>0</v>
      </c>
      <c r="H58" s="134" t="n">
        <f aca="false">PGL_Supplies!D11/1000</f>
        <v>0</v>
      </c>
      <c r="I58" s="135" t="n">
        <f aca="false">PGL_Supplies!D12/1000</f>
        <v>0</v>
      </c>
    </row>
    <row r="59" customFormat="false" ht="15.75" hidden="false" customHeight="false" outlineLevel="0" collapsed="false">
      <c r="A59" s="133"/>
      <c r="B59" s="124" t="s">
        <v>140</v>
      </c>
      <c r="C59" s="124"/>
      <c r="D59" s="134" t="n">
        <f aca="false">PGL_Supplies!E7/1000</f>
        <v>3.8</v>
      </c>
      <c r="E59" s="134" t="n">
        <f aca="false">PGL_Supplies!E8/1000</f>
        <v>0</v>
      </c>
      <c r="F59" s="134" t="n">
        <f aca="false">PGL_Supplies!E9/1000</f>
        <v>0</v>
      </c>
      <c r="G59" s="134" t="n">
        <f aca="false">PGL_Supplies!E10/1000</f>
        <v>0</v>
      </c>
      <c r="H59" s="134" t="n">
        <f aca="false">PGL_Supplies!E11/1000</f>
        <v>0</v>
      </c>
      <c r="I59" s="135" t="n">
        <f aca="false">PGL_Supplies!E12/1000</f>
        <v>0</v>
      </c>
    </row>
    <row r="60" customFormat="false" ht="15.75" hidden="false" customHeight="false" outlineLevel="0" collapsed="false">
      <c r="A60" s="155"/>
      <c r="B60" s="156" t="s">
        <v>237</v>
      </c>
      <c r="C60" s="156"/>
      <c r="D60" s="140" t="n">
        <f aca="false">PGL_Supplies!G7/1000</f>
        <v>0</v>
      </c>
      <c r="E60" s="140" t="n">
        <f aca="false">PGL_Supplies!G8/1000</f>
        <v>0</v>
      </c>
      <c r="F60" s="140" t="n">
        <f aca="false">PGL_Supplies!G9/1000</f>
        <v>0</v>
      </c>
      <c r="G60" s="140" t="n">
        <f aca="false">PGL_Supplies!G10/1000</f>
        <v>0</v>
      </c>
      <c r="H60" s="140" t="n">
        <f aca="false">PGL_Supplies!G11/1000</f>
        <v>0</v>
      </c>
      <c r="I60" s="141" t="n">
        <f aca="false">PGL_Supplies!G12/1000</f>
        <v>0</v>
      </c>
    </row>
    <row r="61" customFormat="false" ht="16.5" hidden="false" customHeight="false" outlineLevel="0" collapsed="false">
      <c r="A61" s="157" t="s">
        <v>242</v>
      </c>
      <c r="B61" s="158"/>
      <c r="C61" s="158"/>
      <c r="D61" s="159" t="n">
        <f aca="false">SUM(D33:D60)</f>
        <v>757.888</v>
      </c>
      <c r="E61" s="159" t="n">
        <f aca="false">SUM(E33:E60)</f>
        <v>743.843</v>
      </c>
      <c r="F61" s="159" t="n">
        <f aca="false">SUM(F33:F60)</f>
        <v>700.907</v>
      </c>
      <c r="G61" s="159" t="n">
        <f aca="false">SUM(G33:G60)</f>
        <v>689.997</v>
      </c>
      <c r="H61" s="159" t="n">
        <f aca="false">SUM(H33:H60)</f>
        <v>689.997</v>
      </c>
      <c r="I61" s="160" t="n">
        <f aca="false">SUM(I33:I60)</f>
        <v>689.997</v>
      </c>
    </row>
    <row r="62" customFormat="false" ht="15" hidden="false" customHeight="false" outlineLevel="0" collapsed="false">
      <c r="A62" s="161" t="s">
        <v>243</v>
      </c>
      <c r="B62" s="156"/>
      <c r="C62" s="156"/>
      <c r="D62" s="162" t="n">
        <f aca="false">IF(D61-D30&lt;0,0,D61-D30)</f>
        <v>0</v>
      </c>
      <c r="E62" s="162" t="n">
        <f aca="false">IF(E61-E30&lt;0,0,E61-E30)</f>
        <v>183.8415</v>
      </c>
      <c r="F62" s="162" t="n">
        <f aca="false">IF(F61-F30&lt;0,0,F61-F30)</f>
        <v>232.492</v>
      </c>
      <c r="G62" s="162" t="n">
        <f aca="false">IF(G61-G30&lt;0,0,G61-G30)</f>
        <v>261.582</v>
      </c>
      <c r="H62" s="162" t="n">
        <f aca="false">IF(H61-H30&lt;0,0,H61-H30)</f>
        <v>186.582</v>
      </c>
      <c r="I62" s="163" t="n">
        <f aca="false">IF(I61-I30&lt;0,0,I61-I30)</f>
        <v>171.582</v>
      </c>
    </row>
    <row r="63" customFormat="false" ht="15.75" hidden="false" customHeight="false" outlineLevel="0" collapsed="false">
      <c r="A63" s="164" t="s">
        <v>244</v>
      </c>
      <c r="B63" s="143"/>
      <c r="C63" s="165"/>
      <c r="D63" s="166" t="n">
        <f aca="false">IF(D30-D61&lt;0,0,D30-D61)</f>
        <v>0.00200000000006639</v>
      </c>
      <c r="E63" s="166" t="n">
        <f aca="false">IF(E30-E61&lt;0,0,E30-E61)</f>
        <v>0</v>
      </c>
      <c r="F63" s="166" t="n">
        <f aca="false">IF(F30-F61&lt;0,0,F30-F61)</f>
        <v>0</v>
      </c>
      <c r="G63" s="166" t="n">
        <f aca="false">IF(G30-G61&lt;0,0,G30-G61)</f>
        <v>0</v>
      </c>
      <c r="H63" s="166" t="n">
        <f aca="false">IF(H30-H61&lt;0,0,H30-H61)</f>
        <v>0</v>
      </c>
      <c r="I63" s="167" t="n">
        <f aca="false">IF(I30-I61&lt;0,0,I30-I61)</f>
        <v>0</v>
      </c>
    </row>
    <row r="64" customFormat="false" ht="16.5" hidden="false" customHeight="false" outlineLevel="0" collapsed="false">
      <c r="A64" s="168" t="s">
        <v>245</v>
      </c>
      <c r="B64" s="169"/>
      <c r="C64" s="169"/>
      <c r="D64" s="170" t="n">
        <f aca="false">PGL_Supplies!V7/1000</f>
        <v>243.044</v>
      </c>
      <c r="E64" s="170" t="n">
        <f aca="false">PGL_Supplies!V8/1000</f>
        <v>243.044</v>
      </c>
      <c r="F64" s="170" t="n">
        <f aca="false">PGL_Supplies!V9/1000</f>
        <v>243.044</v>
      </c>
      <c r="G64" s="170" t="n">
        <f aca="false">PGL_Supplies!V10/1000</f>
        <v>243.044</v>
      </c>
      <c r="H64" s="170" t="n">
        <f aca="false">PGL_Supplies!V11/1000</f>
        <v>243.044</v>
      </c>
      <c r="I64" s="171" t="n">
        <f aca="false">PGL_Supplies!V12/1000</f>
        <v>243.044</v>
      </c>
    </row>
    <row r="65" customFormat="false" ht="15.75" hidden="false" customHeight="false" outlineLevel="0" collapsed="false"/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CAMPJ</cp:lastModifiedBy>
  <cp:lastPrinted>2001-04-18T15:37:30Z</cp:lastPrinted>
  <cp:revision>0</cp:revision>
  <dc:subject/>
  <dc:title/>
</cp:coreProperties>
</file>