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9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16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<sst xmlns="http://schemas.openxmlformats.org/spreadsheetml/2006/main" count="2143" uniqueCount="799">
  <si>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</si>
  <si>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</si>
  <si>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</si>
  <si>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</si>
  <si>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</si>
  <si>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</si>
  <si>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</si>
  <si>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</si>
  <si>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</si>
  <si>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</si>
  <si>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</si>
  <si>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</si>
  <si>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</si>
  <si>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</si>
  <si>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</si>
  <si>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</si>
  <si>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</si>
  <si>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</si>
  <si>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</si>
  <si>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</si>
  <si>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</si>
  <si>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</si>
  <si>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</si>
  <si>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</si>
  <si>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</si>
  <si>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</si>
  <si>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</si>
  <si>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</si>
  <si>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</si>
  <si>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AT NIGHT, CLOUDY WITH SNOW LIKELY. 1" ACCUM. NORTH WINDS 15/25 MPH.</t>
  </si>
  <si>
    <t xml:space="preserve">RAIN</t>
  </si>
  <si>
    <t xml:space="preserve">LIGHT SNOW OR FLURRIES…MAINLY SOUTH AND N.E. INDIANA..ENDING THIS A.M. BE</t>
  </si>
  <si>
    <t xml:space="preserve">COMING PARTLY SUNNY. NORTH WINDS 10/15. AT NIGHT, CLEAR AND COLD. </t>
  </si>
  <si>
    <t xml:space="preserve">S</t>
  </si>
  <si>
    <t xml:space="preserve">TSTORM</t>
  </si>
  <si>
    <t xml:space="preserve">SUNNY AND WARMER. AT NIGHT, FAIR.</t>
  </si>
  <si>
    <t xml:space="preserve">MOSTLY CLOUDY.</t>
  </si>
  <si>
    <t xml:space="preserve">PARTLY SUNNY.</t>
  </si>
  <si>
    <t xml:space="preserve">A CHANCE OF SHOWERS.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</si>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</sst>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6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0</v>
      </c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G13" s="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11"/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FRI</v>
      </c>
      <c r="I1" s="175" t="n">
        <f aca="false">D4</f>
        <v>36966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36966</v>
      </c>
      <c r="E4" s="177" t="n">
        <f aca="false">Weather_Input!A6</f>
        <v>36967</v>
      </c>
      <c r="F4" s="177" t="n">
        <f aca="false">Weather_Input!A7</f>
        <v>36968</v>
      </c>
      <c r="G4" s="177" t="n">
        <f aca="false">Weather_Input!A8</f>
        <v>36969</v>
      </c>
      <c r="H4" s="177" t="n">
        <f aca="false">Weather_Input!A9</f>
        <v>36970</v>
      </c>
      <c r="I4" s="178" t="n">
        <f aca="false">Weather_Input!A10</f>
        <v>36971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33/30/32</v>
      </c>
      <c r="E5" s="179" t="str">
        <f aca="false">TEXT(Weather_Input!B6,"0")&amp;"/"&amp;TEXT(Weather_Input!C6,"0")&amp;"/"&amp;TEXT((Weather_Input!B6+Weather_Input!C6)/2,"0")</f>
        <v>36/19/28</v>
      </c>
      <c r="F5" s="179" t="str">
        <f aca="false">TEXT(Weather_Input!B7,"0")&amp;"/"&amp;TEXT(Weather_Input!C7,"0")&amp;"/"&amp;TEXT((Weather_Input!B7+Weather_Input!C7)/2,"0")</f>
        <v>44/29/37</v>
      </c>
      <c r="G5" s="179" t="str">
        <f aca="false">TEXT(Weather_Input!B8,"0")&amp;"/"&amp;TEXT(Weather_Input!C8,"0")&amp;"/"&amp;TEXT((Weather_Input!B8+Weather_Input!C8)/2,"0")</f>
        <v>47/32/40</v>
      </c>
      <c r="H5" s="179" t="str">
        <f aca="false">TEXT(Weather_Input!B9,"0")&amp;"/"&amp;TEXT(Weather_Input!C9,"0")&amp;"/"&amp;TEXT((Weather_Input!B9+Weather_Input!C9)/2,"0")</f>
        <v>51/35/43</v>
      </c>
      <c r="I5" s="180" t="str">
        <f aca="false">TEXT(Weather_Input!B10,"0")&amp;"/"&amp;TEXT(Weather_Input!C10,"0")&amp;"/"&amp;TEXT((Weather_Input!B10+Weather_Input!C10)/2,"0")</f>
        <v>49/31/40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173</v>
      </c>
      <c r="E6" s="181" t="n">
        <f aca="true">VLOOKUP(E4,NSG_Sendouts,CELL("Col",NSG_Deliveries!C6),FALSE())/1000</f>
        <v>164</v>
      </c>
      <c r="F6" s="181" t="n">
        <f aca="true">VLOOKUP(F4,NSG_Sendouts,CELL("Col",NSG_Deliveries!C7),FALSE())/1000</f>
        <v>137</v>
      </c>
      <c r="G6" s="181" t="n">
        <f aca="true">VLOOKUP(G4,NSG_Sendouts,CELL("Col",NSG_Deliveries!C8),FALSE())/1000</f>
        <v>128</v>
      </c>
      <c r="H6" s="181" t="n">
        <f aca="true">VLOOKUP(H4,NSG_Sendouts,CELL("Col",NSG_Deliveries!C9),FALSE())/1000</f>
        <v>118</v>
      </c>
      <c r="I6" s="182" t="n">
        <f aca="true">VLOOKUP(I4,NSG_Sendouts,CELL("Col",NSG_Deliveries!C10),FALSE())/1000</f>
        <v>126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4.428</v>
      </c>
      <c r="E13" s="181" t="n">
        <f aca="false">NSG_Requirements!H8/1000</f>
        <v>1.65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177.428</v>
      </c>
      <c r="E19" s="186" t="n">
        <f aca="false">SUM(E6:E18)</f>
        <v>165.65</v>
      </c>
      <c r="F19" s="186" t="n">
        <f aca="false">SUM(F6:F18)</f>
        <v>137</v>
      </c>
      <c r="G19" s="186" t="n">
        <f aca="false">SUM(G6:G18)</f>
        <v>128</v>
      </c>
      <c r="H19" s="186" t="n">
        <f aca="false">SUM(H6:H18)</f>
        <v>118</v>
      </c>
      <c r="I19" s="187" t="n">
        <f aca="false">SUM(I6:I18)</f>
        <v>126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65</v>
      </c>
      <c r="E23" s="181" t="n">
        <f aca="false">NSG_Supplies!L8/1000</f>
        <v>60</v>
      </c>
      <c r="F23" s="181" t="n">
        <f aca="false">NSG_Supplies!L9/1000</f>
        <v>40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0.657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91.025</v>
      </c>
      <c r="E32" s="181" t="n">
        <f aca="false">NSG_Supplies!R8/1000</f>
        <v>85.649</v>
      </c>
      <c r="F32" s="181" t="n">
        <f aca="false">NSG_Supplies!R9/1000</f>
        <v>85.649</v>
      </c>
      <c r="G32" s="181" t="n">
        <f aca="false">NSG_Supplies!R10/1000</f>
        <v>85.649</v>
      </c>
      <c r="H32" s="181" t="n">
        <f aca="false">NSG_Supplies!R11/1000</f>
        <v>85.649</v>
      </c>
      <c r="I32" s="182" t="n">
        <f aca="false">NSG_Supplies!R12/1000</f>
        <v>85.649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176.682</v>
      </c>
      <c r="E37" s="196" t="n">
        <f aca="false">SUM(E22:E36)</f>
        <v>165.649</v>
      </c>
      <c r="F37" s="196" t="n">
        <f aca="false">SUM(F22:F36)</f>
        <v>145.649</v>
      </c>
      <c r="G37" s="196" t="n">
        <f aca="false">SUM(G22:G36)</f>
        <v>125.649</v>
      </c>
      <c r="H37" s="196" t="n">
        <f aca="false">SUM(H22:H36)</f>
        <v>125.649</v>
      </c>
      <c r="I37" s="197" t="n">
        <f aca="false">SUM(I22:I36)</f>
        <v>125.649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8.649</v>
      </c>
      <c r="G38" s="200" t="n">
        <f aca="false">IF(G37-G19&lt;0,0,G37-G19)</f>
        <v>0</v>
      </c>
      <c r="H38" s="200" t="n">
        <f aca="false">IF(H37-H19&lt;0,0,H37-H19)</f>
        <v>7.649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0.745999999999981</v>
      </c>
      <c r="E39" s="203" t="n">
        <f aca="false">IF(E19-E37&lt;0,0,E19-E37)</f>
        <v>0.00100000000000477</v>
      </c>
      <c r="F39" s="203" t="n">
        <f aca="false">IF(F19-F37&lt;0,0,F19-F37)</f>
        <v>0</v>
      </c>
      <c r="G39" s="203" t="n">
        <f aca="false">IF(G19-G37&lt;0,0,G19-G37)</f>
        <v>2.351</v>
      </c>
      <c r="H39" s="203" t="n">
        <f aca="false">IF(H19-H37&lt;0,0,H19-H37)</f>
        <v>0</v>
      </c>
      <c r="I39" s="204" t="n">
        <f aca="false">IF(I19-I37&lt;0,0,I19-I37)</f>
        <v>0.350999999999999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41.016</v>
      </c>
      <c r="E40" s="207" t="n">
        <f aca="false">NSG_Supplies!S8/1000</f>
        <v>41.016</v>
      </c>
      <c r="F40" s="207" t="n">
        <f aca="false">NSG_Supplies!S9/1000</f>
        <v>41.016</v>
      </c>
      <c r="G40" s="207" t="n">
        <f aca="false">NSG_Supplies!S10/1000</f>
        <v>41.016</v>
      </c>
      <c r="H40" s="207" t="n">
        <f aca="false">NSG_Supplies!S11/1000</f>
        <v>41.016</v>
      </c>
      <c r="I40" s="208" t="n">
        <f aca="false">NSG_Supplies!S12/1000</f>
        <v>41.016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13.1</v>
      </c>
      <c r="E42" s="212" t="n">
        <f aca="false">Weather_Input!D6</f>
        <v>8</v>
      </c>
      <c r="F42" s="212" t="n">
        <f aca="false">Weather_Input!D7</f>
        <v>8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" activeCellId="0" sqref="C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2</v>
      </c>
      <c r="B1" s="215"/>
      <c r="C1" s="215"/>
      <c r="D1" s="215"/>
      <c r="E1" s="216" t="s">
        <v>265</v>
      </c>
      <c r="F1" s="217" t="n">
        <f aca="false">Weather_Input!A5</f>
        <v>36966</v>
      </c>
      <c r="G1" s="218" t="str">
        <f aca="false">CHOOSE(WEEKDAY(F1),"SUN","MON","TUE","WED","THU","FRI","SAT")</f>
        <v>FRI</v>
      </c>
      <c r="H1" s="219" t="s">
        <v>266</v>
      </c>
      <c r="I1" s="220"/>
    </row>
    <row r="2" customFormat="false" ht="15.75" hidden="false" customHeight="false" outlineLevel="0" collapsed="false">
      <c r="A2" s="221" t="s">
        <v>0</v>
      </c>
      <c r="B2" s="222" t="s">
        <v>267</v>
      </c>
      <c r="C2" s="223" t="n">
        <v>30</v>
      </c>
      <c r="D2" s="224" t="s">
        <v>268</v>
      </c>
      <c r="E2" s="225"/>
      <c r="F2" s="226" t="s">
        <v>269</v>
      </c>
      <c r="G2" s="225" t="s">
        <v>0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0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33</v>
      </c>
      <c r="C4" s="231" t="n">
        <f aca="false">Weather_Input!C5</f>
        <v>30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0</v>
      </c>
      <c r="C6" s="243" t="n">
        <f aca="false">PGL_Deliveries!C5/1000</f>
        <v>1058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232.063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278</v>
      </c>
      <c r="B11" s="262" t="s">
        <v>0</v>
      </c>
      <c r="C11" s="255" t="n">
        <f aca="false">B41</f>
        <v>61.5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279</v>
      </c>
      <c r="B12" s="262" t="s">
        <v>0</v>
      </c>
      <c r="C12" s="255" t="n">
        <f aca="false">B55</f>
        <v>-251.426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0</v>
      </c>
      <c r="C13" s="255" t="n">
        <f aca="false">B47</f>
        <v>142.615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0</v>
      </c>
      <c r="C14" s="255" t="n">
        <f aca="false">I60</f>
        <v>296.445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0</v>
      </c>
      <c r="C15" s="264" t="n">
        <f aca="false">PGL_Supplies!I7/1000</f>
        <v>2.216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2</v>
      </c>
      <c r="C16" s="255" t="n">
        <f aca="false">+B63</f>
        <v>163.494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2</v>
      </c>
      <c r="C17" s="264" t="n">
        <f aca="false">PGL_Supplies!B7/1000</f>
        <v>0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0</v>
      </c>
      <c r="C18" s="246" t="n">
        <f aca="false">PGL_Requirements!G7/1000</f>
        <v>19.003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0</v>
      </c>
      <c r="C19" s="268" t="n">
        <f aca="false">SUM(C9:C17)-C18</f>
        <v>627.904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0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0</v>
      </c>
      <c r="C22" s="255" t="n">
        <f aca="false">C6+C7-C19</f>
        <v>430.096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291</v>
      </c>
      <c r="B24" s="282" t="s">
        <v>0</v>
      </c>
      <c r="C24" s="283" t="n">
        <f aca="false">SUM(B54+B56+B57)</f>
        <v>3.78285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292</v>
      </c>
      <c r="B25" s="289" t="s">
        <v>0</v>
      </c>
      <c r="C25" s="290" t="n">
        <f aca="false">SUM(C22:C24)</f>
        <v>433.87885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0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-82.132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-356.465</v>
      </c>
      <c r="D29" s="308" t="s">
        <v>0</v>
      </c>
      <c r="E29" s="307" t="n">
        <f aca="false">-PGL_Supplies!AC7/1000</f>
        <v>-356.465</v>
      </c>
      <c r="F29" s="304"/>
      <c r="G29" s="307" t="n">
        <f aca="false">-PGL_Supplies!AC7/1000</f>
        <v>-356.465</v>
      </c>
      <c r="H29" s="299"/>
      <c r="I29" s="300" t="n">
        <f aca="false">-PGL_Supplies!AC7/1000</f>
        <v>-356.465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7.2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0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239.263</v>
      </c>
      <c r="C33" s="330" t="s">
        <v>0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232.063</v>
      </c>
      <c r="C34" s="335" t="s">
        <v>0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0.5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62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61.5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143.615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1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142.615</v>
      </c>
      <c r="C47" s="370"/>
      <c r="D47" s="336"/>
      <c r="E47" s="371"/>
      <c r="F47" s="372" t="s">
        <v>0</v>
      </c>
      <c r="G47" s="373" t="s">
        <v>327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290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252.19</v>
      </c>
      <c r="C49" s="326"/>
      <c r="D49" s="326"/>
      <c r="E49" s="326"/>
      <c r="F49" s="379" t="s">
        <v>328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1.254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0.49</v>
      </c>
      <c r="C53" s="326"/>
      <c r="D53" s="326"/>
      <c r="E53" s="326"/>
      <c r="F53" s="388" t="s">
        <v>336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3.78285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-251.426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0.1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0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296.545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8.7</v>
      </c>
      <c r="C60" s="408" t="s">
        <v>0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296.445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172.194</v>
      </c>
      <c r="C62" s="419" t="s">
        <v>0</v>
      </c>
      <c r="D62" s="331"/>
      <c r="E62" s="420"/>
      <c r="F62" s="421" t="s">
        <v>350</v>
      </c>
      <c r="G62" s="318"/>
      <c r="H62" s="422" t="s">
        <v>0</v>
      </c>
      <c r="I62" s="423" t="n">
        <f aca="false">H57-I59</f>
        <v>296.545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163.494</v>
      </c>
      <c r="C63" s="369" t="s">
        <v>0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0</v>
      </c>
      <c r="D64" s="430" t="s">
        <v>0</v>
      </c>
      <c r="E64" s="431" t="s">
        <v>0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0</v>
      </c>
      <c r="D65" s="434" t="s">
        <v>0</v>
      </c>
      <c r="E65" s="435" t="s">
        <v>0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0</v>
      </c>
      <c r="D66" s="441" t="s">
        <v>0</v>
      </c>
      <c r="E66" s="442" t="s">
        <v>0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360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365</v>
      </c>
      <c r="G70" s="461"/>
      <c r="H70" s="462" t="s">
        <v>366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265</v>
      </c>
      <c r="F1" s="218" t="str">
        <f aca="false">CHOOSE(WEEKDAY(G1),"SUN","MON","TUE","WED","THU","FRI","SAT")</f>
        <v>FRI</v>
      </c>
      <c r="G1" s="467" t="n">
        <f aca="false">Weather_Input!A5</f>
        <v>36966</v>
      </c>
      <c r="H1" s="216" t="s">
        <v>266</v>
      </c>
      <c r="I1" s="220"/>
    </row>
    <row r="2" customFormat="false" ht="20.25" hidden="false" customHeight="false" outlineLevel="0" collapsed="false">
      <c r="A2" s="468" t="s">
        <v>0</v>
      </c>
      <c r="B2" s="469" t="s">
        <v>367</v>
      </c>
      <c r="C2" s="470" t="n">
        <v>30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33</v>
      </c>
      <c r="C4" s="481" t="n">
        <f aca="false">Weather_Input!C5</f>
        <v>30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173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87.343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20.657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65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0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87.343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4.428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-91.025</v>
      </c>
      <c r="D26" s="556"/>
      <c r="E26" s="548" t="n">
        <f aca="false">-NSG_Supplies!R7/1000</f>
        <v>-91.025</v>
      </c>
      <c r="F26" s="556"/>
      <c r="G26" s="548" t="n">
        <f aca="false">-NSG_Supplies!R7/1000</f>
        <v>-91.025</v>
      </c>
      <c r="H26" s="555"/>
      <c r="I26" s="557" t="n">
        <f aca="false">-NSG_Supplies!R7/1000</f>
        <v>-91.025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65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65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0.657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20.657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265</v>
      </c>
      <c r="F1" s="625" t="n">
        <f aca="false">Weather_Input!A5</f>
        <v>36966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33</v>
      </c>
      <c r="C5" s="278" t="n">
        <f aca="false">Weather_Input!C5</f>
        <v>30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1058</v>
      </c>
      <c r="C8" s="633" t="n">
        <f aca="false">NSG_Deliveries!C5/1000</f>
        <v>173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61.5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479.698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2.216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150.567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1.254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19.003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-676.232</v>
      </c>
      <c r="C18" s="647" t="n">
        <f aca="false">-I63</f>
        <v>-65</v>
      </c>
      <c r="D18" s="648" t="s">
        <v>0</v>
      </c>
      <c r="E18" s="647" t="n">
        <f aca="false">-I63</f>
        <v>-65</v>
      </c>
      <c r="F18" s="648" t="s">
        <v>0</v>
      </c>
      <c r="G18" s="647" t="n">
        <f aca="false">-I63</f>
        <v>-65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381.768</v>
      </c>
      <c r="C20" s="651" t="n">
        <f aca="false">C8+C18+C19</f>
        <v>108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3.78285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385.55085</v>
      </c>
      <c r="C23" s="655" t="n">
        <f aca="false">C20</f>
        <v>108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0.49</v>
      </c>
      <c r="C27" s="662" t="n">
        <f aca="false">NSG_Requirements!P7/1000</f>
        <v>0</v>
      </c>
      <c r="D27" s="662" t="n">
        <f aca="false">PGL_Requirements!R7/1000</f>
        <v>0.49</v>
      </c>
      <c r="E27" s="662" t="n">
        <f aca="false">NSG_Requirements!P7/1000</f>
        <v>0</v>
      </c>
      <c r="F27" s="662" t="n">
        <f aca="false">PGL_Requirements!R7/1000</f>
        <v>0.49</v>
      </c>
      <c r="G27" s="662" t="n">
        <f aca="false">NSG_Requirements!P7/1000</f>
        <v>0</v>
      </c>
      <c r="H27" s="663" t="n">
        <f aca="false">+B27</f>
        <v>0.49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-356.465</v>
      </c>
      <c r="C32" s="325" t="n">
        <f aca="false">-NSG_Supplies!R7/1000</f>
        <v>-91.025</v>
      </c>
      <c r="D32" s="325" t="n">
        <f aca="false">B32</f>
        <v>-356.465</v>
      </c>
      <c r="E32" s="325" t="n">
        <f aca="false">C32</f>
        <v>-91.025</v>
      </c>
      <c r="F32" s="325" t="n">
        <f aca="false">B32</f>
        <v>-356.465</v>
      </c>
      <c r="G32" s="325" t="n">
        <f aca="false">C32</f>
        <v>-91.025</v>
      </c>
      <c r="H32" s="666" t="n">
        <f aca="false">B32</f>
        <v>-356.465</v>
      </c>
      <c r="I32" s="667" t="n">
        <f aca="false">C32</f>
        <v>-91.025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-41.016</v>
      </c>
      <c r="D33" s="325" t="n">
        <f aca="false">B33</f>
        <v>-0</v>
      </c>
      <c r="E33" s="325" t="n">
        <f aca="false">C33</f>
        <v>-41.016</v>
      </c>
      <c r="F33" s="325" t="n">
        <f aca="false">B33</f>
        <v>-0</v>
      </c>
      <c r="G33" s="325" t="n">
        <f aca="false">C33</f>
        <v>-41.016</v>
      </c>
      <c r="H33" s="666" t="n">
        <f aca="false">B33</f>
        <v>-0</v>
      </c>
      <c r="I33" s="667" t="n">
        <f aca="false">C33</f>
        <v>-41.016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0</v>
      </c>
      <c r="C35" s="662" t="n">
        <f aca="false">NSG_Requirements!H7/1000</f>
        <v>4.428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-82.132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252.19</v>
      </c>
      <c r="C40" s="325" t="s">
        <v>0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0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0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1.254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3.78285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3.78285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1.254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446</v>
      </c>
      <c r="C49" s="688"/>
      <c r="D49" s="688"/>
      <c r="E49" s="689" t="s">
        <v>0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343.283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143.615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7.2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479.698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61.5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65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61.5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468</v>
      </c>
      <c r="D63" s="688"/>
      <c r="E63" s="710" t="s">
        <v>0</v>
      </c>
      <c r="F63" s="690" t="s">
        <v>469</v>
      </c>
      <c r="G63" s="326"/>
      <c r="H63" s="699"/>
      <c r="I63" s="664" t="n">
        <f aca="false">I58+I60+I56-H56</f>
        <v>65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239.263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163.494</v>
      </c>
      <c r="C65" s="408" t="s">
        <v>0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478</v>
      </c>
      <c r="G69" s="714" t="s">
        <v>0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252.19</v>
      </c>
      <c r="C70" s="717" t="s">
        <v>0</v>
      </c>
      <c r="D70" s="326"/>
      <c r="E70" s="409"/>
      <c r="F70" s="723" t="s">
        <v>481</v>
      </c>
      <c r="G70" s="714" t="s">
        <v>0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8.7</v>
      </c>
      <c r="C71" s="408" t="s">
        <v>0</v>
      </c>
      <c r="D71" s="326"/>
      <c r="E71" s="409"/>
      <c r="F71" s="713" t="s">
        <v>484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150.567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FRI</v>
      </c>
      <c r="H73" s="736" t="n">
        <f aca="false">Weather_Input!A5</f>
        <v>36966</v>
      </c>
      <c r="I73" s="384"/>
    </row>
    <row r="74" customFormat="false" ht="17.1" hidden="false" customHeight="true" outlineLevel="0" collapsed="false">
      <c r="A74" s="712" t="s">
        <v>487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0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61.5</v>
      </c>
      <c r="D97" s="232"/>
      <c r="E97" s="255" t="n">
        <f aca="false">+C97</f>
        <v>61.5</v>
      </c>
      <c r="F97" s="232"/>
      <c r="G97" s="255" t="n">
        <f aca="false">+C97</f>
        <v>61.5</v>
      </c>
      <c r="H97" s="232"/>
      <c r="I97" s="261" t="n">
        <f aca="false">+C97</f>
        <v>61.5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1.254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-7713.102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402.757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19.003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0.5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-62</v>
      </c>
      <c r="C116" s="668" t="n">
        <f aca="false">-NSG_Supplies!W7/1000</f>
        <v>-0</v>
      </c>
      <c r="D116" s="325" t="n">
        <f aca="false">-PGL_Supplies!Z7/1000</f>
        <v>-62</v>
      </c>
      <c r="E116" s="325" t="n">
        <f aca="false">-NSG_Supplies!W7/1000</f>
        <v>-0</v>
      </c>
      <c r="F116" s="325" t="n">
        <f aca="false">-PGL_Supplies!Z7/1000</f>
        <v>-62</v>
      </c>
      <c r="G116" s="325" t="n">
        <f aca="false">-NSG_Supplies!W7/1000</f>
        <v>-0</v>
      </c>
      <c r="H116" s="666" t="n">
        <f aca="false">-PGL_Supplies!Z7/1000</f>
        <v>-62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-143.615</v>
      </c>
      <c r="C117" s="325" t="n">
        <f aca="false">-NSG_Supplies!X7/1000</f>
        <v>-0</v>
      </c>
      <c r="D117" s="325" t="n">
        <f aca="false">-PGL_Supplies!AA7/1000</f>
        <v>-143.615</v>
      </c>
      <c r="E117" s="325" t="n">
        <f aca="false">-NSG_Supplies!X7/1000</f>
        <v>-0</v>
      </c>
      <c r="F117" s="325" t="n">
        <f aca="false">-PGL_Supplies!AA7/1000</f>
        <v>-143.615</v>
      </c>
      <c r="G117" s="325" t="n">
        <f aca="false">-NSG_Supplies!X7/1000</f>
        <v>-0</v>
      </c>
      <c r="H117" s="666" t="n">
        <f aca="false">-PGL_Supplies!AA7/1000</f>
        <v>-143.615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-41.016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0</v>
      </c>
      <c r="C127" s="325" t="s">
        <v>0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0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0.5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62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61.5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7200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143.615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1000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343.283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-7713.102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327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252.19</v>
      </c>
      <c r="C143" s="326"/>
      <c r="D143" s="326"/>
      <c r="E143" s="326"/>
      <c r="F143" s="375" t="s">
        <v>290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1.254</v>
      </c>
      <c r="C146" s="326"/>
      <c r="D146" s="326"/>
      <c r="E146" s="326"/>
      <c r="F146" s="385" t="s">
        <v>332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0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3.78285</v>
      </c>
      <c r="C148" s="331"/>
      <c r="D148" s="331"/>
      <c r="E148" s="331"/>
      <c r="F148" s="388" t="s">
        <v>336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1.254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8.7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172.194</v>
      </c>
      <c r="C159" s="717" t="s">
        <v>0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239.263</v>
      </c>
      <c r="C160" s="419" t="s">
        <v>0</v>
      </c>
      <c r="D160" s="331"/>
      <c r="E160" s="420"/>
      <c r="F160" s="447" t="s">
        <v>360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0</v>
      </c>
      <c r="D161" s="782"/>
      <c r="E161" s="783"/>
      <c r="F161" s="784" t="s">
        <v>362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402.757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45927.0034931384</v>
      </c>
      <c r="F22" s="9" t="s">
        <v>535</v>
      </c>
      <c r="G22" s="800" t="n">
        <f aca="true">NOW()</f>
        <v>45927.0034931385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45927.0034931526</v>
      </c>
      <c r="F22" s="9" t="s">
        <v>535</v>
      </c>
      <c r="G22" s="800" t="n">
        <f aca="true">NOW()</f>
        <v>45927.0034931527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0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0</v>
      </c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Friday</v>
      </c>
      <c r="B5" s="821" t="n">
        <f aca="false">Weather_Input!A5</f>
        <v>36966</v>
      </c>
      <c r="C5" s="14"/>
      <c r="D5" s="822" t="s">
        <v>563</v>
      </c>
      <c r="E5" s="823" t="n">
        <f aca="false">Weather_Input!B5</f>
        <v>33</v>
      </c>
      <c r="F5" s="824" t="s">
        <v>564</v>
      </c>
      <c r="G5" s="825" t="n">
        <f aca="false">Weather_Input!H5</f>
        <v>33</v>
      </c>
      <c r="H5" s="826" t="s">
        <v>565</v>
      </c>
      <c r="I5" s="827" t="n">
        <f aca="true">G5-(VLOOKUP(B5,DD_Normal_Data,CELL("Col",B6),FALSE()))</f>
        <v>5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30</v>
      </c>
      <c r="F6" s="824" t="s">
        <v>566</v>
      </c>
      <c r="G6" s="825" t="n">
        <f aca="false">Weather_Input!F5</f>
        <v>509</v>
      </c>
      <c r="H6" s="826" t="s">
        <v>567</v>
      </c>
      <c r="I6" s="827" t="n">
        <f aca="true">G6-(VLOOKUP(B5,DD_Normal_Data,CELL("Col",C7),FALSE()))</f>
        <v>23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30.7</v>
      </c>
      <c r="F7" s="824" t="s">
        <v>569</v>
      </c>
      <c r="G7" s="825" t="n">
        <f aca="false">Weather_Input!G5</f>
        <v>5594</v>
      </c>
      <c r="H7" s="826" t="s">
        <v>569</v>
      </c>
      <c r="I7" s="829" t="n">
        <f aca="true">G7-(VLOOKUP(B5,DD_Normal_Data,CELL("Col",D4),FALSE()))</f>
        <v>313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AT NIGHT, CLOUDY WITH SNOW LIKELY. 1" ACCUM. NORTH WINDS 15/25 MPH.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Saturday</v>
      </c>
      <c r="B10" s="821" t="n">
        <f aca="false">Weather_Input!A6</f>
        <v>36967</v>
      </c>
      <c r="C10" s="14"/>
      <c r="D10" s="822" t="s">
        <v>563</v>
      </c>
      <c r="E10" s="823" t="n">
        <f aca="false">Weather_Input!B6</f>
        <v>36</v>
      </c>
      <c r="F10" s="824" t="s">
        <v>564</v>
      </c>
      <c r="G10" s="825" t="n">
        <f aca="false">IF(E12&lt;65,65-(Weather_Input!B6+Weather_Input!C6)/2,0)</f>
        <v>37.5</v>
      </c>
      <c r="H10" s="826" t="s">
        <v>565</v>
      </c>
      <c r="I10" s="827" t="n">
        <f aca="true">G10-(VLOOKUP(B10,DD_Normal_Data,CELL("Col",B11),FALSE()))</f>
        <v>10.5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19</v>
      </c>
      <c r="F11" s="824" t="s">
        <v>566</v>
      </c>
      <c r="G11" s="825" t="n">
        <f aca="false">IF(DAY(B10)=1,G10,G6+G10)</f>
        <v>546.5</v>
      </c>
      <c r="H11" s="826" t="s">
        <v>567</v>
      </c>
      <c r="I11" s="827" t="n">
        <f aca="true">G11-(VLOOKUP(B10,DD_Normal_Data,CELL("Col",C12),FALSE()))</f>
        <v>33.5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27.5</v>
      </c>
      <c r="F12" s="824" t="s">
        <v>569</v>
      </c>
      <c r="G12" s="825" t="n">
        <f aca="false">IF(AND(DAY(B10)=1,MONTH(B10)=8),G10,G7+G10)</f>
        <v>5631.5</v>
      </c>
      <c r="H12" s="826" t="s">
        <v>569</v>
      </c>
      <c r="I12" s="827" t="n">
        <f aca="true">G12-(VLOOKUP(B10,DD_Normal_Data,CELL("Col",D9),FALSE()))</f>
        <v>323.5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LIGHT SNOW OR FLURRIES…MAINLY SOUTH AND N.E. INDIANA..ENDING THIS A.M. BE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COMING PARTLY SUNNY. NORTH WINDS 10/15. AT NIGHT, CLEAR AND COLD.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Sunday</v>
      </c>
      <c r="B15" s="821" t="n">
        <f aca="false">Weather_Input!A7</f>
        <v>36968</v>
      </c>
      <c r="C15" s="14"/>
      <c r="D15" s="822" t="s">
        <v>563</v>
      </c>
      <c r="E15" s="823" t="n">
        <f aca="false">Weather_Input!B7</f>
        <v>44</v>
      </c>
      <c r="F15" s="824" t="s">
        <v>564</v>
      </c>
      <c r="G15" s="825" t="n">
        <f aca="false">IF(E17&lt;65,65-(Weather_Input!B7+Weather_Input!C7)/2,0)</f>
        <v>28.5</v>
      </c>
      <c r="H15" s="826" t="s">
        <v>565</v>
      </c>
      <c r="I15" s="827" t="n">
        <f aca="true">G15-(VLOOKUP(B15,DD_Normal_Data,CELL("Col",B16),FALSE()))</f>
        <v>1.5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29</v>
      </c>
      <c r="F16" s="824" t="s">
        <v>566</v>
      </c>
      <c r="G16" s="825" t="n">
        <f aca="false">IF(DAY(B15)=1,G15,G11+G15)</f>
        <v>575</v>
      </c>
      <c r="H16" s="826" t="s">
        <v>567</v>
      </c>
      <c r="I16" s="827" t="n">
        <f aca="true">G16-(VLOOKUP(B15,DD_Normal_Data,CELL("Col",C17),FALSE()))</f>
        <v>35</v>
      </c>
      <c r="DE16" s="28" t="s">
        <v>30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36.5</v>
      </c>
      <c r="F17" s="824" t="s">
        <v>569</v>
      </c>
      <c r="G17" s="825" t="n">
        <f aca="false">IF(AND(DAY(B15)=1,MONTH(B15)=8),G15,G12+G15)</f>
        <v>5660</v>
      </c>
      <c r="H17" s="826" t="s">
        <v>569</v>
      </c>
      <c r="I17" s="827" t="n">
        <f aca="true">G17-(VLOOKUP(B15,DD_Normal_Data,CELL("Col",D14),FALSE()))</f>
        <v>325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SUNNY AND WARMER. AT NIGHT, FAIR.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Monday</v>
      </c>
      <c r="B20" s="821" t="n">
        <f aca="false">Weather_Input!A8</f>
        <v>36969</v>
      </c>
      <c r="C20" s="14"/>
      <c r="D20" s="822" t="s">
        <v>563</v>
      </c>
      <c r="E20" s="823" t="n">
        <f aca="false">Weather_Input!B8</f>
        <v>47</v>
      </c>
      <c r="F20" s="824" t="s">
        <v>564</v>
      </c>
      <c r="G20" s="825" t="n">
        <f aca="false">IF(E22&lt;65,65-(Weather_Input!B8+Weather_Input!C8)/2,0)</f>
        <v>25.5</v>
      </c>
      <c r="H20" s="826" t="s">
        <v>565</v>
      </c>
      <c r="I20" s="827" t="n">
        <f aca="true">G20-(VLOOKUP(B20,DD_Normal_Data,CELL("Col",B21),FALSE()))</f>
        <v>-0.5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32</v>
      </c>
      <c r="F21" s="824" t="s">
        <v>566</v>
      </c>
      <c r="G21" s="825" t="n">
        <f aca="false">IF(DAY(B20)=1,G20,G16+G20)</f>
        <v>600.5</v>
      </c>
      <c r="H21" s="826" t="s">
        <v>567</v>
      </c>
      <c r="I21" s="827" t="n">
        <f aca="true">G21-(VLOOKUP(B20,DD_Normal_Data,CELL("Col",C22),FALSE()))</f>
        <v>34.5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39.5</v>
      </c>
      <c r="F22" s="824" t="s">
        <v>569</v>
      </c>
      <c r="G22" s="825" t="n">
        <f aca="false">IF(AND(DAY(B20)=1,MONTH(B20)=8),G20,G17+G20)</f>
        <v>5685.5</v>
      </c>
      <c r="H22" s="826" t="s">
        <v>569</v>
      </c>
      <c r="I22" s="827" t="n">
        <f aca="true">G22-(VLOOKUP(B20,DD_Normal_Data,CELL("Col",D19),FALSE()))</f>
        <v>324.5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MOSTLY CLOUDY.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Tuesday</v>
      </c>
      <c r="B25" s="821" t="n">
        <f aca="false">Weather_Input!A9</f>
        <v>36970</v>
      </c>
      <c r="C25" s="14"/>
      <c r="D25" s="822" t="s">
        <v>563</v>
      </c>
      <c r="E25" s="823" t="n">
        <f aca="false">Weather_Input!B9</f>
        <v>51</v>
      </c>
      <c r="F25" s="824" t="s">
        <v>564</v>
      </c>
      <c r="G25" s="825" t="n">
        <f aca="false">IF(E27&lt;65,65-(Weather_Input!B9+Weather_Input!C9)/2,0)</f>
        <v>22</v>
      </c>
      <c r="H25" s="826" t="s">
        <v>565</v>
      </c>
      <c r="I25" s="827" t="n">
        <f aca="true">G25-(VLOOKUP(B25,DD_Normal_Data,CELL("Col",B26),FALSE()))</f>
        <v>-4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35</v>
      </c>
      <c r="F26" s="824" t="s">
        <v>566</v>
      </c>
      <c r="G26" s="825" t="n">
        <f aca="false">IF(DAY(B25)=1,G25,G21+G25)</f>
        <v>622.5</v>
      </c>
      <c r="H26" s="826" t="s">
        <v>567</v>
      </c>
      <c r="I26" s="827" t="n">
        <f aca="true">G26-(VLOOKUP(B25,DD_Normal_Data,CELL("Col",C27),FALSE()))</f>
        <v>30.5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43</v>
      </c>
      <c r="F27" s="824" t="s">
        <v>569</v>
      </c>
      <c r="G27" s="825" t="n">
        <f aca="false">IF(AND(DAY(B25)=1,MONTH(B25)=8),G25,G22+G25)</f>
        <v>5707.5</v>
      </c>
      <c r="H27" s="826" t="s">
        <v>569</v>
      </c>
      <c r="I27" s="827" t="n">
        <f aca="true">G27-(VLOOKUP(B25,DD_Normal_Data,CELL("Col",D24),FALSE()))</f>
        <v>320.5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PARTLY SUNNY.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Wednesday</v>
      </c>
      <c r="B30" s="821" t="n">
        <f aca="false">Weather_Input!A10</f>
        <v>36971</v>
      </c>
      <c r="C30" s="14"/>
      <c r="D30" s="822" t="s">
        <v>563</v>
      </c>
      <c r="E30" s="823" t="n">
        <f aca="false">Weather_Input!B10</f>
        <v>49</v>
      </c>
      <c r="F30" s="824" t="s">
        <v>564</v>
      </c>
      <c r="G30" s="825" t="n">
        <f aca="false">IF(E32&lt;65,65-(Weather_Input!B10+Weather_Input!C10)/2,0)</f>
        <v>25</v>
      </c>
      <c r="H30" s="826" t="s">
        <v>565</v>
      </c>
      <c r="I30" s="827" t="n">
        <f aca="true">G30-(VLOOKUP(B30,DD_Normal_Data,CELL("Col",B31),FALSE()))</f>
        <v>-1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31</v>
      </c>
      <c r="F31" s="824" t="s">
        <v>566</v>
      </c>
      <c r="G31" s="825" t="n">
        <f aca="false">IF(DAY(B30)=1,G30,G26+G30)</f>
        <v>647.5</v>
      </c>
      <c r="H31" s="826" t="s">
        <v>567</v>
      </c>
      <c r="I31" s="827" t="n">
        <f aca="true">G31-(VLOOKUP(B30,DD_Normal_Data,CELL("Col",C32),FALSE()))</f>
        <v>29.5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40</v>
      </c>
      <c r="F32" s="824" t="s">
        <v>569</v>
      </c>
      <c r="G32" s="825" t="n">
        <f aca="false">IF(AND(DAY(B30)=1,MONTH(B30)=8),G30,G27+G30)</f>
        <v>5732.5</v>
      </c>
      <c r="H32" s="826" t="s">
        <v>569</v>
      </c>
      <c r="I32" s="827" t="n">
        <f aca="true">G32-(VLOOKUP(B30,DD_Normal_Data,CELL("Col",D29),FALSE()))</f>
        <v>319.5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A CHANCE OF SHOWERS.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36966</v>
      </c>
      <c r="C36" s="842" t="n">
        <f aca="false">B10</f>
        <v>36967</v>
      </c>
      <c r="D36" s="842" t="n">
        <f aca="false">B15</f>
        <v>36968</v>
      </c>
      <c r="E36" s="842" t="n">
        <f aca="false">B20</f>
        <v>36969</v>
      </c>
      <c r="F36" s="842" t="n">
        <f aca="false">B25</f>
        <v>36970</v>
      </c>
      <c r="G36" s="842" t="n">
        <f aca="false">B30</f>
        <v>36971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1058</v>
      </c>
      <c r="C37" s="843" t="n">
        <f aca="true">(VLOOKUP(C36,PGL_Sendouts,(CELL("COL",PGL_Deliveries!C7))))/1000</f>
        <v>1020</v>
      </c>
      <c r="D37" s="843" t="n">
        <f aca="true">(VLOOKUP(D36,PGL_Sendouts,(CELL("COL",PGL_Deliveries!C8))))/1000</f>
        <v>880</v>
      </c>
      <c r="E37" s="843" t="n">
        <f aca="true">(VLOOKUP(E36,PGL_Sendouts,(CELL("COL",PGL_Deliveries!C9))))/1000</f>
        <v>845</v>
      </c>
      <c r="F37" s="843" t="n">
        <f aca="true">(VLOOKUP(F36,PGL_Sendouts,(CELL("COL",PGL_Deliveries!C10))))/1000</f>
        <v>780</v>
      </c>
      <c r="G37" s="843" t="n">
        <f aca="true">(VLOOKUP(G36,PGL_Sendouts,(CELL("COL",PGL_Deliveries!C10))))/1000</f>
        <v>840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1350.96585</v>
      </c>
      <c r="C38" s="843" t="n">
        <f aca="false">PGL_6_Day_Report!E30</f>
        <v>1274.39</v>
      </c>
      <c r="D38" s="843" t="n">
        <f aca="false">PGL_6_Day_Report!F30</f>
        <v>1134.39</v>
      </c>
      <c r="E38" s="843" t="n">
        <f aca="false">PGL_6_Day_Report!G30</f>
        <v>1099.39</v>
      </c>
      <c r="F38" s="843" t="n">
        <f aca="false">PGL_6_Day_Report!H30</f>
        <v>1034.39</v>
      </c>
      <c r="G38" s="843" t="n">
        <f aca="false">PGL_6_Day_Report!I30</f>
        <v>1094.39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1030.819</v>
      </c>
      <c r="C39" s="843" t="n">
        <f aca="false">SUM(PGL_Supplies!Z8:AE8)/1000</f>
        <v>995.507</v>
      </c>
      <c r="D39" s="843" t="n">
        <f aca="false">SUM(PGL_Supplies!Z9:AE9)/1000</f>
        <v>910.623</v>
      </c>
      <c r="E39" s="843" t="n">
        <f aca="false">SUM(PGL_Supplies!Z10:AE10)/1000</f>
        <v>852.831</v>
      </c>
      <c r="F39" s="843" t="n">
        <f aca="false">SUM(PGL_Supplies!Z11:AE11)/1000</f>
        <v>852.831</v>
      </c>
      <c r="G39" s="843" t="n">
        <f aca="false">SUM(PGL_Supplies!Z12:AE12)/1000</f>
        <v>852.831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0.49</v>
      </c>
      <c r="C41" s="843" t="n">
        <f aca="false">SUM(PGL_Requirements!R7:U7)/1000</f>
        <v>0.49</v>
      </c>
      <c r="D41" s="843" t="n">
        <f aca="false">SUM(PGL_Requirements!R7:U7)/1000</f>
        <v>0.49</v>
      </c>
      <c r="E41" s="843" t="n">
        <f aca="false">SUM(PGL_Requirements!R7:U7)/1000</f>
        <v>0.49</v>
      </c>
      <c r="F41" s="843" t="n">
        <f aca="false">SUM(PGL_Requirements!R7:U7)/1000</f>
        <v>0.49</v>
      </c>
      <c r="G41" s="843" t="n">
        <f aca="false">SUM(PGL_Requirements!R7:U7)/1000</f>
        <v>0.49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343.283</v>
      </c>
      <c r="C42" s="843" t="n">
        <f aca="false">PGL_Supplies!V8/1000</f>
        <v>343.283</v>
      </c>
      <c r="D42" s="843" t="n">
        <f aca="false">PGL_Supplies!V9/1000</f>
        <v>343.283</v>
      </c>
      <c r="E42" s="843" t="n">
        <f aca="false">PGL_Supplies!V10/1000</f>
        <v>343.283</v>
      </c>
      <c r="F42" s="843" t="n">
        <f aca="false">PGL_Supplies!V11/1000</f>
        <v>343.283</v>
      </c>
      <c r="G42" s="843" t="n">
        <f aca="false">PGL_Supplies!V12/1000</f>
        <v>343.283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36966</v>
      </c>
      <c r="C44" s="842" t="n">
        <f aca="false">C36</f>
        <v>36967</v>
      </c>
      <c r="D44" s="842" t="n">
        <f aca="false">D36</f>
        <v>36968</v>
      </c>
      <c r="E44" s="842" t="n">
        <f aca="false">E36</f>
        <v>36969</v>
      </c>
      <c r="F44" s="842" t="n">
        <f aca="false">F36</f>
        <v>36970</v>
      </c>
      <c r="G44" s="842" t="n">
        <f aca="false">G36</f>
        <v>36971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173</v>
      </c>
      <c r="C45" s="843" t="n">
        <f aca="false">NSG_6_Day_Report!E6</f>
        <v>164</v>
      </c>
      <c r="D45" s="843" t="n">
        <f aca="false">NSG_6_Day_Report!F6</f>
        <v>137</v>
      </c>
      <c r="E45" s="843" t="n">
        <f aca="false">NSG_6_Day_Report!G6</f>
        <v>128</v>
      </c>
      <c r="F45" s="843" t="n">
        <f aca="false">NSG_6_Day_Report!H6</f>
        <v>118</v>
      </c>
      <c r="G45" s="843" t="n">
        <f aca="false">NSG_6_Day_Report!I6</f>
        <v>126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177.428</v>
      </c>
      <c r="C46" s="843" t="n">
        <f aca="false">NSG_6_Day_Report!E19</f>
        <v>165.65</v>
      </c>
      <c r="D46" s="843" t="n">
        <f aca="false">NSG_6_Day_Report!F19</f>
        <v>137</v>
      </c>
      <c r="E46" s="843" t="n">
        <f aca="false">NSG_6_Day_Report!G19</f>
        <v>128</v>
      </c>
      <c r="F46" s="843" t="n">
        <f aca="false">NSG_6_Day_Report!H19</f>
        <v>118</v>
      </c>
      <c r="G46" s="843" t="n">
        <f aca="false">NSG_6_Day_Report!I19</f>
        <v>126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111.025</v>
      </c>
      <c r="C47" s="843" t="n">
        <f aca="false">SUM(NSG_Supplies!P8:R8)/1000</f>
        <v>105.649</v>
      </c>
      <c r="D47" s="843" t="n">
        <f aca="false">SUM(NSG_Supplies!P9:R9)/1000</f>
        <v>105.649</v>
      </c>
      <c r="E47" s="843" t="n">
        <f aca="false">SUM(NSG_Supplies!P10:R10)/1000</f>
        <v>105.649</v>
      </c>
      <c r="F47" s="843" t="n">
        <f aca="false">SUM(NSG_Supplies!P11:R11)/1000</f>
        <v>105.649</v>
      </c>
      <c r="G47" s="843" t="n">
        <f aca="false">SUM(NSG_Supplies!P12:R12)/1000</f>
        <v>105.649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65</v>
      </c>
      <c r="C48" s="843" t="n">
        <f aca="false">SUM(NSG_Supplies!I8:M8)/1000</f>
        <v>60</v>
      </c>
      <c r="D48" s="843" t="n">
        <f aca="false">SUM(NSG_Supplies!I9:M9)/1000</f>
        <v>40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41.016</v>
      </c>
      <c r="C50" s="843" t="n">
        <f aca="false">NSG_Supplies!S8/1000</f>
        <v>41.016</v>
      </c>
      <c r="D50" s="843" t="n">
        <f aca="false">NSG_Supplies!S9/1000</f>
        <v>41.016</v>
      </c>
      <c r="E50" s="843" t="n">
        <f aca="false">NSG_Supplies!S10/1000</f>
        <v>41.016</v>
      </c>
      <c r="F50" s="843" t="n">
        <f aca="false">NSG_Supplies!S11/1000</f>
        <v>41.016</v>
      </c>
      <c r="G50" s="843" t="n">
        <f aca="false">NSG_Supplies!S12/1000</f>
        <v>41.016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36966</v>
      </c>
      <c r="C52" s="842" t="n">
        <f aca="false">C36</f>
        <v>36967</v>
      </c>
      <c r="D52" s="842" t="n">
        <f aca="false">D36</f>
        <v>36968</v>
      </c>
      <c r="E52" s="842" t="n">
        <f aca="false">E36</f>
        <v>36969</v>
      </c>
      <c r="F52" s="842" t="n">
        <f aca="false">F36</f>
        <v>36970</v>
      </c>
      <c r="G52" s="842" t="n">
        <f aca="false">G36</f>
        <v>36971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252.19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Saturday</v>
      </c>
      <c r="C4" s="856" t="str">
        <f aca="false">Six_Day_Summary!A15</f>
        <v>Sunday</v>
      </c>
      <c r="D4" s="856" t="str">
        <f aca="false">Six_Day_Summary!A20</f>
        <v>Monday</v>
      </c>
      <c r="E4" s="856" t="str">
        <f aca="false">Six_Day_Summary!A25</f>
        <v>Tuesday</v>
      </c>
      <c r="F4" s="857" t="str">
        <f aca="false">Six_Day_Summary!A30</f>
        <v>Wednesday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36967</v>
      </c>
      <c r="C5" s="861" t="n">
        <f aca="false">Weather_Input!A7</f>
        <v>36968</v>
      </c>
      <c r="D5" s="861" t="n">
        <f aca="false">Weather_Input!A8</f>
        <v>36969</v>
      </c>
      <c r="E5" s="861" t="n">
        <f aca="false">Weather_Input!A9</f>
        <v>36970</v>
      </c>
      <c r="F5" s="862" t="n">
        <f aca="false">Weather_Input!A10</f>
        <v>36971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431.076</v>
      </c>
      <c r="C6" s="863" t="n">
        <f aca="false">PGL_Supplies!AC9/1000+PGL_Supplies!L9/1000-PGL_Requirements!O9/1000+C15-PGL_Requirements!T9/1000</f>
        <v>344.136</v>
      </c>
      <c r="D6" s="863" t="n">
        <f aca="false">PGL_Supplies!AC10/1000+PGL_Supplies!L10/1000-PGL_Requirements!O10/1000+D15-PGL_Requirements!T10/1000</f>
        <v>298.619</v>
      </c>
      <c r="E6" s="863" t="n">
        <f aca="false">PGL_Supplies!AC11/1000+PGL_Supplies!L11/1000-PGL_Requirements!O11/1000+E15-PGL_Requirements!T11/1000</f>
        <v>298.619</v>
      </c>
      <c r="F6" s="864" t="n">
        <f aca="false">PGL_Supplies!AC12/1000+PGL_Supplies!L12/1000-PGL_Requirements!O12/1000+F15-PGL_Requirements!T12/1000</f>
        <v>298.619</v>
      </c>
      <c r="G6" s="858"/>
      <c r="H6" s="0" t="s">
        <v>0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325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Saturday</v>
      </c>
      <c r="C21" s="877" t="str">
        <f aca="false">C4</f>
        <v>Sunday</v>
      </c>
      <c r="D21" s="877" t="str">
        <f aca="false">D4</f>
        <v>Monday</v>
      </c>
      <c r="E21" s="877" t="str">
        <f aca="false">E4</f>
        <v>Tuesday</v>
      </c>
      <c r="F21" s="878" t="str">
        <f aca="false">F4</f>
        <v>Wednesday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36967</v>
      </c>
      <c r="C22" s="880" t="n">
        <f aca="false">C5</f>
        <v>36968</v>
      </c>
      <c r="D22" s="880" t="n">
        <f aca="false">D5</f>
        <v>36969</v>
      </c>
      <c r="E22" s="880" t="n">
        <f aca="false">E5</f>
        <v>36970</v>
      </c>
      <c r="F22" s="881" t="n">
        <f aca="false">F5</f>
        <v>36971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83.999</v>
      </c>
      <c r="C23" s="869" t="n">
        <f aca="false">NSG_Supplies!R9/1000+NSG_Supplies!F9/1000-NSG_Requirements!H9/1000</f>
        <v>85.649</v>
      </c>
      <c r="D23" s="869" t="n">
        <f aca="false">NSG_Supplies!R10/1000+NSG_Supplies!F10/1000-NSG_Requirements!H10/1000</f>
        <v>85.649</v>
      </c>
      <c r="E23" s="869" t="n">
        <f aca="false">NSG_Supplies!R12/1000+NSG_Supplies!F11/1000-NSG_Requirements!H11/1000</f>
        <v>85.649</v>
      </c>
      <c r="F23" s="864" t="n">
        <f aca="false">NSG_Supplies!R12/1000+NSG_Supplies!F12/1000-NSG_Requirements!H12/1000</f>
        <v>85.649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36967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0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0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60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60</v>
      </c>
      <c r="D10" s="903"/>
      <c r="E10" s="904" t="n">
        <f aca="false">AVERAGE(C10/24)</f>
        <v>2.5</v>
      </c>
      <c r="F10" s="891" t="s">
        <v>507</v>
      </c>
      <c r="G10" s="899" t="n">
        <f aca="false">PGL_Supplies!AB8/1000</f>
        <v>236.672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619</v>
      </c>
      <c r="C11" s="899" t="n">
        <f aca="false">PGL_Supplies!Y8/1000</f>
        <v>220.975</v>
      </c>
      <c r="D11" s="894"/>
      <c r="E11" s="915"/>
      <c r="F11" s="916" t="s">
        <v>620</v>
      </c>
      <c r="G11" s="917" t="n">
        <f aca="false">G8+G10</f>
        <v>236.672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220.975</v>
      </c>
      <c r="D14" s="903"/>
      <c r="E14" s="904" t="n">
        <f aca="false">AVERAGE(C14/24)</f>
        <v>9.20729166666667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70</v>
      </c>
      <c r="D15" s="75"/>
      <c r="E15" s="890"/>
      <c r="F15" s="921" t="s">
        <v>627</v>
      </c>
      <c r="G15" s="917" t="n">
        <f aca="false">G8+G10</f>
        <v>236.672</v>
      </c>
      <c r="H15" s="903"/>
      <c r="I15" s="904" t="n">
        <f aca="false">AVERAGE(G15/24)</f>
        <v>9.86133333333333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70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70</v>
      </c>
      <c r="D20" s="928" t="s">
        <v>0</v>
      </c>
      <c r="E20" s="904" t="n">
        <f aca="false">AVERAGE(C20/24)</f>
        <v>2.91666666666667</v>
      </c>
      <c r="F20" s="929" t="s">
        <v>411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153.615</v>
      </c>
      <c r="D21" s="899" t="s">
        <v>0</v>
      </c>
      <c r="E21" s="890"/>
      <c r="F21" s="891" t="s">
        <v>159</v>
      </c>
      <c r="G21" s="899" t="n">
        <f aca="false">PGL_Supplies!AD8/1000</f>
        <v>156.054</v>
      </c>
      <c r="H21" s="899" t="s">
        <v>0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153.615</v>
      </c>
      <c r="D22" s="259"/>
      <c r="E22" s="918"/>
      <c r="F22" s="916" t="s">
        <v>620</v>
      </c>
      <c r="G22" s="917" t="n">
        <f aca="false">G21</f>
        <v>156.054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153.615</v>
      </c>
      <c r="D25" s="903"/>
      <c r="E25" s="904" t="n">
        <f aca="false">AVERAGE(C25/24)</f>
        <v>6.400625</v>
      </c>
      <c r="F25" s="366" t="s">
        <v>642</v>
      </c>
      <c r="G25" s="930" t="n">
        <f aca="false">G22+G23-H24+G20</f>
        <v>156.054</v>
      </c>
      <c r="H25" s="412"/>
      <c r="I25" s="931" t="n">
        <f aca="false">AVERAGE(G25/24)</f>
        <v>6.50225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36967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314</v>
      </c>
      <c r="F2" s="943" t="n">
        <v>257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5</v>
      </c>
      <c r="H9" s="944" t="n">
        <v>0</v>
      </c>
      <c r="I9" s="952"/>
      <c r="K9" s="939" t="s">
        <v>654</v>
      </c>
      <c r="L9" s="944" t="n">
        <f aca="false">NSG_Deliveries!C6/1000</f>
        <v>164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-0.00100000000000477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220.975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60</v>
      </c>
      <c r="N17" s="944"/>
    </row>
    <row r="18" customFormat="false" ht="15" hidden="false" customHeight="true" outlineLevel="0" collapsed="false">
      <c r="A18" s="961"/>
      <c r="C18" s="955" t="n">
        <v>364</v>
      </c>
      <c r="D18" s="959"/>
      <c r="E18" s="959"/>
      <c r="F18" s="943" t="n">
        <v>833</v>
      </c>
    </row>
    <row r="19" customFormat="false" ht="11.25" hidden="false" customHeight="false" outlineLevel="0" collapsed="false">
      <c r="A19" s="950" t="s">
        <v>659</v>
      </c>
      <c r="C19" s="932" t="s">
        <v>0</v>
      </c>
      <c r="J19" s="939" t="s">
        <v>660</v>
      </c>
      <c r="K19" s="944" t="n">
        <f aca="false">NSG_Supplies!R8/1000+NSG_Supplies!F8/1000-NSG_Requirements!H8/1000</f>
        <v>83.999</v>
      </c>
      <c r="N19" s="962"/>
    </row>
    <row r="20" customFormat="false" ht="17.25" hidden="false" customHeight="true" outlineLevel="0" collapsed="false">
      <c r="A20" s="944" t="n">
        <f aca="false">Billy_Sheet!G15</f>
        <v>236.672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153.615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156.054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1020</v>
      </c>
      <c r="L26" s="939" t="s">
        <v>654</v>
      </c>
      <c r="M26" s="944" t="n">
        <f aca="false">NSG_Deliveries!C6/1000</f>
        <v>164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593.316</v>
      </c>
      <c r="L28" s="934" t="s">
        <v>667</v>
      </c>
      <c r="M28" s="947" t="n">
        <f aca="false">SUM(J2+K17+K19+H11+H9-M26)</f>
        <v>-0.00100000000000477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36966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431.076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36967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4.39200000000005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434</v>
      </c>
      <c r="F38" s="955" t="n">
        <v>751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843.316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593.316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250</v>
      </c>
      <c r="C45" s="980" t="n">
        <v>500</v>
      </c>
      <c r="D45" s="981" t="n">
        <f aca="false">SUM(F2+F15)/2</f>
        <v>298.5</v>
      </c>
      <c r="E45" s="982"/>
      <c r="F45" s="983" t="n">
        <v>0.067</v>
      </c>
      <c r="G45" s="984" t="n">
        <f aca="false">(C45-D45)*F45</f>
        <v>13.5005</v>
      </c>
      <c r="H45" s="984" t="n">
        <f aca="false">(D45-B45)*F45</f>
        <v>3.2495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700</v>
      </c>
      <c r="C46" s="980" t="n">
        <v>800</v>
      </c>
      <c r="D46" s="981" t="n">
        <f aca="false">SUM(F18+F38)/2</f>
        <v>792</v>
      </c>
      <c r="E46" s="982"/>
      <c r="F46" s="983" t="n">
        <v>0.139</v>
      </c>
      <c r="G46" s="984" t="n">
        <f aca="false">(C46-D46)*F46</f>
        <v>1.112</v>
      </c>
      <c r="H46" s="984" t="n">
        <f aca="false">(D46-B46)*F46</f>
        <v>12.788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327</v>
      </c>
      <c r="E47" s="982"/>
      <c r="F47" s="983" t="n">
        <v>0.141</v>
      </c>
      <c r="G47" s="984" t="n">
        <f aca="false">(C47-D47)*F47</f>
        <v>24.393</v>
      </c>
      <c r="H47" s="984" t="n">
        <f aca="false">(D47-B47)*F47</f>
        <v>10.857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399</v>
      </c>
      <c r="E48" s="982"/>
      <c r="F48" s="983" t="n">
        <v>0.161</v>
      </c>
      <c r="G48" s="984" t="n">
        <f aca="false">(C48-D48)*F48</f>
        <v>64.561</v>
      </c>
      <c r="H48" s="984" t="n">
        <f aca="false">(D48-B48)*F48</f>
        <v>-0.161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103.5665</v>
      </c>
      <c r="H49" s="984" t="n">
        <f aca="false">SUM(H45:H48)</f>
        <v>26.7335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36966</v>
      </c>
      <c r="B5" s="19" t="n">
        <v>33</v>
      </c>
      <c r="C5" s="20" t="n">
        <v>30</v>
      </c>
      <c r="D5" s="20" t="n">
        <v>13.1</v>
      </c>
      <c r="E5" s="19" t="n">
        <v>30.7</v>
      </c>
      <c r="F5" s="19" t="n">
        <v>509</v>
      </c>
      <c r="G5" s="19" t="n">
        <v>5594</v>
      </c>
      <c r="H5" s="19" t="n">
        <v>33</v>
      </c>
      <c r="I5" s="21" t="s">
        <v>29</v>
      </c>
      <c r="J5" s="21"/>
      <c r="K5" s="19" t="n">
        <v>4</v>
      </c>
      <c r="L5" s="19" t="n">
        <v>1</v>
      </c>
      <c r="N5" s="14" t="str">
        <f aca="false">I5&amp;" "&amp;I5</f>
        <v>AT NIGHT, CLOUDY WITH SNOW LIKELY. 1" ACCUM. NORTH WINDS 15/25 MPH. AT NIGHT, CLOUDY WITH SNOW LIKELY. 1" ACCUM. NORTH WINDS 15/25 MPH.</v>
      </c>
      <c r="AE5" s="14" t="n">
        <v>1</v>
      </c>
      <c r="AH5" s="14" t="s">
        <v>30</v>
      </c>
    </row>
    <row r="6" customFormat="false" ht="16.5" hidden="false" customHeight="true" outlineLevel="0" collapsed="false">
      <c r="A6" s="18" t="n">
        <f aca="false">A5+1</f>
        <v>36967</v>
      </c>
      <c r="B6" s="19" t="n">
        <v>36</v>
      </c>
      <c r="C6" s="20" t="n">
        <v>19</v>
      </c>
      <c r="D6" s="20" t="n">
        <v>8</v>
      </c>
      <c r="E6" s="19" t="s">
        <v>0</v>
      </c>
      <c r="F6" s="19" t="s">
        <v>0</v>
      </c>
      <c r="G6" s="19"/>
      <c r="H6" s="19" t="s">
        <v>0</v>
      </c>
      <c r="I6" s="21" t="s">
        <v>31</v>
      </c>
      <c r="J6" s="21" t="s">
        <v>32</v>
      </c>
      <c r="K6" s="19" t="n">
        <v>4</v>
      </c>
      <c r="L6" s="19" t="s">
        <v>33</v>
      </c>
      <c r="N6" s="14" t="str">
        <f aca="false">I6&amp;" "&amp;J6</f>
        <v>LIGHT SNOW OR FLURRIES…MAINLY SOUTH AND N.E. INDIANA..ENDING THIS A.M. BE COMING PARTLY SUNNY. NORTH WINDS 10/15. AT NIGHT, CLEAR AND COLD. 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36968</v>
      </c>
      <c r="B7" s="19" t="n">
        <v>44</v>
      </c>
      <c r="C7" s="20" t="n">
        <v>29</v>
      </c>
      <c r="D7" s="20" t="n">
        <v>8</v>
      </c>
      <c r="E7" s="19" t="s">
        <v>0</v>
      </c>
      <c r="F7" s="19" t="s">
        <v>0</v>
      </c>
      <c r="G7" s="19"/>
      <c r="H7" s="19" t="s">
        <v>0</v>
      </c>
      <c r="I7" s="21" t="s">
        <v>35</v>
      </c>
      <c r="J7" s="21" t="s">
        <v>0</v>
      </c>
      <c r="K7" s="19" t="n">
        <v>1</v>
      </c>
      <c r="L7" s="19" t="s">
        <v>17</v>
      </c>
      <c r="N7" s="14" t="str">
        <f aca="false">I7&amp;" "&amp;J7</f>
        <v>SUNNY AND WARMER. AT NIGHT, FAIR.  </v>
      </c>
    </row>
    <row r="8" customFormat="false" ht="16.5" hidden="false" customHeight="true" outlineLevel="0" collapsed="false">
      <c r="A8" s="18" t="n">
        <f aca="false">A7+1</f>
        <v>36969</v>
      </c>
      <c r="B8" s="19" t="n">
        <v>47</v>
      </c>
      <c r="C8" s="20" t="n">
        <v>32</v>
      </c>
      <c r="D8" s="20" t="n">
        <v>10</v>
      </c>
      <c r="E8" s="19" t="s">
        <v>0</v>
      </c>
      <c r="F8" s="19" t="s">
        <v>0</v>
      </c>
      <c r="G8" s="19"/>
      <c r="H8" s="19" t="s">
        <v>0</v>
      </c>
      <c r="I8" s="21" t="s">
        <v>36</v>
      </c>
      <c r="J8" s="21" t="s">
        <v>0</v>
      </c>
      <c r="K8" s="19" t="n">
        <v>2</v>
      </c>
      <c r="L8" s="19" t="n">
        <v>0</v>
      </c>
      <c r="N8" s="14" t="str">
        <f aca="false">I8&amp;" "&amp;J8</f>
        <v>MOSTLY CLOUDY.  </v>
      </c>
    </row>
    <row r="9" customFormat="false" ht="16.5" hidden="false" customHeight="true" outlineLevel="0" collapsed="false">
      <c r="A9" s="18" t="n">
        <f aca="false">A8+1</f>
        <v>36970</v>
      </c>
      <c r="B9" s="19" t="n">
        <v>51</v>
      </c>
      <c r="C9" s="20" t="n">
        <v>35</v>
      </c>
      <c r="D9" s="20" t="n">
        <v>10</v>
      </c>
      <c r="E9" s="19" t="s">
        <v>0</v>
      </c>
      <c r="F9" s="19" t="s">
        <v>0</v>
      </c>
      <c r="G9" s="19"/>
      <c r="H9" s="19" t="s">
        <v>0</v>
      </c>
      <c r="I9" s="21" t="s">
        <v>37</v>
      </c>
      <c r="J9" s="21" t="s">
        <v>0</v>
      </c>
      <c r="K9" s="19" t="n">
        <v>3</v>
      </c>
      <c r="L9" s="19" t="n">
        <v>0</v>
      </c>
      <c r="M9" s="22"/>
      <c r="N9" s="14" t="str">
        <f aca="false">I10&amp;" "&amp;J9</f>
        <v>A CHANCE OF SHOWERS.  </v>
      </c>
    </row>
    <row r="10" customFormat="false" ht="16.5" hidden="false" customHeight="true" outlineLevel="0" collapsed="false">
      <c r="A10" s="18" t="n">
        <f aca="false">A9+1</f>
        <v>36971</v>
      </c>
      <c r="B10" s="19" t="n">
        <v>49</v>
      </c>
      <c r="C10" s="20" t="n">
        <v>31</v>
      </c>
      <c r="D10" s="20" t="n">
        <v>10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5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1060.365</v>
      </c>
      <c r="C2" s="75"/>
      <c r="D2" s="991" t="s">
        <v>648</v>
      </c>
      <c r="E2" s="992" t="n">
        <f aca="false">Weather_Input!A5</f>
        <v>36966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310.28</v>
      </c>
      <c r="C5" s="74"/>
      <c r="D5" s="77" t="s">
        <v>695</v>
      </c>
      <c r="E5" s="899" t="n">
        <f aca="false">PGL_Deliveries!O5/1000</f>
        <v>0.005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315.303</v>
      </c>
      <c r="C6" s="1005"/>
      <c r="D6" s="77" t="s">
        <v>696</v>
      </c>
      <c r="E6" s="899" t="n">
        <f aca="false">PGL_Deliveries!P5/1000</f>
        <v>0.721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625.583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232.116</v>
      </c>
      <c r="C8" s="1009"/>
      <c r="D8" s="77" t="s">
        <v>698</v>
      </c>
      <c r="E8" s="899" t="n">
        <f aca="false">PGL_Deliveries!N5/1000</f>
        <v>0.076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61.708</v>
      </c>
      <c r="C9" s="74"/>
      <c r="D9" s="77" t="s">
        <v>440</v>
      </c>
      <c r="E9" s="899" t="n">
        <f aca="false">PGL_Deliveries!Q5/1000</f>
        <v>0.265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143.598</v>
      </c>
      <c r="C10" s="74"/>
      <c r="D10" s="77" t="s">
        <v>441</v>
      </c>
      <c r="E10" s="899" t="n">
        <f aca="false">PGL_Deliveries!S5/1000</f>
        <v>5.097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2.216</v>
      </c>
      <c r="C11" s="74"/>
      <c r="D11" s="77" t="s">
        <v>699</v>
      </c>
      <c r="E11" s="899" t="n">
        <f aca="false">PGL_Deliveries!R5/1000</f>
        <v>7.085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13.183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293.8</v>
      </c>
      <c r="C13" s="74"/>
      <c r="D13" s="77" t="s">
        <v>445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162.574</v>
      </c>
      <c r="C14" s="74"/>
      <c r="D14" s="77" t="s">
        <v>447</v>
      </c>
      <c r="E14" s="899" t="n">
        <f aca="false">PGL_Deliveries!H5/1000</f>
        <v>63.78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-251.426</v>
      </c>
      <c r="C15" s="74"/>
      <c r="D15" s="77" t="s">
        <v>449</v>
      </c>
      <c r="E15" s="899" t="n">
        <f aca="false">PGL_Deliveries!K5/1000</f>
        <v>333.992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19.003</v>
      </c>
      <c r="D16" s="77" t="s">
        <v>453</v>
      </c>
      <c r="E16" s="899" t="n">
        <f aca="false">PGL_Deliveries!L5/1000</f>
        <v>4.422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0</v>
      </c>
      <c r="D17" s="1011" t="s">
        <v>451</v>
      </c>
      <c r="E17" s="906" t="n">
        <f aca="false">PGL_Deliveries!M5/1000</f>
        <v>6.156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625.583</v>
      </c>
      <c r="C18" s="1005"/>
      <c r="D18" s="1013" t="s">
        <v>704</v>
      </c>
      <c r="E18" s="1014" t="n">
        <f aca="false">SUM(E5:E17)</f>
        <v>434.782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239.263</v>
      </c>
      <c r="C19" s="1009"/>
      <c r="D19" s="77" t="s">
        <v>596</v>
      </c>
      <c r="E19" s="899" t="n">
        <f aca="false">PGL_Deliveries!AI5/1000</f>
        <v>0.032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PGL_Deliveries!AW5/1000+B41</f>
        <v>3.783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7.2</v>
      </c>
      <c r="D21" s="1015" t="s">
        <v>705</v>
      </c>
      <c r="E21" s="1016" t="n">
        <f aca="false">SUM(E18:E20)</f>
        <v>438.597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232.063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62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0</v>
      </c>
      <c r="C26" s="1023" t="s">
        <v>0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143.615</v>
      </c>
      <c r="C27" s="74"/>
      <c r="D27" s="75" t="s">
        <v>420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172.194</v>
      </c>
      <c r="C30" s="74"/>
      <c r="D30" s="1021" t="s">
        <v>718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0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82.132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162.574</v>
      </c>
      <c r="C34" s="74"/>
      <c r="D34" s="75" t="s">
        <v>296</v>
      </c>
      <c r="E34" s="899" t="n">
        <f aca="false">PGL_Supplies!AC7/1000</f>
        <v>356.465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0</v>
      </c>
      <c r="C37" s="1010" t="n">
        <f aca="false">PGL_Requirements!P7/1000</f>
        <v>252.19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0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1.254</v>
      </c>
      <c r="C40" s="74"/>
      <c r="D40" s="1028" t="s">
        <v>326</v>
      </c>
      <c r="E40" s="1016" t="n">
        <f aca="false">SUM(E22:E37)-SUM(F23:F39)-E33</f>
        <v>438.597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0</v>
      </c>
      <c r="C42" s="74"/>
      <c r="D42" s="1021" t="s">
        <v>262</v>
      </c>
      <c r="E42" s="1030" t="n">
        <f aca="false">PGL_Supplies!AB7/1000</f>
        <v>296.545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3.783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0</v>
      </c>
      <c r="C44" s="1010" t="n">
        <f aca="false">PGL_Requirements!R7/1000</f>
        <v>0.49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33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30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n">
        <f aca="false">Weather_Input!E5</f>
        <v>30.7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13.1</v>
      </c>
      <c r="C48" s="42"/>
      <c r="D48" s="1021" t="s">
        <v>478</v>
      </c>
      <c r="E48" s="899" t="n">
        <f aca="false">PGL_Deliveries!AI5/1000</f>
        <v>0.032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1.023</v>
      </c>
      <c r="C49" s="42"/>
      <c r="D49" s="75" t="s">
        <v>744</v>
      </c>
      <c r="E49" s="899" t="n">
        <f aca="false">PGL_Deliveries!AJ5/1000</f>
        <v>2.185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0.031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173.607</v>
      </c>
      <c r="C3" s="461"/>
      <c r="D3" s="1039" t="s">
        <v>648</v>
      </c>
      <c r="E3" s="1040" t="n">
        <f aca="false">Weather_Input!A5</f>
        <v>36966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86.597</v>
      </c>
      <c r="C5" s="1046"/>
      <c r="D5" s="1047" t="s">
        <v>658</v>
      </c>
      <c r="E5" s="1048" t="n">
        <f aca="false">NSG_Deliveries!D5/1000</f>
        <v>66.353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86.597</v>
      </c>
      <c r="C8" s="890"/>
      <c r="D8" s="1054" t="s">
        <v>751</v>
      </c>
      <c r="E8" s="1055" t="n">
        <f aca="false">NSG_Deliveries!F5/1000</f>
        <v>20.657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0</v>
      </c>
      <c r="C9" s="1058" t="n">
        <f aca="false">NSG_Requirements!L7/1000</f>
        <v>0</v>
      </c>
      <c r="D9" s="30" t="s">
        <v>308</v>
      </c>
      <c r="E9" s="1059" t="s">
        <v>0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0.657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0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91.025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4.428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0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65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86.597</v>
      </c>
      <c r="C27" s="1097"/>
      <c r="D27" s="1098" t="s">
        <v>784</v>
      </c>
      <c r="E27" s="1096" t="n">
        <f aca="false">SUM(E18:E26)-SUM(F18:F26)</f>
        <v>65</v>
      </c>
      <c r="F27" s="1099"/>
      <c r="H27" s="30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36966</v>
      </c>
      <c r="B5" s="30" t="n">
        <f aca="false">(Weather_Input!B5+Weather_Input!C5)/2</f>
        <v>31.5</v>
      </c>
      <c r="C5" s="47" t="n">
        <v>1058000</v>
      </c>
      <c r="D5" s="48" t="n">
        <v>310280</v>
      </c>
      <c r="E5" s="48" t="n">
        <v>0</v>
      </c>
      <c r="F5" s="48" t="n">
        <v>0</v>
      </c>
      <c r="G5" s="48" t="n">
        <v>13183</v>
      </c>
      <c r="H5" s="48" t="n">
        <v>63780</v>
      </c>
      <c r="I5" s="48" t="n">
        <v>315303</v>
      </c>
      <c r="J5" s="48" t="n">
        <v>0</v>
      </c>
      <c r="K5" s="48" t="n">
        <v>333992</v>
      </c>
      <c r="L5" s="48" t="n">
        <v>4422</v>
      </c>
      <c r="M5" s="48" t="n">
        <v>6156</v>
      </c>
      <c r="N5" s="48" t="n">
        <v>76</v>
      </c>
      <c r="O5" s="48" t="n">
        <v>5</v>
      </c>
      <c r="P5" s="48" t="n">
        <v>721</v>
      </c>
      <c r="Q5" s="48" t="n">
        <v>265</v>
      </c>
      <c r="R5" s="48" t="n">
        <v>7085</v>
      </c>
      <c r="S5" s="49" t="n">
        <v>5097</v>
      </c>
      <c r="T5" s="50" t="n">
        <v>0</v>
      </c>
      <c r="U5" s="47" t="n">
        <f aca="false">SUM(D5:S5)-T5</f>
        <v>1060365</v>
      </c>
      <c r="V5" s="47" t="n">
        <v>232116</v>
      </c>
      <c r="W5" s="19" t="n">
        <v>61708</v>
      </c>
      <c r="X5" s="19" t="n">
        <v>143598</v>
      </c>
      <c r="Y5" s="19" t="n">
        <v>0</v>
      </c>
      <c r="Z5" s="19" t="n">
        <v>293800</v>
      </c>
      <c r="AA5" s="19" t="n">
        <v>0</v>
      </c>
      <c r="AB5" s="19" t="n">
        <v>0</v>
      </c>
      <c r="AC5" s="19" t="n">
        <v>0</v>
      </c>
      <c r="AD5" s="19" t="n">
        <v>162574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32</v>
      </c>
      <c r="AJ5" s="19" t="n">
        <v>2185</v>
      </c>
      <c r="AK5" s="19" t="n">
        <v>31</v>
      </c>
      <c r="AL5" s="19" t="n">
        <v>0</v>
      </c>
      <c r="AM5" s="30" t="n">
        <v>1023</v>
      </c>
      <c r="AN5" s="30"/>
      <c r="AO5" s="30" t="n">
        <v>19003</v>
      </c>
      <c r="AP5" s="30" t="n">
        <v>0</v>
      </c>
      <c r="AQ5" s="30" t="n">
        <v>0</v>
      </c>
      <c r="AR5" s="30" t="n">
        <v>82132</v>
      </c>
      <c r="AS5" s="30" t="n">
        <v>0</v>
      </c>
      <c r="AT5" s="30" t="n">
        <v>1254</v>
      </c>
      <c r="AU5" s="30" t="n">
        <v>252190</v>
      </c>
      <c r="AV5" s="30" t="n">
        <v>490</v>
      </c>
      <c r="AW5" s="51" t="n">
        <v>3783</v>
      </c>
      <c r="AX5" s="30" t="n">
        <v>0</v>
      </c>
      <c r="AY5" s="30"/>
      <c r="AZ5" s="30" t="n">
        <v>13183</v>
      </c>
      <c r="BA5" s="30" t="n">
        <v>10683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36967</v>
      </c>
      <c r="B6" s="30" t="n">
        <f aca="false">(Weather_Input!B6+Weather_Input!C6)/2</f>
        <v>27.5</v>
      </c>
      <c r="C6" s="47" t="n">
        <v>1020000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36968</v>
      </c>
      <c r="B7" s="54" t="n">
        <f aca="false">(Weather_Input!B7+Weather_Input!C7)/2</f>
        <v>36.5</v>
      </c>
      <c r="C7" s="47" t="n">
        <v>880000</v>
      </c>
      <c r="D7" s="52" t="s">
        <v>0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36969</v>
      </c>
      <c r="B8" s="54" t="n">
        <f aca="false">(Weather_Input!B8+Weather_Input!C8)/2</f>
        <v>39.5</v>
      </c>
      <c r="C8" s="47" t="n">
        <v>845000</v>
      </c>
      <c r="D8" s="52" t="s">
        <v>0</v>
      </c>
      <c r="E8" s="53" t="s">
        <v>0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36970</v>
      </c>
      <c r="B9" s="54" t="n">
        <f aca="false">(Weather_Input!B9+Weather_Input!C9)/2</f>
        <v>43</v>
      </c>
      <c r="C9" s="47" t="n">
        <v>780000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36971</v>
      </c>
      <c r="B10" s="54" t="n">
        <f aca="false">(Weather_Input!B10+Weather_Input!C10)/2</f>
        <v>40</v>
      </c>
      <c r="C10" s="47" t="n">
        <v>840000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36966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36965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220085</v>
      </c>
      <c r="O6" s="1121" t="n">
        <v>0</v>
      </c>
      <c r="P6" s="1121" t="n">
        <v>36402659</v>
      </c>
      <c r="Q6" s="1121" t="n">
        <v>15045098</v>
      </c>
      <c r="R6" s="1121" t="n">
        <v>21357561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36966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248883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36651542</v>
      </c>
      <c r="Q7" s="0" t="n">
        <f aca="false">IF(O7&gt;0,Q6+O7,Q6)</f>
        <v>15045098</v>
      </c>
      <c r="R7" s="0" t="n">
        <f aca="false">IF(P7&gt;Q7,P7-Q7,0)</f>
        <v>21606444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36966</v>
      </c>
      <c r="B5" s="30" t="n">
        <f aca="false">(Weather_Input!B5+Weather_Input!C5)/2</f>
        <v>31.5</v>
      </c>
      <c r="C5" s="47" t="n">
        <v>173000</v>
      </c>
      <c r="D5" s="47" t="n">
        <v>66353</v>
      </c>
      <c r="E5" s="47" t="n">
        <v>86597</v>
      </c>
      <c r="F5" s="47" t="n">
        <v>20657</v>
      </c>
      <c r="G5" s="47" t="n">
        <v>0</v>
      </c>
      <c r="H5" s="64" t="n">
        <f aca="false">SUM(D5:G5)</f>
        <v>173607</v>
      </c>
      <c r="I5" s="30" t="n">
        <v>1020</v>
      </c>
      <c r="J5" s="30" t="s">
        <v>0</v>
      </c>
      <c r="K5" s="30" t="n">
        <v>4428</v>
      </c>
      <c r="L5" s="30" t="n">
        <v>0</v>
      </c>
      <c r="M5" s="30" t="n">
        <v>0</v>
      </c>
      <c r="N5" s="30" t="n">
        <v>657</v>
      </c>
    </row>
    <row r="6" customFormat="false" ht="12.75" hidden="false" customHeight="false" outlineLevel="0" collapsed="false">
      <c r="A6" s="63" t="n">
        <f aca="false">A5+1</f>
        <v>36967</v>
      </c>
      <c r="B6" s="30" t="n">
        <f aca="false">(Weather_Input!B6+Weather_Input!C6)/2</f>
        <v>27.5</v>
      </c>
      <c r="C6" s="47" t="n">
        <v>164000</v>
      </c>
      <c r="D6" s="53" t="s">
        <v>0</v>
      </c>
      <c r="E6" s="53"/>
      <c r="F6" s="53"/>
      <c r="G6" s="53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36968</v>
      </c>
      <c r="B7" s="54" t="n">
        <f aca="false">(Weather_Input!B7+Weather_Input!C7)/2</f>
        <v>36.5</v>
      </c>
      <c r="C7" s="47" t="n">
        <v>137000</v>
      </c>
      <c r="D7" s="53" t="s">
        <v>0</v>
      </c>
      <c r="E7" s="53" t="s">
        <v>0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36969</v>
      </c>
      <c r="B8" s="54" t="n">
        <f aca="false">(Weather_Input!B8+Weather_Input!C8)/2</f>
        <v>39.5</v>
      </c>
      <c r="C8" s="47" t="n">
        <v>128000</v>
      </c>
      <c r="D8" s="53" t="s">
        <v>0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36970</v>
      </c>
      <c r="B9" s="54" t="n">
        <f aca="false">(Weather_Input!B9+Weather_Input!C9)/2</f>
        <v>43</v>
      </c>
      <c r="C9" s="47" t="n">
        <v>118000</v>
      </c>
      <c r="D9" s="53" t="s">
        <v>0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36971</v>
      </c>
      <c r="B10" s="54" t="n">
        <f aca="false">(Weather_Input!B10+Weather_Input!C10)/2</f>
        <v>40</v>
      </c>
      <c r="C10" s="47" t="n">
        <v>126000</v>
      </c>
      <c r="D10" s="53" t="s">
        <v>0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2</v>
      </c>
      <c r="C11" s="65"/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36966</v>
      </c>
      <c r="B7" s="90" t="n">
        <v>0</v>
      </c>
      <c r="C7" s="91" t="n">
        <v>500</v>
      </c>
      <c r="D7" s="92" t="n">
        <v>1000</v>
      </c>
      <c r="E7" s="92" t="n">
        <v>100</v>
      </c>
      <c r="F7" s="90" t="n">
        <v>8700</v>
      </c>
      <c r="G7" s="90" t="n">
        <v>19003</v>
      </c>
      <c r="H7" s="93" t="n">
        <v>0</v>
      </c>
      <c r="I7" s="94" t="n">
        <v>0</v>
      </c>
      <c r="J7" s="94" t="n">
        <v>7200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252190</v>
      </c>
      <c r="Q7" s="51" t="n">
        <f aca="false">P7*0.015</f>
        <v>3782.85</v>
      </c>
      <c r="R7" s="92" t="n">
        <v>490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36966</v>
      </c>
    </row>
    <row r="8" customFormat="false" ht="12.75" hidden="false" customHeight="false" outlineLevel="0" collapsed="false">
      <c r="A8" s="89" t="n">
        <f aca="false">A7+1</f>
        <v>36967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36967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36968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36968</v>
      </c>
      <c r="AN9" s="94"/>
    </row>
    <row r="10" customFormat="false" ht="12.75" hidden="false" customHeight="false" outlineLevel="0" collapsed="false">
      <c r="A10" s="89" t="n">
        <f aca="false">A9+1</f>
        <v>36969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36969</v>
      </c>
    </row>
    <row r="11" customFormat="false" ht="12.75" hidden="false" customHeight="false" outlineLevel="0" collapsed="false">
      <c r="A11" s="89" t="n">
        <f aca="false">A10+1</f>
        <v>36970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36970</v>
      </c>
    </row>
    <row r="12" customFormat="false" ht="12.75" hidden="false" customHeight="false" outlineLevel="0" collapsed="false">
      <c r="A12" s="89" t="n">
        <f aca="false">A11+1</f>
        <v>36971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36971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36966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1254</v>
      </c>
      <c r="I7" s="92" t="n">
        <v>2216</v>
      </c>
      <c r="J7" s="92" t="n">
        <v>0</v>
      </c>
      <c r="K7" s="104" t="n">
        <v>0</v>
      </c>
      <c r="L7" s="95" t="n">
        <v>82132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343283</v>
      </c>
      <c r="W7" s="95" t="n">
        <v>0</v>
      </c>
      <c r="X7" s="94" t="n">
        <v>0</v>
      </c>
      <c r="Y7" s="104" t="n">
        <v>239263</v>
      </c>
      <c r="Z7" s="95" t="n">
        <v>62000</v>
      </c>
      <c r="AA7" s="30" t="n">
        <v>143615</v>
      </c>
      <c r="AB7" s="94" t="n">
        <v>296545</v>
      </c>
      <c r="AC7" s="94" t="n">
        <v>356465</v>
      </c>
      <c r="AD7" s="94" t="n">
        <v>172194</v>
      </c>
      <c r="AE7" s="104" t="n">
        <v>0</v>
      </c>
      <c r="AF7" s="107" t="n">
        <f aca="false">Weather_Input!A5</f>
        <v>36966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5000</v>
      </c>
      <c r="J8" s="92" t="n">
        <v>0</v>
      </c>
      <c r="K8" s="104" t="n">
        <v>0</v>
      </c>
      <c r="L8" s="95" t="n">
        <v>51910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343283</v>
      </c>
      <c r="W8" s="95" t="n">
        <v>0</v>
      </c>
      <c r="X8" s="94" t="n">
        <v>0</v>
      </c>
      <c r="Y8" s="104" t="n">
        <v>220975</v>
      </c>
      <c r="Z8" s="95" t="n">
        <v>70000</v>
      </c>
      <c r="AA8" s="30" t="n">
        <v>153615</v>
      </c>
      <c r="AB8" s="94" t="n">
        <v>236672</v>
      </c>
      <c r="AC8" s="94" t="n">
        <v>379166</v>
      </c>
      <c r="AD8" s="94" t="n">
        <v>156054</v>
      </c>
      <c r="AE8" s="104" t="n">
        <v>0</v>
      </c>
      <c r="AF8" s="89" t="n">
        <f aca="false">AF7+1</f>
        <v>36967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343283</v>
      </c>
      <c r="W9" s="95" t="n">
        <v>0</v>
      </c>
      <c r="X9" s="94" t="n">
        <v>0</v>
      </c>
      <c r="Y9" s="104" t="n">
        <v>221005</v>
      </c>
      <c r="Z9" s="95" t="n">
        <v>70000</v>
      </c>
      <c r="AA9" s="30" t="n">
        <v>153615</v>
      </c>
      <c r="AB9" s="94" t="n">
        <v>236672</v>
      </c>
      <c r="AC9" s="94" t="n">
        <v>344136</v>
      </c>
      <c r="AD9" s="94" t="n">
        <v>106200</v>
      </c>
      <c r="AE9" s="104" t="n">
        <v>0</v>
      </c>
      <c r="AF9" s="89" t="n">
        <f aca="false">AF8+1</f>
        <v>36968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343283</v>
      </c>
      <c r="W10" s="95" t="n">
        <v>0</v>
      </c>
      <c r="X10" s="94" t="n">
        <v>0</v>
      </c>
      <c r="Y10" s="104" t="n">
        <v>233460</v>
      </c>
      <c r="Z10" s="95" t="n">
        <v>70000</v>
      </c>
      <c r="AA10" s="30" t="n">
        <v>153615</v>
      </c>
      <c r="AB10" s="94" t="n">
        <v>224397</v>
      </c>
      <c r="AC10" s="94" t="n">
        <v>298619</v>
      </c>
      <c r="AD10" s="94" t="n">
        <v>106200</v>
      </c>
      <c r="AE10" s="104" t="n">
        <v>0</v>
      </c>
      <c r="AF10" s="89" t="n">
        <f aca="false">AF9+1</f>
        <v>36969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343283</v>
      </c>
      <c r="W11" s="95" t="n">
        <v>0</v>
      </c>
      <c r="X11" s="94" t="n">
        <v>0</v>
      </c>
      <c r="Y11" s="104" t="n">
        <v>233460</v>
      </c>
      <c r="Z11" s="95" t="n">
        <v>70000</v>
      </c>
      <c r="AA11" s="30" t="n">
        <v>153615</v>
      </c>
      <c r="AB11" s="94" t="n">
        <v>224397</v>
      </c>
      <c r="AC11" s="94" t="n">
        <v>298619</v>
      </c>
      <c r="AD11" s="94" t="n">
        <v>106200</v>
      </c>
      <c r="AE11" s="104" t="n">
        <v>0</v>
      </c>
      <c r="AF11" s="89" t="n">
        <f aca="false">AF10+1</f>
        <v>36970</v>
      </c>
    </row>
    <row r="12" customFormat="false" ht="12.75" hidden="false" customHeight="false" outlineLevel="0" collapsed="false">
      <c r="A12" s="89" t="n">
        <f aca="false">A11+1</f>
        <v>36971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343283</v>
      </c>
      <c r="W12" s="95" t="n">
        <v>0</v>
      </c>
      <c r="X12" s="94" t="n">
        <v>0</v>
      </c>
      <c r="Y12" s="104" t="n">
        <v>233460</v>
      </c>
      <c r="Z12" s="95" t="n">
        <v>70000</v>
      </c>
      <c r="AA12" s="30" t="n">
        <v>153615</v>
      </c>
      <c r="AB12" s="94" t="n">
        <v>224397</v>
      </c>
      <c r="AC12" s="94" t="n">
        <v>298619</v>
      </c>
      <c r="AD12" s="94" t="n">
        <v>106200</v>
      </c>
      <c r="AE12" s="104" t="n">
        <v>0</v>
      </c>
      <c r="AF12" s="89" t="n">
        <f aca="false">AF11+1</f>
        <v>36971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7" activeCellId="0" sqref="I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36966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4428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36966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36967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1650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36967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36968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36968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36969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36969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36970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36970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36971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36971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7" activeCellId="0" sqref="E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36966</v>
      </c>
      <c r="B7" s="51" t="n">
        <v>0</v>
      </c>
      <c r="C7" s="103" t="n">
        <v>0</v>
      </c>
      <c r="D7" s="51" t="n">
        <v>0</v>
      </c>
      <c r="E7" s="51" t="n">
        <v>657</v>
      </c>
      <c r="F7" s="51" t="n">
        <v>0</v>
      </c>
      <c r="G7" s="51" t="n">
        <f aca="false">(R7+S7+C7+PGL_Requirements!Y7+PGL_Requirements!Z7-NSG_Requirements!C7)*0.05</f>
        <v>6602.05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65000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91025</v>
      </c>
      <c r="S7" s="51" t="n">
        <v>41016</v>
      </c>
      <c r="T7" s="51" t="n">
        <v>0</v>
      </c>
      <c r="U7" s="51" t="n">
        <v>0</v>
      </c>
      <c r="V7" s="89" t="n">
        <f aca="false">Weather_Input!A5</f>
        <v>36966</v>
      </c>
      <c r="W7" s="94"/>
      <c r="X7" s="94"/>
    </row>
    <row r="8" customFormat="false" ht="12.75" hidden="false" customHeight="false" outlineLevel="0" collapsed="false">
      <c r="A8" s="89" t="n">
        <f aca="false">A7+1</f>
        <v>36967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6333.25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60000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85649</v>
      </c>
      <c r="S8" s="51" t="n">
        <v>41016</v>
      </c>
      <c r="T8" s="51" t="n">
        <v>0</v>
      </c>
      <c r="U8" s="51" t="n">
        <v>0</v>
      </c>
      <c r="V8" s="89" t="n">
        <f aca="false">V7+1</f>
        <v>36967</v>
      </c>
      <c r="W8" s="94"/>
      <c r="X8" s="94"/>
    </row>
    <row r="9" customFormat="false" ht="12.75" hidden="false" customHeight="false" outlineLevel="0" collapsed="false">
      <c r="A9" s="89" t="n">
        <f aca="false">A8+1</f>
        <v>36968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6333.25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40000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85649</v>
      </c>
      <c r="S9" s="51" t="n">
        <v>41016</v>
      </c>
      <c r="T9" s="51" t="n">
        <v>0</v>
      </c>
      <c r="U9" s="51" t="n">
        <v>0</v>
      </c>
      <c r="V9" s="89" t="n">
        <f aca="false">V8+1</f>
        <v>36968</v>
      </c>
      <c r="W9" s="94"/>
      <c r="X9" s="94"/>
    </row>
    <row r="10" customFormat="false" ht="12.75" hidden="false" customHeight="false" outlineLevel="0" collapsed="false">
      <c r="A10" s="89" t="n">
        <f aca="false">A9+1</f>
        <v>36969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6333.25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85649</v>
      </c>
      <c r="S10" s="51" t="n">
        <v>41016</v>
      </c>
      <c r="T10" s="51" t="n">
        <v>0</v>
      </c>
      <c r="U10" s="51" t="n">
        <v>0</v>
      </c>
      <c r="V10" s="89" t="n">
        <f aca="false">V9+1</f>
        <v>36969</v>
      </c>
      <c r="W10" s="94"/>
      <c r="X10" s="94"/>
    </row>
    <row r="11" customFormat="false" ht="12.75" hidden="false" customHeight="false" outlineLevel="0" collapsed="false">
      <c r="A11" s="89" t="n">
        <f aca="false">A10+1</f>
        <v>36970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6333.25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85649</v>
      </c>
      <c r="S11" s="51" t="n">
        <v>41016</v>
      </c>
      <c r="T11" s="51" t="n">
        <v>0</v>
      </c>
      <c r="U11" s="51" t="n">
        <v>0</v>
      </c>
      <c r="V11" s="89" t="n">
        <f aca="false">V10+1</f>
        <v>36970</v>
      </c>
      <c r="W11" s="94"/>
      <c r="X11" s="94"/>
    </row>
    <row r="12" customFormat="false" ht="12.75" hidden="false" customHeight="false" outlineLevel="0" collapsed="false">
      <c r="A12" s="89" t="n">
        <f aca="false">A11+1</f>
        <v>36971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6333.25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85649</v>
      </c>
      <c r="S12" s="51" t="n">
        <v>41016</v>
      </c>
      <c r="T12" s="51" t="n">
        <v>0</v>
      </c>
      <c r="U12" s="51" t="n">
        <v>0</v>
      </c>
      <c r="V12" s="89" t="n">
        <f aca="false">V11+1</f>
        <v>36971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0</v>
      </c>
      <c r="G1" s="120" t="s">
        <v>209</v>
      </c>
      <c r="H1" s="122" t="str">
        <f aca="false">D3</f>
        <v>FRI</v>
      </c>
      <c r="I1" s="123" t="n">
        <f aca="false">D4</f>
        <v>36966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FRI</v>
      </c>
      <c r="E3" s="128" t="str">
        <f aca="false">CHOOSE(WEEKDAY(E4),"SUN","MON","TUE","WED","THU","FRI","SAT")</f>
        <v>SAT</v>
      </c>
      <c r="F3" s="128" t="str">
        <f aca="false">CHOOSE(WEEKDAY(F4),"SUN","MON","TUE","WED","THU","FRI","SAT")</f>
        <v>SUN</v>
      </c>
      <c r="G3" s="128" t="str">
        <f aca="false">CHOOSE(WEEKDAY(G4),"SUN","MON","TUE","WED","THU","FRI","SAT")</f>
        <v>MON</v>
      </c>
      <c r="H3" s="128" t="str">
        <f aca="false">CHOOSE(WEEKDAY(H4),"SUN","MON","TUE","WED","THU","FRI","SAT")</f>
        <v>TUE</v>
      </c>
      <c r="I3" s="129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36966</v>
      </c>
      <c r="E4" s="132" t="n">
        <f aca="false">Weather_Input!A6</f>
        <v>36967</v>
      </c>
      <c r="F4" s="132" t="n">
        <f aca="false">Weather_Input!A7</f>
        <v>36968</v>
      </c>
      <c r="G4" s="132" t="n">
        <f aca="false">Weather_Input!A8</f>
        <v>36969</v>
      </c>
      <c r="H4" s="132" t="n">
        <f aca="false">Weather_Input!A9</f>
        <v>36970</v>
      </c>
      <c r="I4" s="133" t="n">
        <f aca="false">Weather_Input!A10</f>
        <v>36971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33/30/32</v>
      </c>
      <c r="E5" s="135" t="str">
        <f aca="false">TEXT(Weather_Input!B6,"0")&amp;"/"&amp;TEXT(Weather_Input!C6,"0")&amp;"/"&amp;TEXT((Weather_Input!B6+Weather_Input!C6)/2,"0")</f>
        <v>36/19/28</v>
      </c>
      <c r="F5" s="135" t="str">
        <f aca="false">TEXT(Weather_Input!B7,"0")&amp;"/"&amp;TEXT(Weather_Input!C7,"0")&amp;"/"&amp;TEXT((Weather_Input!B7+Weather_Input!C7)/2,"0")</f>
        <v>44/29/37</v>
      </c>
      <c r="G5" s="135" t="str">
        <f aca="false">TEXT(Weather_Input!B8,"0")&amp;"/"&amp;TEXT(Weather_Input!C8,"0")&amp;"/"&amp;TEXT((Weather_Input!B8+Weather_Input!C8)/2,"0")</f>
        <v>47/32/40</v>
      </c>
      <c r="H5" s="135" t="str">
        <f aca="false">TEXT(Weather_Input!B9,"0")&amp;"/"&amp;TEXT(Weather_Input!C9,"0")&amp;"/"&amp;TEXT((Weather_Input!B9+Weather_Input!C9)/2,"0")</f>
        <v>51/35/43</v>
      </c>
      <c r="I5" s="136" t="str">
        <f aca="false">TEXT(Weather_Input!B10,"0")&amp;"/"&amp;TEXT(Weather_Input!C10,"0")&amp;"/"&amp;TEXT((Weather_Input!B10+Weather_Input!C10)/2,"0")</f>
        <v>49/31/40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1058</v>
      </c>
      <c r="E6" s="135" t="n">
        <f aca="false">PGL_Deliveries!C6/1000</f>
        <v>1020</v>
      </c>
      <c r="F6" s="135" t="n">
        <f aca="false">PGL_Deliveries!C7/1000</f>
        <v>880</v>
      </c>
      <c r="G6" s="135" t="n">
        <f aca="false">PGL_Deliveries!C8/1000</f>
        <v>845</v>
      </c>
      <c r="H6" s="135" t="n">
        <f aca="false">PGL_Deliveries!C9/1000</f>
        <v>780</v>
      </c>
      <c r="I6" s="136" t="n">
        <f aca="false">PGL_Deliveries!C10/1000</f>
        <v>840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252.19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3.78285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0.49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19.003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7.2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0.5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1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0.1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8.7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1350.96585</v>
      </c>
      <c r="E30" s="145" t="n">
        <f aca="false">SUM(E6:E29)</f>
        <v>1274.39</v>
      </c>
      <c r="F30" s="145" t="n">
        <f aca="false">SUM(F6:F29)</f>
        <v>1134.39</v>
      </c>
      <c r="G30" s="145" t="n">
        <f aca="false">SUM(G6:G29)</f>
        <v>1099.39</v>
      </c>
      <c r="H30" s="145" t="n">
        <f aca="false">SUM(H6:H29)</f>
        <v>1034.39</v>
      </c>
      <c r="I30" s="146" t="n">
        <f aca="false">SUM(I6:I29)</f>
        <v>1094.39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1.254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82.132</v>
      </c>
      <c r="E37" s="135" t="n">
        <f aca="false">PGL_Supplies!L8/1000</f>
        <v>51.91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239.263</v>
      </c>
      <c r="E47" s="135" t="n">
        <f aca="false">PGL_Supplies!Y8/1000</f>
        <v>220.975</v>
      </c>
      <c r="F47" s="135" t="n">
        <f aca="false">PGL_Supplies!Y9/1000</f>
        <v>221.005</v>
      </c>
      <c r="G47" s="135" t="n">
        <f aca="false">PGL_Supplies!Y10/1000</f>
        <v>233.46</v>
      </c>
      <c r="H47" s="135" t="n">
        <f aca="false">PGL_Supplies!Y11/1000</f>
        <v>233.46</v>
      </c>
      <c r="I47" s="136" t="n">
        <f aca="false">PGL_Supplies!Y12/1000</f>
        <v>233.46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62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143.615</v>
      </c>
      <c r="E49" s="135" t="n">
        <f aca="false">PGL_Supplies!AA8/1000</f>
        <v>153.615</v>
      </c>
      <c r="F49" s="135" t="n">
        <f aca="false">PGL_Supplies!AA9/1000</f>
        <v>153.615</v>
      </c>
      <c r="G49" s="135" t="n">
        <f aca="false">PGL_Supplies!AA10/1000</f>
        <v>153.615</v>
      </c>
      <c r="H49" s="135" t="n">
        <f aca="false">PGL_Supplies!AA11/1000</f>
        <v>153.615</v>
      </c>
      <c r="I49" s="136" t="n">
        <f aca="false">PGL_Supplies!AA12/1000</f>
        <v>153.615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296.545</v>
      </c>
      <c r="E50" s="135" t="n">
        <f aca="false">PGL_Supplies!AB8/1000</f>
        <v>236.672</v>
      </c>
      <c r="F50" s="135" t="n">
        <f aca="false">PGL_Supplies!AB9/1000</f>
        <v>236.672</v>
      </c>
      <c r="G50" s="135" t="n">
        <f aca="false">PGL_Supplies!AB10/1000</f>
        <v>224.397</v>
      </c>
      <c r="H50" s="135" t="n">
        <f aca="false">PGL_Supplies!AB11/1000</f>
        <v>224.397</v>
      </c>
      <c r="I50" s="136" t="n">
        <f aca="false">PGL_Supplies!AB12/1000</f>
        <v>224.397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356.465</v>
      </c>
      <c r="E51" s="135" t="n">
        <f aca="false">PGL_Supplies!AC8/1000</f>
        <v>379.166</v>
      </c>
      <c r="F51" s="135" t="n">
        <f aca="false">PGL_Supplies!AC9/1000</f>
        <v>344.136</v>
      </c>
      <c r="G51" s="135" t="n">
        <f aca="false">PGL_Supplies!AC10/1000</f>
        <v>298.619</v>
      </c>
      <c r="H51" s="135" t="n">
        <f aca="false">PGL_Supplies!AC11/1000</f>
        <v>298.619</v>
      </c>
      <c r="I51" s="136" t="n">
        <f aca="false">PGL_Supplies!AC12/1000</f>
        <v>298.619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172.194</v>
      </c>
      <c r="E52" s="135" t="n">
        <f aca="false">PGL_Supplies!AD8/1000</f>
        <v>156.054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2.216</v>
      </c>
      <c r="E53" s="135" t="n">
        <f aca="false">PGL_Supplies!I8/1000</f>
        <v>5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0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1355.684</v>
      </c>
      <c r="E61" s="160" t="n">
        <f aca="false">SUM(E33:E60)</f>
        <v>1274.392</v>
      </c>
      <c r="F61" s="160" t="n">
        <f aca="false">SUM(F33:F60)</f>
        <v>1135.628</v>
      </c>
      <c r="G61" s="160" t="n">
        <f aca="false">SUM(G33:G60)</f>
        <v>1090.291</v>
      </c>
      <c r="H61" s="160" t="n">
        <f aca="false">SUM(H33:H60)</f>
        <v>1090.291</v>
      </c>
      <c r="I61" s="161" t="n">
        <f aca="false">SUM(I33:I60)</f>
        <v>1090.291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4.71814999999992</v>
      </c>
      <c r="E62" s="163" t="n">
        <f aca="false">IF(E61-E30&lt;0,0,E61-E30)</f>
        <v>0.00199999999995271</v>
      </c>
      <c r="F62" s="163" t="n">
        <f aca="false">IF(F61-F30&lt;0,0,F61-F30)</f>
        <v>1.23799999999983</v>
      </c>
      <c r="G62" s="163" t="n">
        <f aca="false">IF(G61-G30&lt;0,0,G61-G30)</f>
        <v>0</v>
      </c>
      <c r="H62" s="163" t="n">
        <f aca="false">IF(H61-H30&lt;0,0,H61-H30)</f>
        <v>55.9009999999998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0</v>
      </c>
      <c r="G63" s="167" t="n">
        <f aca="false">IF(G30-G61&lt;0,0,G30-G61)</f>
        <v>9.09900000000016</v>
      </c>
      <c r="H63" s="167" t="n">
        <f aca="false">IF(H30-H61&lt;0,0,H30-H61)</f>
        <v>0</v>
      </c>
      <c r="I63" s="168" t="n">
        <f aca="false">IF(I30-I61&lt;0,0,I30-I61)</f>
        <v>4.09900000000016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343.283</v>
      </c>
      <c r="E64" s="171" t="n">
        <f aca="false">PGL_Supplies!V8/1000</f>
        <v>343.283</v>
      </c>
      <c r="F64" s="171" t="n">
        <f aca="false">PGL_Supplies!V9/1000</f>
        <v>343.283</v>
      </c>
      <c r="G64" s="171" t="n">
        <f aca="false">PGL_Supplies!V10/1000</f>
        <v>343.283</v>
      </c>
      <c r="H64" s="171" t="n">
        <f aca="false">PGL_Supplies!V11/1000</f>
        <v>343.283</v>
      </c>
      <c r="I64" s="172" t="n">
        <f aca="false">PGL_Supplies!V12/1000</f>
        <v>343.283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2001-03-17T14:09:00Z</cp:lastPrinted>
  <cp:revision>0</cp:revision>
  <dc:subject/>
  <dc:title/>
</cp:coreProperties>
</file>