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<sst xmlns="http://schemas.openxmlformats.org/spreadsheetml/2006/main" count="2142" uniqueCount="800">
  <si>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</si>
  <si>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</si>
  <si>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</si>
  <si>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</si>
  <si>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</si>
  <si>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</si>
  <si>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</si>
  <si>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</si>
  <si>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</si>
  <si>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</si>
  <si>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</si>
  <si>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</si>
  <si>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</si>
  <si>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</si>
  <si>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</si>
  <si>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</si>
  <si>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</si>
  <si>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</si>
  <si>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</si>
  <si>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</si>
  <si>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</si>
  <si>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</si>
  <si>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</si>
  <si>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</si>
  <si>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</si>
  <si>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</si>
  <si>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</si>
  <si>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</si>
  <si>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</si>
  <si>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CLOUDY.  WIND  NW  10 TO 20 MPH.</t>
  </si>
  <si>
    <t xml:space="preserve">   TONIGHT  FAIR.  LOW AROUND  20.  WIND  NE  5  TO 10 MPH.</t>
  </si>
  <si>
    <t xml:space="preserve">RAIN</t>
  </si>
  <si>
    <t xml:space="preserve">   PARTLY   SUNNY</t>
  </si>
  <si>
    <t xml:space="preserve">   BECOMING CLOUDY.    WINDS NW 10 TO 15 MPH</t>
  </si>
  <si>
    <t xml:space="preserve">S</t>
  </si>
  <si>
    <t xml:space="preserve">TSTORM</t>
  </si>
  <si>
    <t xml:space="preserve">   CLOUDY... WITH  A   30%   CHANCE  OF  LIGHT  SNOW  OR FLURRIES.  </t>
  </si>
  <si>
    <t xml:space="preserve">   PARTLY  CLOUDY</t>
  </si>
  <si>
    <t xml:space="preserve">  A  CHANCE  OF   RAIN   OR  SNOW</t>
  </si>
  <si>
    <t xml:space="preserve">  A  CHANCE  OF   RAIN  OR  SNOW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</si>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</sst>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1" activeCellId="0" sqref="A2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247</v>
      </c>
      <c r="B1" s="120"/>
      <c r="C1" s="120"/>
      <c r="D1" s="120"/>
      <c r="E1" s="120"/>
      <c r="F1" s="120"/>
      <c r="G1" s="120" t="s">
        <v>210</v>
      </c>
      <c r="H1" s="174" t="str">
        <f aca="false">D3</f>
        <v>TUE</v>
      </c>
      <c r="I1" s="175" t="n">
        <f aca="false">D4</f>
        <v>36956</v>
      </c>
      <c r="J1" s="176"/>
    </row>
    <row r="2" customFormat="false" ht="20.1" hidden="false" customHeight="true" outlineLevel="0" collapsed="false">
      <c r="A2" s="124" t="s">
        <v>248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TUE</v>
      </c>
      <c r="E3" s="128" t="str">
        <f aca="false">CHOOSE(WEEKDAY(E4),"SUN","MON","TUE","WED","THU","FRI","SAT")</f>
        <v>WED</v>
      </c>
      <c r="F3" s="128" t="str">
        <f aca="false">CHOOSE(WEEKDAY(F4),"SUN","MON","TUE","WED","THU","FRI","SAT")</f>
        <v>THU</v>
      </c>
      <c r="G3" s="128" t="str">
        <f aca="false">CHOOSE(WEEKDAY(G4),"SUN","MON","TUE","WED","THU","FRI","SAT")</f>
        <v>FRI</v>
      </c>
      <c r="H3" s="128" t="str">
        <f aca="false">CHOOSE(WEEKDAY(H4),"SUN","MON","TUE","WED","THU","FRI","SAT")</f>
        <v>SAT</v>
      </c>
      <c r="I3" s="129" t="str">
        <f aca="false">CHOOSE(WEEKDAY(I4),"SUN","MON","TUE","WED","THU","FRI","SAT")</f>
        <v>SUN</v>
      </c>
      <c r="J3" s="176"/>
    </row>
    <row r="4" customFormat="false" ht="20.1" hidden="false" customHeight="true" outlineLevel="0" collapsed="false">
      <c r="A4" s="130" t="s">
        <v>249</v>
      </c>
      <c r="B4" s="131"/>
      <c r="C4" s="131"/>
      <c r="D4" s="177" t="n">
        <f aca="false">Weather_Input!A5</f>
        <v>36956</v>
      </c>
      <c r="E4" s="177" t="n">
        <f aca="false">Weather_Input!A6</f>
        <v>36957</v>
      </c>
      <c r="F4" s="177" t="n">
        <f aca="false">Weather_Input!A7</f>
        <v>36958</v>
      </c>
      <c r="G4" s="177" t="n">
        <f aca="false">Weather_Input!A8</f>
        <v>36959</v>
      </c>
      <c r="H4" s="177" t="n">
        <f aca="false">Weather_Input!A9</f>
        <v>36960</v>
      </c>
      <c r="I4" s="178" t="n">
        <f aca="false">Weather_Input!A10</f>
        <v>36961</v>
      </c>
      <c r="J4" s="176"/>
    </row>
    <row r="5" customFormat="false" ht="20.1" hidden="false" customHeight="true" outlineLevel="0" collapsed="false">
      <c r="A5" s="134" t="s">
        <v>212</v>
      </c>
      <c r="B5" s="125"/>
      <c r="C5" s="125" t="s">
        <v>213</v>
      </c>
      <c r="D5" s="179" t="str">
        <f aca="false">TEXT(Weather_Input!B5,"0")&amp;"/"&amp;TEXT(Weather_Input!C5,"0")&amp;"/"&amp;TEXT((Weather_Input!B5+Weather_Input!C5)/2,"0")</f>
        <v>34/23/29</v>
      </c>
      <c r="E5" s="179" t="str">
        <f aca="false">TEXT(Weather_Input!B6,"0")&amp;"/"&amp;TEXT(Weather_Input!C6,"0")&amp;"/"&amp;TEXT((Weather_Input!B6+Weather_Input!C6)/2,"0")</f>
        <v>39/27/33</v>
      </c>
      <c r="F5" s="179" t="str">
        <f aca="false">TEXT(Weather_Input!B7,"0")&amp;"/"&amp;TEXT(Weather_Input!C7,"0")&amp;"/"&amp;TEXT((Weather_Input!B7+Weather_Input!C7)/2,"0")</f>
        <v>36/22/29</v>
      </c>
      <c r="G5" s="179" t="str">
        <f aca="false">TEXT(Weather_Input!B8,"0")&amp;"/"&amp;TEXT(Weather_Input!C8,"0")&amp;"/"&amp;TEXT((Weather_Input!B8+Weather_Input!C8)/2,"0")</f>
        <v>33/20/27</v>
      </c>
      <c r="H5" s="179" t="str">
        <f aca="false">TEXT(Weather_Input!B9,"0")&amp;"/"&amp;TEXT(Weather_Input!C9,"0")&amp;"/"&amp;TEXT((Weather_Input!B9+Weather_Input!C9)/2,"0")</f>
        <v>40/28/34</v>
      </c>
      <c r="I5" s="180" t="str">
        <f aca="false">TEXT(Weather_Input!B10,"0")&amp;"/"&amp;TEXT(Weather_Input!C10,"0")&amp;"/"&amp;TEXT((Weather_Input!B10+Weather_Input!C10)/2,"0")</f>
        <v>45/31/38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214</v>
      </c>
      <c r="B6" s="125"/>
      <c r="C6" s="125"/>
      <c r="D6" s="181" t="n">
        <f aca="true">VLOOKUP(D4,NSG_Sendouts,CELL("Col",NSG_Deliveries!C5),FALSE())/1000</f>
        <v>185</v>
      </c>
      <c r="E6" s="181" t="n">
        <f aca="true">VLOOKUP(E4,NSG_Sendouts,CELL("Col",NSG_Deliveries!C6),FALSE())/1000</f>
        <v>167</v>
      </c>
      <c r="F6" s="181" t="n">
        <f aca="true">VLOOKUP(F4,NSG_Sendouts,CELL("Col",NSG_Deliveries!C7),FALSE())/1000</f>
        <v>176</v>
      </c>
      <c r="G6" s="181" t="n">
        <f aca="true">VLOOKUP(G4,NSG_Sendouts,CELL("Col",NSG_Deliveries!C8),FALSE())/1000</f>
        <v>182</v>
      </c>
      <c r="H6" s="181" t="n">
        <f aca="true">VLOOKUP(H4,NSG_Sendouts,CELL("Col",NSG_Deliveries!C9),FALSE())/1000</f>
        <v>158</v>
      </c>
      <c r="I6" s="182" t="n">
        <f aca="true">VLOOKUP(I4,NSG_Sendouts,CELL("Col",NSG_Deliveries!C10),FALSE())/1000</f>
        <v>145</v>
      </c>
      <c r="J6" s="118"/>
    </row>
    <row r="7" customFormat="false" ht="20.1" hidden="false" customHeight="true" outlineLevel="0" collapsed="false">
      <c r="A7" s="134" t="s">
        <v>217</v>
      </c>
      <c r="B7" s="125" t="s">
        <v>220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218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219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141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221</v>
      </c>
      <c r="B11" s="125" t="s">
        <v>222</v>
      </c>
      <c r="C11" s="125" t="s">
        <v>76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218</v>
      </c>
      <c r="C12" s="139" t="s">
        <v>151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220</v>
      </c>
      <c r="C13" s="139" t="s">
        <v>151</v>
      </c>
      <c r="D13" s="181" t="n">
        <f aca="false">NSG_Requirements!H7/1000</f>
        <v>8.55</v>
      </c>
      <c r="E13" s="181" t="n">
        <f aca="false">NSG_Requirements!H8/1000</f>
        <v>6.63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218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220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219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141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250</v>
      </c>
      <c r="B18" s="157" t="s">
        <v>251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229</v>
      </c>
      <c r="B19" s="166"/>
      <c r="C19" s="166"/>
      <c r="D19" s="186" t="n">
        <f aca="false">SUM(D6:D18)</f>
        <v>193.55</v>
      </c>
      <c r="E19" s="186" t="n">
        <f aca="false">SUM(E6:E18)</f>
        <v>173.63</v>
      </c>
      <c r="F19" s="186" t="n">
        <f aca="false">SUM(F6:F18)</f>
        <v>176</v>
      </c>
      <c r="G19" s="186" t="n">
        <f aca="false">SUM(G6:G18)</f>
        <v>182</v>
      </c>
      <c r="H19" s="186" t="n">
        <f aca="false">SUM(H6:H18)</f>
        <v>158</v>
      </c>
      <c r="I19" s="187" t="n">
        <f aca="false">SUM(I6:I18)</f>
        <v>145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230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252</v>
      </c>
      <c r="B22" s="125" t="s">
        <v>222</v>
      </c>
      <c r="C22" s="125" t="s">
        <v>253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218</v>
      </c>
      <c r="C23" s="125" t="s">
        <v>254</v>
      </c>
      <c r="D23" s="181" t="n">
        <f aca="false">NSG_Supplies!L7/1000</f>
        <v>50</v>
      </c>
      <c r="E23" s="181" t="n">
        <f aca="false">NSG_Supplies!L8/1000</f>
        <v>50</v>
      </c>
      <c r="F23" s="181" t="n">
        <f aca="false">NSG_Supplies!L9/1000</f>
        <v>50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255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220</v>
      </c>
      <c r="C25" s="139" t="s">
        <v>151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126</v>
      </c>
      <c r="C26" s="125" t="s">
        <v>256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257</v>
      </c>
      <c r="B27" s="139" t="s">
        <v>218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220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219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141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258</v>
      </c>
      <c r="B31" s="125" t="s">
        <v>218</v>
      </c>
      <c r="C31" s="125" t="s">
        <v>259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220</v>
      </c>
      <c r="C32" s="194" t="s">
        <v>260</v>
      </c>
      <c r="D32" s="181" t="n">
        <f aca="false">NSG_Supplies!R7/1000</f>
        <v>123.554</v>
      </c>
      <c r="E32" s="181" t="n">
        <f aca="false">NSG_Supplies!R8/1000</f>
        <v>103.632</v>
      </c>
      <c r="F32" s="181" t="n">
        <f aca="false">NSG_Supplies!R9/1000</f>
        <v>103.632</v>
      </c>
      <c r="G32" s="181" t="n">
        <f aca="false">NSG_Supplies!R10/1000</f>
        <v>103.632</v>
      </c>
      <c r="H32" s="181" t="n">
        <f aca="false">NSG_Supplies!R11/1000</f>
        <v>103.632</v>
      </c>
      <c r="I32" s="182" t="n">
        <f aca="false">NSG_Supplies!R12/1000</f>
        <v>103.632</v>
      </c>
      <c r="J32" s="176"/>
    </row>
    <row r="33" customFormat="false" ht="20.1" hidden="false" customHeight="true" outlineLevel="0" collapsed="false">
      <c r="A33" s="134"/>
      <c r="B33" s="125" t="s">
        <v>218</v>
      </c>
      <c r="C33" s="125" t="s">
        <v>261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243</v>
      </c>
      <c r="B34" s="125" t="s">
        <v>219</v>
      </c>
      <c r="C34" s="125" t="s">
        <v>262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141</v>
      </c>
      <c r="C35" s="139" t="s">
        <v>263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251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243</v>
      </c>
      <c r="B37" s="159"/>
      <c r="C37" s="159"/>
      <c r="D37" s="196" t="n">
        <f aca="false">SUM(D22:D36)</f>
        <v>193.554</v>
      </c>
      <c r="E37" s="196" t="n">
        <f aca="false">SUM(E22:E36)</f>
        <v>173.632</v>
      </c>
      <c r="F37" s="196" t="n">
        <f aca="false">SUM(F22:F36)</f>
        <v>173.632</v>
      </c>
      <c r="G37" s="196" t="n">
        <f aca="false">SUM(G22:G36)</f>
        <v>143.632</v>
      </c>
      <c r="H37" s="196" t="n">
        <f aca="false">SUM(H22:H36)</f>
        <v>143.632</v>
      </c>
      <c r="I37" s="197" t="n">
        <f aca="false">SUM(I22:I36)</f>
        <v>143.632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244</v>
      </c>
      <c r="B38" s="199"/>
      <c r="C38" s="199"/>
      <c r="D38" s="200" t="n">
        <f aca="false">IF(D37-D19&lt;0,0,D37-D19)</f>
        <v>0.00399999999999068</v>
      </c>
      <c r="E38" s="200" t="n">
        <f aca="false">IF(E37-E19&lt;0,0,E37-E19)</f>
        <v>0.00200000000000955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245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2.368</v>
      </c>
      <c r="G39" s="203" t="n">
        <f aca="false">IF(G19-G37&lt;0,0,G19-G37)</f>
        <v>38.368</v>
      </c>
      <c r="H39" s="203" t="n">
        <f aca="false">IF(H19-H37&lt;0,0,H19-H37)</f>
        <v>14.368</v>
      </c>
      <c r="I39" s="204" t="n">
        <f aca="false">IF(I19-I37&lt;0,0,I19-I37)</f>
        <v>1.368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264</v>
      </c>
      <c r="B40" s="206"/>
      <c r="C40" s="206"/>
      <c r="D40" s="207" t="n">
        <f aca="false">NSG_Supplies!S7/1000</f>
        <v>33.545</v>
      </c>
      <c r="E40" s="207" t="n">
        <f aca="false">NSG_Supplies!S8/1000</f>
        <v>33.623</v>
      </c>
      <c r="F40" s="207" t="n">
        <f aca="false">NSG_Supplies!S9/1000</f>
        <v>33.623</v>
      </c>
      <c r="G40" s="207" t="n">
        <f aca="false">NSG_Supplies!S10/1000</f>
        <v>33.623</v>
      </c>
      <c r="H40" s="207" t="n">
        <f aca="false">NSG_Supplies!S11/1000</f>
        <v>33.623</v>
      </c>
      <c r="I40" s="208" t="n">
        <f aca="false">NSG_Supplies!S12/1000</f>
        <v>33.623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265</v>
      </c>
      <c r="B42" s="211"/>
      <c r="C42" s="211"/>
      <c r="D42" s="212" t="n">
        <f aca="false">Weather_Input!D5</f>
        <v>9.9</v>
      </c>
      <c r="E42" s="212" t="n">
        <f aca="false">Weather_Input!D6</f>
        <v>10</v>
      </c>
      <c r="F42" s="212" t="n">
        <f aca="false">Weather_Input!D7</f>
        <v>14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266</v>
      </c>
      <c r="F1" s="217" t="n">
        <f aca="false">Weather_Input!A5</f>
        <v>36956</v>
      </c>
      <c r="G1" s="218" t="str">
        <f aca="false">CHOOSE(WEEKDAY(F1),"SUN","MON","TUE","WED","THU","FRI","SAT")</f>
        <v>TUE</v>
      </c>
      <c r="H1" s="219" t="s">
        <v>267</v>
      </c>
      <c r="I1" s="220"/>
    </row>
    <row r="2" customFormat="false" ht="15.75" hidden="false" customHeight="false" outlineLevel="0" collapsed="false">
      <c r="A2" s="221" t="s">
        <v>1</v>
      </c>
      <c r="B2" s="222" t="s">
        <v>268</v>
      </c>
      <c r="C2" s="223" t="s">
        <v>1</v>
      </c>
      <c r="D2" s="224" t="s">
        <v>269</v>
      </c>
      <c r="E2" s="225"/>
      <c r="F2" s="226" t="s">
        <v>270</v>
      </c>
      <c r="G2" s="225" t="s">
        <v>1</v>
      </c>
      <c r="H2" s="226" t="s">
        <v>271</v>
      </c>
      <c r="I2" s="227"/>
    </row>
    <row r="3" customFormat="false" ht="15" hidden="false" customHeight="false" outlineLevel="0" collapsed="false">
      <c r="A3" s="228" t="s">
        <v>272</v>
      </c>
      <c r="B3" s="224" t="s">
        <v>273</v>
      </c>
      <c r="C3" s="229" t="s">
        <v>1</v>
      </c>
      <c r="D3" s="224" t="s">
        <v>18</v>
      </c>
      <c r="E3" s="229" t="s">
        <v>274</v>
      </c>
      <c r="F3" s="224" t="s">
        <v>18</v>
      </c>
      <c r="G3" s="229" t="s">
        <v>274</v>
      </c>
      <c r="H3" s="224" t="s">
        <v>18</v>
      </c>
      <c r="I3" s="227" t="s">
        <v>274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34</v>
      </c>
      <c r="C4" s="231" t="n">
        <f aca="false">Weather_Input!C5</f>
        <v>23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275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276</v>
      </c>
      <c r="B6" s="242" t="s">
        <v>1</v>
      </c>
      <c r="C6" s="243" t="n">
        <f aca="false">PGL_Deliveries!C5/1000</f>
        <v>1105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277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278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86</v>
      </c>
      <c r="B10" s="257"/>
      <c r="C10" s="258" t="n">
        <f aca="false">+B34</f>
        <v>189.161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279</v>
      </c>
      <c r="B11" s="262" t="s">
        <v>1</v>
      </c>
      <c r="C11" s="255" t="n">
        <f aca="false">B41</f>
        <v>70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280</v>
      </c>
      <c r="B12" s="262" t="s">
        <v>1</v>
      </c>
      <c r="C12" s="255" t="n">
        <f aca="false">B55</f>
        <v>25.81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281</v>
      </c>
      <c r="B13" s="262" t="s">
        <v>1</v>
      </c>
      <c r="C13" s="255" t="n">
        <f aca="false">B47</f>
        <v>86.735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282</v>
      </c>
      <c r="B14" s="263" t="s">
        <v>1</v>
      </c>
      <c r="C14" s="255" t="n">
        <f aca="false">I60</f>
        <v>251.751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283</v>
      </c>
      <c r="B15" s="262" t="s">
        <v>1</v>
      </c>
      <c r="C15" s="264" t="n">
        <f aca="false">PGL_Supplies!I7/1000</f>
        <v>13.875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284</v>
      </c>
      <c r="B16" s="262" t="s">
        <v>3</v>
      </c>
      <c r="C16" s="255" t="n">
        <f aca="false">+B63</f>
        <v>71.538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285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286</v>
      </c>
      <c r="B18" s="265" t="s">
        <v>1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287</v>
      </c>
      <c r="B19" s="267" t="s">
        <v>1</v>
      </c>
      <c r="C19" s="268" t="n">
        <f aca="false">SUM(C9:C17)-C18</f>
        <v>708.87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45</v>
      </c>
      <c r="B20" s="273" t="s">
        <v>1</v>
      </c>
      <c r="C20" s="274"/>
      <c r="D20" s="275"/>
      <c r="E20" s="276"/>
      <c r="F20" s="275"/>
      <c r="G20" s="275" t="s">
        <v>288</v>
      </c>
      <c r="H20" s="275"/>
      <c r="I20" s="252"/>
    </row>
    <row r="21" customFormat="false" ht="15" hidden="false" customHeight="false" outlineLevel="0" collapsed="false">
      <c r="A21" s="253" t="s">
        <v>289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290</v>
      </c>
      <c r="B22" s="262" t="s">
        <v>1</v>
      </c>
      <c r="C22" s="255" t="n">
        <f aca="false">C6+C7-C19</f>
        <v>396.13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291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292</v>
      </c>
      <c r="B24" s="282" t="s">
        <v>1</v>
      </c>
      <c r="C24" s="283" t="n">
        <f aca="false">+B56</f>
        <v>103.2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293</v>
      </c>
      <c r="B25" s="289" t="s">
        <v>1</v>
      </c>
      <c r="C25" s="290" t="n">
        <f aca="false">SUM(C22:C24)</f>
        <v>499.33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294</v>
      </c>
      <c r="B26" s="294"/>
      <c r="C26" s="277" t="n">
        <f aca="false">SUM(-PGL_Supplies!M7/1000)</f>
        <v>-220.35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295</v>
      </c>
      <c r="B27" s="301"/>
      <c r="C27" s="302" t="n">
        <f aca="false">PGL_Requirements!O7/1000</f>
        <v>0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296</v>
      </c>
      <c r="B28" s="306"/>
      <c r="C28" s="307" t="n">
        <f aca="false">-PGL_Supplies!L7/1000</f>
        <v>-20.712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297</v>
      </c>
      <c r="B29" s="311"/>
      <c r="C29" s="307" t="n">
        <f aca="false">-PGL_Supplies!AC7/1000</f>
        <v>-180.95</v>
      </c>
      <c r="D29" s="308" t="s">
        <v>1</v>
      </c>
      <c r="E29" s="307" t="n">
        <f aca="false">-PGL_Supplies!AC7/1000</f>
        <v>-180.95</v>
      </c>
      <c r="F29" s="304"/>
      <c r="G29" s="307" t="n">
        <f aca="false">-PGL_Supplies!AC7/1000</f>
        <v>-180.95</v>
      </c>
      <c r="H29" s="299"/>
      <c r="I29" s="300" t="n">
        <f aca="false">-PGL_Supplies!AC7/1000</f>
        <v>-180.95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86</v>
      </c>
      <c r="D30" s="315"/>
      <c r="E30" s="316"/>
      <c r="F30" s="317" t="s">
        <v>298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299</v>
      </c>
      <c r="B31" s="319" t="n">
        <f aca="false">PGL_Requirements!J7/1000</f>
        <v>0</v>
      </c>
      <c r="C31" s="320"/>
      <c r="D31" s="321"/>
      <c r="E31" s="320"/>
      <c r="F31" s="293" t="s">
        <v>300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301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302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303</v>
      </c>
      <c r="B33" s="319" t="n">
        <f aca="false">PGL_Supplies!Y7/1000</f>
        <v>189.161</v>
      </c>
      <c r="C33" s="330" t="s">
        <v>1</v>
      </c>
      <c r="D33" s="331"/>
      <c r="E33" s="332"/>
      <c r="F33" s="293" t="s">
        <v>304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305</v>
      </c>
      <c r="B34" s="334" t="n">
        <f aca="false">+B33+B32-B31</f>
        <v>189.161</v>
      </c>
      <c r="C34" s="335" t="s">
        <v>1</v>
      </c>
      <c r="D34" s="336"/>
      <c r="E34" s="337"/>
      <c r="F34" s="293" t="s">
        <v>306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87</v>
      </c>
      <c r="D35" s="340"/>
      <c r="E35" s="341"/>
      <c r="F35" s="293" t="s">
        <v>307</v>
      </c>
      <c r="G35" s="322"/>
      <c r="H35" s="328"/>
      <c r="I35" s="342" t="s">
        <v>308</v>
      </c>
      <c r="L35" s="310"/>
    </row>
    <row r="36" customFormat="false" ht="15" hidden="false" customHeight="false" outlineLevel="0" collapsed="false">
      <c r="A36" s="293" t="s">
        <v>309</v>
      </c>
      <c r="B36" s="319" t="n">
        <f aca="false">PGL_Requirements!U7/1000</f>
        <v>0</v>
      </c>
      <c r="C36" s="318"/>
      <c r="D36" s="326"/>
      <c r="E36" s="327"/>
      <c r="F36" s="343" t="s">
        <v>310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311</v>
      </c>
      <c r="B37" s="319" t="n">
        <f aca="false">PGL_Supplies!R7/1000</f>
        <v>0</v>
      </c>
      <c r="C37" s="326"/>
      <c r="D37" s="326"/>
      <c r="E37" s="327"/>
      <c r="F37" s="293" t="s">
        <v>312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313</v>
      </c>
      <c r="B38" s="319" t="n">
        <f aca="false">PGL_Requirements!C7/1000</f>
        <v>0</v>
      </c>
      <c r="C38" s="257"/>
      <c r="D38" s="345"/>
      <c r="E38" s="346"/>
      <c r="F38" s="293" t="s">
        <v>314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315</v>
      </c>
      <c r="B39" s="319" t="n">
        <f aca="false">PGL_Supplies!C7/1000</f>
        <v>0</v>
      </c>
      <c r="C39" s="257"/>
      <c r="D39" s="345"/>
      <c r="E39" s="347"/>
      <c r="F39" s="348" t="s">
        <v>316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317</v>
      </c>
      <c r="B40" s="319" t="n">
        <f aca="false">PGL_Supplies!Z7/1000</f>
        <v>70</v>
      </c>
      <c r="C40" s="41"/>
      <c r="D40" s="351"/>
      <c r="E40" s="41"/>
      <c r="F40" s="352" t="s">
        <v>318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305</v>
      </c>
      <c r="B41" s="354" t="n">
        <f aca="false">B40+B37-B36-B38+B39</f>
        <v>70</v>
      </c>
      <c r="C41" s="336"/>
      <c r="D41" s="336"/>
      <c r="E41" s="337"/>
      <c r="F41" s="293" t="s">
        <v>319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88</v>
      </c>
      <c r="D42" s="358"/>
      <c r="E42" s="359" t="s">
        <v>1</v>
      </c>
      <c r="F42" s="293" t="s">
        <v>320</v>
      </c>
      <c r="G42" s="322"/>
      <c r="H42" s="328"/>
      <c r="I42" s="324"/>
    </row>
    <row r="43" customFormat="false" ht="15" hidden="false" customHeight="false" outlineLevel="0" collapsed="false">
      <c r="A43" s="293" t="s">
        <v>321</v>
      </c>
      <c r="B43" s="319" t="n">
        <f aca="false">NSG_Supplies!O7/1000+PGL_Supplies!AA7/1000</f>
        <v>86.735</v>
      </c>
      <c r="C43" s="355"/>
      <c r="D43" s="326"/>
      <c r="E43" s="360"/>
      <c r="F43" s="293" t="s">
        <v>52</v>
      </c>
      <c r="G43" s="322"/>
      <c r="H43" s="355"/>
      <c r="I43" s="324"/>
    </row>
    <row r="44" customFormat="false" ht="15" hidden="false" customHeight="false" outlineLevel="0" collapsed="false">
      <c r="A44" s="361" t="s">
        <v>322</v>
      </c>
      <c r="B44" s="319" t="n">
        <v>0</v>
      </c>
      <c r="C44" s="318"/>
      <c r="D44" s="326"/>
      <c r="E44" s="360"/>
      <c r="F44" s="343" t="s">
        <v>323</v>
      </c>
      <c r="G44" s="362"/>
      <c r="H44" s="363"/>
      <c r="I44" s="324"/>
    </row>
    <row r="45" customFormat="false" ht="15.75" hidden="false" customHeight="false" outlineLevel="0" collapsed="false">
      <c r="A45" s="293" t="s">
        <v>324</v>
      </c>
      <c r="B45" s="364" t="n">
        <f aca="false">PGL_Requirements!D7/1000</f>
        <v>0</v>
      </c>
      <c r="C45" s="355"/>
      <c r="D45" s="326"/>
      <c r="E45" s="360"/>
      <c r="F45" s="343" t="s">
        <v>325</v>
      </c>
      <c r="G45" s="362"/>
      <c r="H45" s="365"/>
      <c r="I45" s="324"/>
    </row>
    <row r="46" customFormat="false" ht="16.5" hidden="false" customHeight="false" outlineLevel="0" collapsed="false">
      <c r="A46" s="293" t="s">
        <v>326</v>
      </c>
      <c r="B46" s="319" t="n">
        <f aca="false">PGL_Supplies!D7/1000</f>
        <v>0</v>
      </c>
      <c r="C46" s="355"/>
      <c r="D46" s="326"/>
      <c r="E46" s="360"/>
      <c r="F46" s="366" t="s">
        <v>327</v>
      </c>
      <c r="G46" s="367"/>
      <c r="H46" s="368"/>
      <c r="I46" s="324"/>
    </row>
    <row r="47" customFormat="false" ht="16.5" hidden="false" customHeight="false" outlineLevel="0" collapsed="false">
      <c r="A47" s="333" t="s">
        <v>305</v>
      </c>
      <c r="B47" s="369" t="n">
        <f aca="false">B43+B44-B45+B46</f>
        <v>86.735</v>
      </c>
      <c r="C47" s="370"/>
      <c r="D47" s="336"/>
      <c r="E47" s="371"/>
      <c r="F47" s="372" t="s">
        <v>1</v>
      </c>
      <c r="G47" s="373" t="s">
        <v>328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76</v>
      </c>
      <c r="D48" s="358"/>
      <c r="E48" s="358"/>
      <c r="F48" s="375" t="s">
        <v>291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94</v>
      </c>
      <c r="B49" s="319" t="n">
        <f aca="false">PGL_Requirements!P7/1000</f>
        <v>289.515</v>
      </c>
      <c r="C49" s="326"/>
      <c r="D49" s="326"/>
      <c r="E49" s="326"/>
      <c r="F49" s="379" t="s">
        <v>329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330</v>
      </c>
      <c r="B50" s="319" t="n">
        <f aca="false">PGL_Supplies!M7/1000</f>
        <v>220.35</v>
      </c>
      <c r="C50" s="326"/>
      <c r="D50" s="326"/>
      <c r="E50" s="326"/>
      <c r="F50" s="381" t="s">
        <v>331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332</v>
      </c>
      <c r="B51" s="319" t="n">
        <f aca="false">SUM(PGL_Requirements!B7/1000)</f>
        <v>7.525</v>
      </c>
      <c r="C51" s="326"/>
      <c r="D51" s="326"/>
      <c r="E51" s="326"/>
      <c r="F51" s="385" t="s">
        <v>333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334</v>
      </c>
      <c r="B52" s="319" t="n">
        <f aca="false">PGL_Supplies!H7/1000</f>
        <v>0</v>
      </c>
      <c r="C52" s="326"/>
      <c r="D52" s="326"/>
      <c r="E52" s="326"/>
      <c r="F52" s="387" t="s">
        <v>335</v>
      </c>
      <c r="G52" s="387"/>
      <c r="H52" s="387"/>
      <c r="I52" s="387"/>
    </row>
    <row r="53" customFormat="false" ht="15" hidden="false" customHeight="false" outlineLevel="0" collapsed="false">
      <c r="A53" s="343" t="s">
        <v>336</v>
      </c>
      <c r="B53" s="319" t="n">
        <f aca="false">PGL_Requirements!R7/1000</f>
        <v>0.7</v>
      </c>
      <c r="C53" s="326"/>
      <c r="D53" s="326"/>
      <c r="E53" s="326"/>
      <c r="F53" s="388" t="s">
        <v>337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338</v>
      </c>
      <c r="B54" s="319" t="n">
        <f aca="false">PGL_Requirements!Q7/1000</f>
        <v>4.342725</v>
      </c>
      <c r="C54" s="331"/>
      <c r="D54" s="331"/>
      <c r="E54" s="331"/>
      <c r="F54" s="387" t="s">
        <v>339</v>
      </c>
      <c r="G54" s="387"/>
      <c r="H54" s="387"/>
      <c r="I54" s="387"/>
    </row>
    <row r="55" customFormat="false" ht="16.5" hidden="false" customHeight="false" outlineLevel="0" collapsed="false">
      <c r="A55" s="333" t="s">
        <v>333</v>
      </c>
      <c r="B55" s="392" t="n">
        <f aca="false">-B49+B50+B52+B56+B57-B53-B51</f>
        <v>25.81</v>
      </c>
      <c r="C55" s="393"/>
      <c r="D55" s="393"/>
      <c r="E55" s="337"/>
      <c r="F55" s="352" t="s">
        <v>340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341</v>
      </c>
      <c r="B56" s="319" t="n">
        <v>103.2</v>
      </c>
      <c r="C56" s="323"/>
      <c r="D56" s="323"/>
      <c r="E56" s="397"/>
      <c r="F56" s="343" t="s">
        <v>342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343</v>
      </c>
      <c r="B57" s="400" t="n">
        <v>0</v>
      </c>
      <c r="C57" s="401"/>
      <c r="D57" s="401"/>
      <c r="E57" s="402"/>
      <c r="F57" s="293" t="s">
        <v>160</v>
      </c>
      <c r="G57" s="403"/>
      <c r="H57" s="398" t="n">
        <f aca="false">PGL_Supplies!AB7/1000+NSG_Supplies!N7/1000</f>
        <v>251.751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44</v>
      </c>
      <c r="D58" s="406"/>
      <c r="E58" s="407"/>
      <c r="F58" s="41" t="s">
        <v>344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345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346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347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348</v>
      </c>
      <c r="G60" s="412"/>
      <c r="H60" s="412"/>
      <c r="I60" s="413" t="n">
        <f aca="false">SUM(H55:H59)-SUM(I55:I59)</f>
        <v>251.751</v>
      </c>
    </row>
    <row r="61" customFormat="false" ht="15" hidden="false" customHeight="false" outlineLevel="0" collapsed="false">
      <c r="A61" s="293" t="s">
        <v>349</v>
      </c>
      <c r="B61" s="319" t="n">
        <f aca="false">PGL_Supplies!G7/1000</f>
        <v>0</v>
      </c>
      <c r="C61" s="319"/>
      <c r="D61" s="326"/>
      <c r="E61" s="328"/>
      <c r="F61" s="414" t="s">
        <v>350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160</v>
      </c>
      <c r="B62" s="418" t="n">
        <f aca="false">PGL_Supplies!AD7/1000</f>
        <v>71.538</v>
      </c>
      <c r="C62" s="419" t="s">
        <v>1</v>
      </c>
      <c r="D62" s="331"/>
      <c r="E62" s="420"/>
      <c r="F62" s="421" t="s">
        <v>351</v>
      </c>
      <c r="G62" s="318"/>
      <c r="H62" s="422" t="s">
        <v>1</v>
      </c>
      <c r="I62" s="423" t="n">
        <f aca="false">H57-I59</f>
        <v>251.751</v>
      </c>
    </row>
    <row r="63" customFormat="false" ht="16.5" hidden="false" customHeight="false" outlineLevel="0" collapsed="false">
      <c r="A63" s="424" t="s">
        <v>352</v>
      </c>
      <c r="B63" s="425" t="n">
        <f aca="false">+B62+B61-B60+B59</f>
        <v>71.538</v>
      </c>
      <c r="C63" s="369" t="s">
        <v>1</v>
      </c>
      <c r="D63" s="336"/>
      <c r="E63" s="337"/>
      <c r="F63" s="426" t="s">
        <v>353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354</v>
      </c>
      <c r="B64" s="429"/>
      <c r="C64" s="430" t="s">
        <v>1</v>
      </c>
      <c r="D64" s="430" t="s">
        <v>1</v>
      </c>
      <c r="E64" s="431" t="s">
        <v>1</v>
      </c>
      <c r="F64" s="432" t="s">
        <v>355</v>
      </c>
      <c r="G64" s="259"/>
      <c r="H64" s="345"/>
      <c r="I64" s="346"/>
    </row>
    <row r="65" customFormat="false" ht="15.75" hidden="false" customHeight="false" outlineLevel="0" collapsed="false">
      <c r="A65" s="343" t="s">
        <v>356</v>
      </c>
      <c r="B65" s="433"/>
      <c r="C65" s="434" t="s">
        <v>1</v>
      </c>
      <c r="D65" s="434" t="s">
        <v>1</v>
      </c>
      <c r="E65" s="435" t="s">
        <v>1</v>
      </c>
      <c r="F65" s="436" t="s">
        <v>357</v>
      </c>
      <c r="H65" s="437"/>
      <c r="I65" s="438"/>
    </row>
    <row r="66" customFormat="false" ht="16.5" hidden="false" customHeight="false" outlineLevel="0" collapsed="false">
      <c r="A66" s="439" t="s">
        <v>358</v>
      </c>
      <c r="B66" s="440"/>
      <c r="C66" s="441" t="s">
        <v>1</v>
      </c>
      <c r="D66" s="441" t="s">
        <v>1</v>
      </c>
      <c r="E66" s="442" t="s">
        <v>1</v>
      </c>
      <c r="F66" s="387" t="s">
        <v>359</v>
      </c>
      <c r="G66" s="387"/>
      <c r="H66" s="387"/>
      <c r="I66" s="387"/>
    </row>
    <row r="67" customFormat="false" ht="16.5" hidden="false" customHeight="false" outlineLevel="0" collapsed="false">
      <c r="A67" s="443" t="s">
        <v>360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361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362</v>
      </c>
      <c r="B68" s="451"/>
      <c r="C68" s="41"/>
      <c r="D68" s="451"/>
      <c r="E68" s="41"/>
      <c r="F68" s="379" t="s">
        <v>363</v>
      </c>
      <c r="G68" s="326"/>
      <c r="H68" s="395"/>
      <c r="I68" s="452"/>
    </row>
    <row r="69" customFormat="false" ht="16.5" hidden="false" customHeight="false" outlineLevel="0" collapsed="false">
      <c r="A69" s="333" t="s">
        <v>364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365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366</v>
      </c>
      <c r="G70" s="461"/>
      <c r="H70" s="462" t="s">
        <v>367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266</v>
      </c>
      <c r="F1" s="218" t="str">
        <f aca="false">CHOOSE(WEEKDAY(G1),"SUN","MON","TUE","WED","THU","FRI","SAT")</f>
        <v>TUE</v>
      </c>
      <c r="G1" s="467" t="n">
        <f aca="false">Weather_Input!A5</f>
        <v>36956</v>
      </c>
      <c r="H1" s="216" t="s">
        <v>267</v>
      </c>
      <c r="I1" s="220"/>
    </row>
    <row r="2" customFormat="false" ht="20.25" hidden="false" customHeight="false" outlineLevel="0" collapsed="false">
      <c r="A2" s="468" t="s">
        <v>1</v>
      </c>
      <c r="B2" s="469" t="s">
        <v>368</v>
      </c>
      <c r="C2" s="470" t="s">
        <v>1</v>
      </c>
      <c r="D2" s="39" t="s">
        <v>269</v>
      </c>
      <c r="E2" s="471"/>
      <c r="F2" s="39" t="s">
        <v>270</v>
      </c>
      <c r="G2" s="471"/>
      <c r="H2" s="472" t="s">
        <v>369</v>
      </c>
      <c r="I2" s="473"/>
    </row>
    <row r="3" customFormat="false" ht="20.25" hidden="false" customHeight="false" outlineLevel="0" collapsed="false">
      <c r="A3" s="474" t="s">
        <v>370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34</v>
      </c>
      <c r="C4" s="481" t="n">
        <f aca="false">Weather_Input!C5</f>
        <v>23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214</v>
      </c>
      <c r="B5" s="487"/>
      <c r="C5" s="488" t="n">
        <f aca="false">NSG_Deliveries!C5/1000</f>
        <v>185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130</v>
      </c>
      <c r="B7" s="487"/>
      <c r="C7" s="497" t="n">
        <f aca="false">C5-C9-C11-C12</f>
        <v>115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371</v>
      </c>
      <c r="B9" s="501"/>
      <c r="C9" s="502" t="n">
        <f aca="false">B46</f>
        <v>20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372</v>
      </c>
      <c r="B11" s="511"/>
      <c r="C11" s="512" t="n">
        <f aca="false">B38</f>
        <v>50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373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148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167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374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375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376</v>
      </c>
      <c r="B18" s="492"/>
      <c r="C18" s="493" t="s">
        <v>1</v>
      </c>
      <c r="D18" s="494"/>
      <c r="E18" s="493"/>
      <c r="F18" s="494"/>
      <c r="G18" s="275" t="s">
        <v>288</v>
      </c>
      <c r="H18" s="492"/>
      <c r="I18" s="539"/>
    </row>
    <row r="19" customFormat="false" ht="24" hidden="false" customHeight="false" outlineLevel="0" collapsed="false">
      <c r="A19" s="540" t="s">
        <v>293</v>
      </c>
      <c r="B19" s="541"/>
      <c r="C19" s="542" t="n">
        <f aca="false">C7+C12</f>
        <v>115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377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378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379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380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295</v>
      </c>
      <c r="B24" s="555"/>
      <c r="C24" s="548" t="n">
        <f aca="false">NSG_Requirements!H7/1000</f>
        <v>8.55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296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297</v>
      </c>
      <c r="B26" s="555"/>
      <c r="C26" s="548" t="n">
        <f aca="false">-NSG_Supplies!R7/1000</f>
        <v>-123.554</v>
      </c>
      <c r="D26" s="556"/>
      <c r="E26" s="548" t="n">
        <f aca="false">-NSG_Supplies!R7/1000</f>
        <v>-123.554</v>
      </c>
      <c r="F26" s="556"/>
      <c r="G26" s="548" t="n">
        <f aca="false">-NSG_Supplies!R7/1000</f>
        <v>-123.554</v>
      </c>
      <c r="H26" s="555"/>
      <c r="I26" s="557" t="n">
        <f aca="false">-NSG_Supplies!R7/1000</f>
        <v>-123.554</v>
      </c>
    </row>
    <row r="27" customFormat="false" ht="20.25" hidden="false" customHeight="false" outlineLevel="0" collapsed="false">
      <c r="A27" s="546" t="s">
        <v>381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382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372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383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384</v>
      </c>
      <c r="G30" s="576"/>
      <c r="H30" s="576"/>
      <c r="I30" s="577"/>
    </row>
    <row r="31" customFormat="false" ht="20.25" hidden="false" customHeight="false" outlineLevel="0" collapsed="false">
      <c r="A31" s="578" t="s">
        <v>385</v>
      </c>
      <c r="B31" s="579" t="n">
        <f aca="false">NSG_Supplies!L7/1000+PGL_Requirements!V7/1000</f>
        <v>50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386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387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135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388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389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160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390</v>
      </c>
      <c r="B38" s="589" t="n">
        <f aca="false">-B30+B31+B32-B33-B34-B35+B36+B37</f>
        <v>50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391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392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393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394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395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396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397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390</v>
      </c>
      <c r="B46" s="599" t="n">
        <f aca="false">B45+B42-B41</f>
        <v>20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88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398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399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135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160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400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401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402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266</v>
      </c>
      <c r="F1" s="625" t="n">
        <f aca="false">Weather_Input!A5</f>
        <v>36956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403</v>
      </c>
      <c r="C3" s="629" t="n">
        <v>44</v>
      </c>
      <c r="D3" s="229"/>
      <c r="E3" s="229"/>
      <c r="F3" s="629" t="s">
        <v>404</v>
      </c>
      <c r="G3" s="629"/>
      <c r="H3" s="229" t="s">
        <v>271</v>
      </c>
      <c r="I3" s="227"/>
    </row>
    <row r="4" customFormat="false" ht="17.1" hidden="false" customHeight="true" outlineLevel="0" collapsed="false">
      <c r="A4" s="241" t="s">
        <v>405</v>
      </c>
      <c r="B4" s="241" t="s">
        <v>405</v>
      </c>
      <c r="C4" s="278" t="s">
        <v>274</v>
      </c>
      <c r="D4" s="278" t="s">
        <v>18</v>
      </c>
      <c r="E4" s="278" t="s">
        <v>274</v>
      </c>
      <c r="F4" s="278" t="s">
        <v>18</v>
      </c>
      <c r="G4" s="278" t="s">
        <v>274</v>
      </c>
      <c r="H4" s="278" t="s">
        <v>18</v>
      </c>
      <c r="I4" s="235" t="s">
        <v>274</v>
      </c>
    </row>
    <row r="5" customFormat="false" ht="17.1" hidden="false" customHeight="true" outlineLevel="0" collapsed="false">
      <c r="A5" s="241" t="s">
        <v>406</v>
      </c>
      <c r="B5" s="278" t="n">
        <f aca="false">Weather_Input!B5</f>
        <v>34</v>
      </c>
      <c r="C5" s="278" t="n">
        <f aca="false">Weather_Input!C5</f>
        <v>23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407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408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409</v>
      </c>
      <c r="B8" s="632" t="n">
        <f aca="false">PGL_Deliveries!C5/1000</f>
        <v>1105</v>
      </c>
      <c r="C8" s="633" t="n">
        <f aca="false">NSG_Deliveries!C5/1000</f>
        <v>185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65</v>
      </c>
      <c r="C9" s="637" t="s">
        <v>126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87</v>
      </c>
      <c r="B10" s="262" t="n">
        <f aca="false">B62</f>
        <v>70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410</v>
      </c>
      <c r="B11" s="262" t="n">
        <f aca="false">+B54</f>
        <v>358.02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411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96</v>
      </c>
      <c r="B13" s="262" t="n">
        <f aca="false">PGL_Supplies!I7/1000</f>
        <v>13.875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412</v>
      </c>
      <c r="B14" s="263" t="n">
        <f aca="false">+B72</f>
        <v>-28.816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69</v>
      </c>
      <c r="B15" s="262" t="n">
        <f aca="false">+B46</f>
        <v>220.35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413</v>
      </c>
      <c r="B16" s="262" t="n">
        <f aca="false">PGL_Requirements!G7/1000</f>
        <v>0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414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415</v>
      </c>
      <c r="B18" s="646" t="n">
        <f aca="false">-B10-B11-B12-B13-B14-B15+B16-B17</f>
        <v>-633.429</v>
      </c>
      <c r="C18" s="647" t="n">
        <f aca="false">-I63</f>
        <v>-50</v>
      </c>
      <c r="D18" s="648" t="s">
        <v>1</v>
      </c>
      <c r="E18" s="647" t="n">
        <f aca="false">-I63</f>
        <v>-50</v>
      </c>
      <c r="F18" s="648" t="s">
        <v>1</v>
      </c>
      <c r="G18" s="647" t="n">
        <f aca="false">-I63</f>
        <v>-50</v>
      </c>
      <c r="H18" s="648" t="s">
        <v>1</v>
      </c>
      <c r="I18" s="649"/>
    </row>
    <row r="19" customFormat="false" ht="17.1" hidden="false" customHeight="true" outlineLevel="0" collapsed="false">
      <c r="A19" s="253" t="s">
        <v>77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416</v>
      </c>
      <c r="B20" s="262" t="n">
        <f aca="false">B8+B18+B19</f>
        <v>471.571</v>
      </c>
      <c r="C20" s="651" t="n">
        <f aca="false">C8+C18+C19</f>
        <v>135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417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418</v>
      </c>
      <c r="B22" s="262" t="n">
        <f aca="false">+B44</f>
        <v>4.342725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419</v>
      </c>
      <c r="B23" s="654" t="n">
        <f aca="false">B20+B21+B22</f>
        <v>475.913725</v>
      </c>
      <c r="C23" s="655" t="n">
        <f aca="false">C20</f>
        <v>135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420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421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422</v>
      </c>
      <c r="B27" s="662" t="n">
        <f aca="false">PGL_Requirements!R7/1000</f>
        <v>0.7</v>
      </c>
      <c r="C27" s="662" t="n">
        <f aca="false">NSG_Requirements!P7/1000</f>
        <v>0</v>
      </c>
      <c r="D27" s="662" t="n">
        <f aca="false">PGL_Requirements!R7/1000</f>
        <v>0.7</v>
      </c>
      <c r="E27" s="662" t="n">
        <f aca="false">NSG_Requirements!P7/1000</f>
        <v>0</v>
      </c>
      <c r="F27" s="662" t="n">
        <f aca="false">PGL_Requirements!R7/1000</f>
        <v>0.7</v>
      </c>
      <c r="G27" s="662" t="n">
        <f aca="false">NSG_Requirements!P7/1000</f>
        <v>0</v>
      </c>
      <c r="H27" s="663" t="n">
        <f aca="false">+B27</f>
        <v>0.7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423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424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425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426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297</v>
      </c>
      <c r="B32" s="325" t="n">
        <f aca="false">-PGL_Supplies!AC7/1000</f>
        <v>-180.95</v>
      </c>
      <c r="C32" s="325" t="n">
        <f aca="false">-NSG_Supplies!R7/1000</f>
        <v>-123.554</v>
      </c>
      <c r="D32" s="325" t="n">
        <f aca="false">B32</f>
        <v>-180.95</v>
      </c>
      <c r="E32" s="325" t="n">
        <f aca="false">C32</f>
        <v>-123.554</v>
      </c>
      <c r="F32" s="325" t="n">
        <f aca="false">B32</f>
        <v>-180.95</v>
      </c>
      <c r="G32" s="325" t="n">
        <f aca="false">C32</f>
        <v>-123.554</v>
      </c>
      <c r="H32" s="666" t="n">
        <f aca="false">B32</f>
        <v>-180.95</v>
      </c>
      <c r="I32" s="667" t="n">
        <f aca="false">C32</f>
        <v>-123.554</v>
      </c>
    </row>
    <row r="33" customFormat="false" ht="17.1" hidden="false" customHeight="true" outlineLevel="0" collapsed="false">
      <c r="A33" s="665" t="s">
        <v>427</v>
      </c>
      <c r="B33" s="325" t="n">
        <f aca="false">-PGL_Supplies!X7/1000</f>
        <v>-0</v>
      </c>
      <c r="C33" s="325" t="n">
        <f aca="false">-NSG_Supplies!S7/1000</f>
        <v>-33.545</v>
      </c>
      <c r="D33" s="325" t="n">
        <f aca="false">B33</f>
        <v>-0</v>
      </c>
      <c r="E33" s="325" t="n">
        <f aca="false">C33</f>
        <v>-33.545</v>
      </c>
      <c r="F33" s="325" t="n">
        <f aca="false">B33</f>
        <v>-0</v>
      </c>
      <c r="G33" s="325" t="n">
        <f aca="false">C33</f>
        <v>-33.545</v>
      </c>
      <c r="H33" s="666" t="n">
        <f aca="false">B33</f>
        <v>-0</v>
      </c>
      <c r="I33" s="667" t="n">
        <f aca="false">C33</f>
        <v>-33.545</v>
      </c>
    </row>
    <row r="34" customFormat="false" ht="17.1" hidden="false" customHeight="true" outlineLevel="0" collapsed="false">
      <c r="A34" s="661" t="s">
        <v>428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429</v>
      </c>
      <c r="B35" s="662" t="n">
        <f aca="false">PGL_Requirements!O7/1000</f>
        <v>0</v>
      </c>
      <c r="C35" s="662" t="n">
        <f aca="false">NSG_Requirements!H7/1000</f>
        <v>8.55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430</v>
      </c>
      <c r="B36" s="325" t="n">
        <f aca="false">-PGL_Supplies!L7/1000</f>
        <v>-20.712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431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432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433</v>
      </c>
      <c r="C39" s="675"/>
      <c r="D39" s="315"/>
      <c r="E39" s="316"/>
      <c r="F39" s="317" t="s">
        <v>298</v>
      </c>
      <c r="G39" s="317"/>
      <c r="H39" s="317"/>
      <c r="I39" s="317"/>
    </row>
    <row r="40" customFormat="false" ht="17.1" hidden="false" customHeight="true" outlineLevel="0" collapsed="false">
      <c r="A40" s="293" t="s">
        <v>101</v>
      </c>
      <c r="B40" s="325" t="n">
        <f aca="false">PGL_Requirements!P7/1000</f>
        <v>289.515</v>
      </c>
      <c r="C40" s="325" t="s">
        <v>1</v>
      </c>
      <c r="D40" s="676"/>
      <c r="E40" s="327"/>
      <c r="F40" s="677" t="s">
        <v>434</v>
      </c>
      <c r="G40" s="326"/>
      <c r="H40" s="678"/>
      <c r="I40" s="324"/>
    </row>
    <row r="41" customFormat="false" ht="17.1" hidden="false" customHeight="true" outlineLevel="0" collapsed="false">
      <c r="A41" s="293" t="s">
        <v>435</v>
      </c>
      <c r="B41" s="319" t="n">
        <f aca="false">PGL_Supplies!M7/1000</f>
        <v>220.35</v>
      </c>
      <c r="C41" s="325" t="s">
        <v>1</v>
      </c>
      <c r="D41" s="326"/>
      <c r="E41" s="327"/>
      <c r="F41" s="679" t="s">
        <v>436</v>
      </c>
      <c r="G41" s="326"/>
      <c r="H41" s="328"/>
      <c r="I41" s="324"/>
    </row>
    <row r="42" customFormat="false" ht="17.1" hidden="false" customHeight="true" outlineLevel="0" collapsed="false">
      <c r="A42" s="293" t="s">
        <v>437</v>
      </c>
      <c r="B42" s="325" t="n">
        <f aca="false">PGL_Requirements!B7/1000</f>
        <v>7.525</v>
      </c>
      <c r="C42" s="325" t="s">
        <v>1</v>
      </c>
      <c r="D42" s="326"/>
      <c r="E42" s="327"/>
      <c r="F42" s="679" t="s">
        <v>438</v>
      </c>
      <c r="G42" s="326"/>
      <c r="H42" s="328"/>
      <c r="I42" s="324"/>
    </row>
    <row r="43" customFormat="false" ht="17.1" hidden="false" customHeight="true" outlineLevel="0" collapsed="false">
      <c r="A43" s="293" t="s">
        <v>439</v>
      </c>
      <c r="B43" s="325" t="n">
        <f aca="false">PGL_Supplies!H7/1000</f>
        <v>0</v>
      </c>
      <c r="C43" s="326"/>
      <c r="D43" s="326"/>
      <c r="E43" s="327"/>
      <c r="F43" s="679" t="s">
        <v>440</v>
      </c>
      <c r="G43" s="326"/>
      <c r="H43" s="328"/>
      <c r="I43" s="324"/>
    </row>
    <row r="44" customFormat="false" ht="17.1" hidden="false" customHeight="true" outlineLevel="0" collapsed="false">
      <c r="A44" s="293" t="s">
        <v>418</v>
      </c>
      <c r="B44" s="680" t="n">
        <f aca="false">+B48+B47+B45</f>
        <v>4.342725</v>
      </c>
      <c r="C44" s="681"/>
      <c r="D44" s="326"/>
      <c r="E44" s="327"/>
      <c r="F44" s="679" t="s">
        <v>441</v>
      </c>
      <c r="G44" s="326"/>
      <c r="H44" s="328"/>
      <c r="I44" s="324"/>
    </row>
    <row r="45" customFormat="false" ht="17.1" hidden="false" customHeight="true" outlineLevel="0" collapsed="false">
      <c r="A45" s="293" t="s">
        <v>103</v>
      </c>
      <c r="B45" s="325" t="n">
        <f aca="false">PGL_Requirements!Q7/1000</f>
        <v>4.342725</v>
      </c>
      <c r="C45" s="326"/>
      <c r="D45" s="326"/>
      <c r="E45" s="327"/>
      <c r="F45" s="682" t="s">
        <v>442</v>
      </c>
      <c r="G45" s="326"/>
      <c r="H45" s="328"/>
      <c r="I45" s="324"/>
    </row>
    <row r="46" customFormat="false" ht="17.1" hidden="false" customHeight="true" outlineLevel="0" collapsed="false">
      <c r="A46" s="665" t="s">
        <v>443</v>
      </c>
      <c r="B46" s="325" t="n">
        <f aca="false">+B47+B43+B41</f>
        <v>220.35</v>
      </c>
      <c r="C46" s="326"/>
      <c r="D46" s="326"/>
      <c r="E46" s="327"/>
      <c r="F46" s="679" t="s">
        <v>444</v>
      </c>
      <c r="G46" s="326"/>
      <c r="H46" s="328"/>
      <c r="I46" s="324"/>
    </row>
    <row r="47" customFormat="false" ht="17.1" hidden="false" customHeight="true" outlineLevel="0" collapsed="false">
      <c r="A47" s="293" t="s">
        <v>343</v>
      </c>
      <c r="B47" s="683" t="n">
        <v>0</v>
      </c>
      <c r="C47" s="326"/>
      <c r="D47" s="326"/>
      <c r="E47" s="327"/>
      <c r="F47" s="679" t="s">
        <v>445</v>
      </c>
      <c r="G47" s="326"/>
      <c r="H47" s="328"/>
      <c r="I47" s="324"/>
    </row>
    <row r="48" customFormat="false" ht="17.1" hidden="false" customHeight="true" outlineLevel="0" collapsed="false">
      <c r="A48" s="293" t="s">
        <v>341</v>
      </c>
      <c r="B48" s="684" t="n">
        <v>0</v>
      </c>
      <c r="C48" s="685"/>
      <c r="D48" s="685"/>
      <c r="E48" s="686"/>
      <c r="F48" s="679" t="s">
        <v>446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447</v>
      </c>
      <c r="C49" s="688"/>
      <c r="D49" s="688"/>
      <c r="E49" s="689" t="s">
        <v>1</v>
      </c>
      <c r="F49" s="690" t="s">
        <v>448</v>
      </c>
      <c r="G49" s="331"/>
      <c r="H49" s="353"/>
      <c r="I49" s="324"/>
    </row>
    <row r="50" customFormat="false" ht="17.1" hidden="false" customHeight="true" outlineLevel="0" collapsed="false">
      <c r="A50" s="293" t="s">
        <v>449</v>
      </c>
      <c r="B50" s="319" t="n">
        <f aca="false">PGL_Supplies!V7/1000+PGL_Supplies!D7/1000</f>
        <v>271.285</v>
      </c>
      <c r="C50" s="326"/>
      <c r="D50" s="326"/>
      <c r="E50" s="326"/>
      <c r="F50" s="665" t="s">
        <v>450</v>
      </c>
      <c r="G50" s="360"/>
      <c r="H50" s="355"/>
      <c r="I50" s="324"/>
    </row>
    <row r="51" customFormat="false" ht="17.1" hidden="false" customHeight="true" outlineLevel="0" collapsed="false">
      <c r="A51" s="293" t="s">
        <v>451</v>
      </c>
      <c r="B51" s="319" t="n">
        <f aca="false">PGL_Supplies!AA7/1000</f>
        <v>86.735</v>
      </c>
      <c r="C51" s="681"/>
      <c r="D51" s="326"/>
      <c r="E51" s="326"/>
      <c r="F51" s="691" t="s">
        <v>452</v>
      </c>
      <c r="G51" s="360"/>
      <c r="H51" s="328"/>
      <c r="I51" s="324"/>
    </row>
    <row r="52" customFormat="false" ht="17.1" hidden="false" customHeight="true" outlineLevel="0" collapsed="false">
      <c r="A52" s="293" t="s">
        <v>453</v>
      </c>
      <c r="B52" s="319" t="n">
        <f aca="false">NSG_Supplies!O7/1000+PGL_Supplies!Q7/1000</f>
        <v>0</v>
      </c>
      <c r="C52" s="326"/>
      <c r="D52" s="326"/>
      <c r="E52" s="326"/>
      <c r="F52" s="692" t="s">
        <v>454</v>
      </c>
      <c r="G52" s="382"/>
      <c r="H52" s="693"/>
      <c r="I52" s="324"/>
    </row>
    <row r="53" customFormat="false" ht="17.1" hidden="false" customHeight="true" outlineLevel="0" collapsed="false">
      <c r="A53" s="343" t="s">
        <v>455</v>
      </c>
      <c r="B53" s="319" t="n">
        <f aca="false">PGL_Requirements!J7/1000+NSG_Requirements!E7/1000</f>
        <v>0</v>
      </c>
      <c r="C53" s="326"/>
      <c r="D53" s="326"/>
      <c r="E53" s="326"/>
      <c r="F53" s="690" t="s">
        <v>327</v>
      </c>
      <c r="G53" s="694"/>
      <c r="H53" s="681"/>
      <c r="I53" s="324"/>
    </row>
    <row r="54" customFormat="false" ht="17.1" hidden="false" customHeight="true" outlineLevel="0" collapsed="false">
      <c r="A54" s="665" t="s">
        <v>456</v>
      </c>
      <c r="B54" s="695" t="n">
        <f aca="false">SUM(B50+B51+B52-B53)</f>
        <v>358.02</v>
      </c>
      <c r="C54" s="319"/>
      <c r="D54" s="326"/>
      <c r="E54" s="326"/>
      <c r="F54" s="387" t="s">
        <v>457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87</v>
      </c>
      <c r="C55" s="314"/>
      <c r="D55" s="314"/>
      <c r="E55" s="314"/>
      <c r="F55" s="379" t="s">
        <v>458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427</v>
      </c>
      <c r="B56" s="319" t="n">
        <f aca="false">PGL_Supplies!U7/1000</f>
        <v>0</v>
      </c>
      <c r="C56" s="326"/>
      <c r="D56" s="326"/>
      <c r="E56" s="326"/>
      <c r="F56" s="379" t="s">
        <v>459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460</v>
      </c>
      <c r="B57" s="319" t="n">
        <f aca="false">PGL_Supplies!Z7/1000+PGL_Supplies!C7/1000-PGL_Requirements!C7/1000</f>
        <v>70</v>
      </c>
      <c r="C57" s="326"/>
      <c r="D57" s="326"/>
      <c r="E57" s="326"/>
      <c r="F57" s="379" t="s">
        <v>461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462</v>
      </c>
      <c r="B58" s="319" t="n">
        <f aca="false">PGL_Requirements!U7/1000</f>
        <v>0</v>
      </c>
      <c r="C58" s="326"/>
      <c r="D58" s="326"/>
      <c r="E58" s="326"/>
      <c r="F58" s="379" t="s">
        <v>463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464</v>
      </c>
      <c r="B59" s="319" t="n">
        <f aca="false">PGL_Supplies!R7/1000</f>
        <v>0</v>
      </c>
      <c r="C59" s="326"/>
      <c r="D59" s="326"/>
      <c r="E59" s="326"/>
      <c r="F59" s="700" t="s">
        <v>455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455</v>
      </c>
      <c r="B60" s="319" t="n">
        <f aca="false">PGL_Requirements!I7/1000</f>
        <v>0</v>
      </c>
      <c r="C60" s="326"/>
      <c r="D60" s="326"/>
      <c r="E60" s="326"/>
      <c r="F60" s="703" t="s">
        <v>465</v>
      </c>
      <c r="G60" s="360"/>
      <c r="H60" s="701" t="n">
        <f aca="false">NSG_Requirements!O7/1000</f>
        <v>0</v>
      </c>
      <c r="I60" s="667" t="n">
        <f aca="false">+NSG_Supplies!L7/1000</f>
        <v>50</v>
      </c>
    </row>
    <row r="61" customFormat="false" ht="17.1" hidden="false" customHeight="true" outlineLevel="0" collapsed="false">
      <c r="A61" s="293" t="s">
        <v>466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467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456</v>
      </c>
      <c r="B62" s="695" t="n">
        <f aca="false">B56+B57-B58+B59-B60+B61</f>
        <v>70</v>
      </c>
      <c r="C62" s="401"/>
      <c r="D62" s="401"/>
      <c r="E62" s="401"/>
      <c r="F62" s="708" t="s">
        <v>468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469</v>
      </c>
      <c r="D63" s="688"/>
      <c r="E63" s="710" t="s">
        <v>1</v>
      </c>
      <c r="F63" s="690" t="s">
        <v>470</v>
      </c>
      <c r="G63" s="326"/>
      <c r="H63" s="699"/>
      <c r="I63" s="664" t="n">
        <f aca="false">I58+I60+I56-H56</f>
        <v>50</v>
      </c>
    </row>
    <row r="64" customFormat="false" ht="17.1" hidden="false" customHeight="true" outlineLevel="0" collapsed="false">
      <c r="A64" s="293" t="s">
        <v>427</v>
      </c>
      <c r="B64" s="319" t="n">
        <f aca="false">PGL_Supplies!Y7/1000</f>
        <v>189.161</v>
      </c>
      <c r="C64" s="326"/>
      <c r="D64" s="326"/>
      <c r="E64" s="711"/>
      <c r="F64" s="387" t="s">
        <v>471</v>
      </c>
      <c r="G64" s="387"/>
      <c r="H64" s="387"/>
      <c r="I64" s="387"/>
    </row>
    <row r="65" customFormat="false" ht="17.1" hidden="false" customHeight="true" outlineLevel="0" collapsed="false">
      <c r="A65" s="293" t="s">
        <v>472</v>
      </c>
      <c r="B65" s="319" t="n">
        <f aca="false">PGL_Supplies!AD7/1000+PGL_Supplies!G7/1000-PGL_Requirements!F7/1000</f>
        <v>71.538</v>
      </c>
      <c r="C65" s="408" t="s">
        <v>1</v>
      </c>
      <c r="D65" s="326"/>
      <c r="E65" s="409"/>
      <c r="F65" s="712" t="s">
        <v>473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474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475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476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477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478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455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479</v>
      </c>
      <c r="G69" s="714" t="s">
        <v>1</v>
      </c>
      <c r="H69" s="676" t="s">
        <v>480</v>
      </c>
      <c r="I69" s="409"/>
    </row>
    <row r="70" customFormat="false" ht="17.1" hidden="false" customHeight="true" outlineLevel="0" collapsed="false">
      <c r="A70" s="293" t="s">
        <v>481</v>
      </c>
      <c r="B70" s="380" t="n">
        <f aca="false">PGL_Requirements!P7/1000</f>
        <v>289.515</v>
      </c>
      <c r="C70" s="717" t="s">
        <v>1</v>
      </c>
      <c r="D70" s="326"/>
      <c r="E70" s="409"/>
      <c r="F70" s="723" t="s">
        <v>482</v>
      </c>
      <c r="G70" s="714" t="s">
        <v>1</v>
      </c>
      <c r="H70" s="724" t="s">
        <v>483</v>
      </c>
      <c r="I70" s="725"/>
    </row>
    <row r="71" customFormat="false" ht="17.1" hidden="false" customHeight="true" outlineLevel="0" collapsed="false">
      <c r="A71" s="293" t="s">
        <v>484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485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456</v>
      </c>
      <c r="B72" s="728" t="n">
        <f aca="false">+B65+B64+B66+B68-B67-B69-B70</f>
        <v>-28.816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486</v>
      </c>
      <c r="B73" s="387"/>
      <c r="C73" s="387"/>
      <c r="D73" s="681"/>
      <c r="E73" s="681"/>
      <c r="F73" s="734" t="s">
        <v>487</v>
      </c>
      <c r="G73" s="735" t="str">
        <f aca="false">CHOOSE(WEEKDAY(H73),"SUN","MON","TUE","WED","THU","FRI","SAT")</f>
        <v>TUE</v>
      </c>
      <c r="H73" s="736" t="n">
        <f aca="false">Weather_Input!A5</f>
        <v>36956</v>
      </c>
      <c r="I73" s="384"/>
    </row>
    <row r="74" customFormat="false" ht="17.1" hidden="false" customHeight="true" outlineLevel="0" collapsed="false">
      <c r="A74" s="712" t="s">
        <v>488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489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490</v>
      </c>
      <c r="B76" s="685"/>
      <c r="C76" s="686"/>
      <c r="D76" s="740" t="s">
        <v>491</v>
      </c>
      <c r="E76" s="741"/>
      <c r="F76" s="742" t="s">
        <v>492</v>
      </c>
      <c r="G76" s="743"/>
      <c r="H76" s="744" t="s">
        <v>267</v>
      </c>
      <c r="I76" s="745" t="s">
        <v>267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493</v>
      </c>
      <c r="B90" s="215"/>
      <c r="C90" s="215"/>
      <c r="D90" s="215"/>
      <c r="E90" s="216" t="s">
        <v>266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494</v>
      </c>
      <c r="C91" s="234" t="s">
        <v>1</v>
      </c>
      <c r="D91" s="224" t="s">
        <v>495</v>
      </c>
      <c r="E91" s="225"/>
      <c r="F91" s="226" t="s">
        <v>496</v>
      </c>
      <c r="G91" s="225"/>
      <c r="H91" s="226" t="s">
        <v>271</v>
      </c>
      <c r="I91" s="227"/>
    </row>
    <row r="92" customFormat="false" ht="15" hidden="false" customHeight="false" outlineLevel="0" collapsed="false">
      <c r="A92" s="253" t="s">
        <v>497</v>
      </c>
      <c r="B92" s="224" t="s">
        <v>273</v>
      </c>
      <c r="C92" s="229" t="s">
        <v>274</v>
      </c>
      <c r="D92" s="224" t="s">
        <v>18</v>
      </c>
      <c r="E92" s="229" t="s">
        <v>274</v>
      </c>
      <c r="F92" s="224" t="s">
        <v>18</v>
      </c>
      <c r="G92" s="229" t="s">
        <v>274</v>
      </c>
      <c r="H92" s="224" t="s">
        <v>18</v>
      </c>
      <c r="I92" s="227" t="s">
        <v>274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276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411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87</v>
      </c>
      <c r="B97" s="262" t="s">
        <v>1</v>
      </c>
      <c r="C97" s="752" t="n">
        <f aca="false">B133</f>
        <v>70</v>
      </c>
      <c r="D97" s="232"/>
      <c r="E97" s="255" t="n">
        <f aca="false">+C97</f>
        <v>70</v>
      </c>
      <c r="F97" s="232"/>
      <c r="G97" s="255" t="n">
        <f aca="false">+C97</f>
        <v>70</v>
      </c>
      <c r="H97" s="232"/>
      <c r="I97" s="261" t="n">
        <f aca="false">+C97</f>
        <v>70</v>
      </c>
    </row>
    <row r="98" customFormat="false" ht="15" hidden="false" customHeight="false" outlineLevel="0" collapsed="false">
      <c r="A98" s="253" t="s">
        <v>76</v>
      </c>
      <c r="B98" s="262" t="s">
        <v>1</v>
      </c>
      <c r="C98" s="752" t="n">
        <f aca="false">B149</f>
        <v>220.35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88</v>
      </c>
      <c r="B99" s="262" t="s">
        <v>1</v>
      </c>
      <c r="C99" s="752" t="n">
        <f aca="false">B141</f>
        <v>358.02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339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283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44</v>
      </c>
      <c r="B102" s="262" t="s">
        <v>3</v>
      </c>
      <c r="C102" s="752" t="n">
        <f aca="false">B162</f>
        <v>260.699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148</v>
      </c>
      <c r="B103" s="262" t="s">
        <v>1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167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498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45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499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290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291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292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293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500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377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501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502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378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380</v>
      </c>
      <c r="B117" s="325" t="n">
        <f aca="false">-PGL_Supplies!AA7/1000</f>
        <v>-86.735</v>
      </c>
      <c r="C117" s="325" t="n">
        <f aca="false">-NSG_Supplies!X7/1000</f>
        <v>-0</v>
      </c>
      <c r="D117" s="325" t="n">
        <f aca="false">-PGL_Supplies!AA7/1000</f>
        <v>-86.735</v>
      </c>
      <c r="E117" s="325" t="n">
        <f aca="false">-NSG_Supplies!X7/1000</f>
        <v>-0</v>
      </c>
      <c r="F117" s="325" t="n">
        <f aca="false">-PGL_Supplies!AA7/1000</f>
        <v>-86.735</v>
      </c>
      <c r="G117" s="325" t="n">
        <f aca="false">-NSG_Supplies!X7/1000</f>
        <v>-0</v>
      </c>
      <c r="H117" s="666" t="n">
        <f aca="false">-PGL_Supplies!AA7/1000</f>
        <v>-86.735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295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296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297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381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503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504</v>
      </c>
      <c r="B123" s="325" t="n">
        <f aca="false">-PGL_Supplies!X7/1000</f>
        <v>-0</v>
      </c>
      <c r="C123" s="325" t="n">
        <f aca="false">-NSG_Supplies!S7/1000</f>
        <v>-33.545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87</v>
      </c>
      <c r="D124" s="315"/>
      <c r="E124" s="316"/>
      <c r="F124" s="317" t="s">
        <v>298</v>
      </c>
      <c r="G124" s="317"/>
      <c r="H124" s="317"/>
      <c r="I124" s="317"/>
    </row>
    <row r="125" customFormat="false" ht="15" hidden="false" customHeight="false" outlineLevel="0" collapsed="false">
      <c r="A125" s="293" t="s">
        <v>383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505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300</v>
      </c>
      <c r="G126" s="322"/>
      <c r="H126" s="349"/>
      <c r="I126" s="324"/>
    </row>
    <row r="127" customFormat="false" ht="15" hidden="false" customHeight="false" outlineLevel="0" collapsed="false">
      <c r="A127" s="293" t="s">
        <v>506</v>
      </c>
      <c r="B127" s="325" t="n">
        <f aca="false">PGL_Requirements!O7/1000</f>
        <v>0</v>
      </c>
      <c r="C127" s="325" t="s">
        <v>1</v>
      </c>
      <c r="D127" s="326"/>
      <c r="E127" s="327"/>
      <c r="F127" s="293" t="s">
        <v>302</v>
      </c>
      <c r="G127" s="322"/>
      <c r="H127" s="328"/>
      <c r="I127" s="324"/>
    </row>
    <row r="128" customFormat="false" ht="15" hidden="false" customHeight="false" outlineLevel="0" collapsed="false">
      <c r="A128" s="293" t="s">
        <v>377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304</v>
      </c>
      <c r="G128" s="322"/>
      <c r="H128" s="328"/>
      <c r="I128" s="324"/>
    </row>
    <row r="129" customFormat="false" ht="15" hidden="false" customHeight="false" outlineLevel="0" collapsed="false">
      <c r="A129" s="293" t="s">
        <v>313</v>
      </c>
      <c r="B129" s="325" t="n">
        <f aca="false">PGL_Requirements!C7/1000</f>
        <v>0</v>
      </c>
      <c r="C129" s="326"/>
      <c r="D129" s="326"/>
      <c r="E129" s="327"/>
      <c r="F129" s="293" t="s">
        <v>306</v>
      </c>
      <c r="G129" s="322"/>
      <c r="H129" s="328"/>
      <c r="I129" s="324"/>
    </row>
    <row r="130" customFormat="false" ht="15" hidden="false" customHeight="false" outlineLevel="0" collapsed="false">
      <c r="A130" s="293" t="s">
        <v>315</v>
      </c>
      <c r="B130" s="325" t="n">
        <f aca="false">PGL_Requirements!AA7/1000</f>
        <v>0</v>
      </c>
      <c r="C130" s="318"/>
      <c r="D130" s="326"/>
      <c r="E130" s="327"/>
      <c r="F130" s="293" t="s">
        <v>307</v>
      </c>
      <c r="G130" s="322"/>
      <c r="H130" s="328"/>
      <c r="I130" s="324"/>
    </row>
    <row r="131" customFormat="false" ht="15" hidden="false" customHeight="false" outlineLevel="0" collapsed="false">
      <c r="A131" s="8" t="s">
        <v>160</v>
      </c>
      <c r="B131" s="319" t="n">
        <f aca="false">PGL_Supplies!Z7/1000</f>
        <v>70</v>
      </c>
      <c r="C131" s="326"/>
      <c r="D131" s="326"/>
      <c r="E131" s="327"/>
      <c r="F131" s="343" t="s">
        <v>310</v>
      </c>
      <c r="G131" s="322"/>
      <c r="H131" s="328"/>
      <c r="I131" s="324"/>
    </row>
    <row r="132" customFormat="false" ht="15.75" hidden="false" customHeight="false" outlineLevel="0" collapsed="false">
      <c r="A132" s="293" t="s">
        <v>427</v>
      </c>
      <c r="B132" s="319" t="n">
        <f aca="false">PGL_Supplies!U7/1000</f>
        <v>0</v>
      </c>
      <c r="C132" s="331"/>
      <c r="D132" s="331"/>
      <c r="E132" s="332"/>
      <c r="F132" s="293" t="s">
        <v>312</v>
      </c>
      <c r="G132" s="322"/>
      <c r="H132" s="328"/>
      <c r="I132" s="324"/>
    </row>
    <row r="133" customFormat="false" ht="16.5" hidden="false" customHeight="false" outlineLevel="0" collapsed="false">
      <c r="A133" s="333" t="s">
        <v>305</v>
      </c>
      <c r="B133" s="354" t="n">
        <f aca="false">B126+B127+B130+B131+B132-B125-B128-B129</f>
        <v>70</v>
      </c>
      <c r="C133" s="336"/>
      <c r="D133" s="336"/>
      <c r="E133" s="337"/>
      <c r="F133" s="293" t="s">
        <v>314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88</v>
      </c>
      <c r="D134" s="358"/>
      <c r="E134" s="358" t="s">
        <v>1</v>
      </c>
      <c r="F134" s="761" t="s">
        <v>316</v>
      </c>
      <c r="G134" s="394"/>
      <c r="H134" s="328"/>
      <c r="I134" s="324"/>
    </row>
    <row r="135" customFormat="false" ht="15" hidden="false" customHeight="false" outlineLevel="0" collapsed="false">
      <c r="A135" s="293" t="s">
        <v>377</v>
      </c>
      <c r="B135" s="762" t="n">
        <f aca="false">PGL_Requirements!J7</f>
        <v>0</v>
      </c>
      <c r="C135" s="320"/>
      <c r="D135" s="320"/>
      <c r="E135" s="320"/>
      <c r="F135" s="352" t="s">
        <v>318</v>
      </c>
      <c r="G135" s="394"/>
      <c r="H135" s="353"/>
      <c r="I135" s="324"/>
    </row>
    <row r="136" customFormat="false" ht="15" hidden="false" customHeight="false" outlineLevel="0" collapsed="false">
      <c r="A136" s="293" t="s">
        <v>507</v>
      </c>
      <c r="B136" s="319" t="n">
        <f aca="false">NSG_Supplies!O7/1011</f>
        <v>0</v>
      </c>
      <c r="C136" s="326"/>
      <c r="D136" s="326"/>
      <c r="E136" s="326"/>
      <c r="F136" s="293" t="s">
        <v>319</v>
      </c>
      <c r="G136" s="322"/>
      <c r="H136" s="355"/>
      <c r="I136" s="324"/>
    </row>
    <row r="137" customFormat="false" ht="15" hidden="false" customHeight="false" outlineLevel="0" collapsed="false">
      <c r="A137" s="293" t="s">
        <v>508</v>
      </c>
      <c r="B137" s="319" t="n">
        <f aca="false">PGL_Supplies!AA7/1000</f>
        <v>86.735</v>
      </c>
      <c r="C137" s="318"/>
      <c r="D137" s="326"/>
      <c r="E137" s="326"/>
      <c r="F137" s="293" t="s">
        <v>320</v>
      </c>
      <c r="G137" s="322"/>
      <c r="H137" s="328"/>
      <c r="I137" s="324"/>
    </row>
    <row r="138" customFormat="false" ht="15" hidden="false" customHeight="false" outlineLevel="0" collapsed="false">
      <c r="A138" s="293" t="s">
        <v>324</v>
      </c>
      <c r="B138" s="762" t="n">
        <f aca="false">PGL_Requirements!D7</f>
        <v>0</v>
      </c>
      <c r="C138" s="326"/>
      <c r="D138" s="326"/>
      <c r="E138" s="326"/>
      <c r="F138" s="293" t="s">
        <v>52</v>
      </c>
      <c r="G138" s="322"/>
      <c r="H138" s="355"/>
      <c r="I138" s="324"/>
    </row>
    <row r="139" customFormat="false" ht="15" hidden="false" customHeight="false" outlineLevel="0" collapsed="false">
      <c r="A139" s="293" t="s">
        <v>326</v>
      </c>
      <c r="B139" s="319" t="n">
        <f aca="false">PGL_Supplies!D7/1000</f>
        <v>0</v>
      </c>
      <c r="C139" s="326"/>
      <c r="D139" s="326"/>
      <c r="E139" s="326"/>
      <c r="F139" s="343" t="s">
        <v>323</v>
      </c>
      <c r="G139" s="362"/>
      <c r="H139" s="363"/>
      <c r="I139" s="324"/>
    </row>
    <row r="140" customFormat="false" ht="15.75" hidden="false" customHeight="false" outlineLevel="0" collapsed="false">
      <c r="A140" s="293" t="s">
        <v>427</v>
      </c>
      <c r="B140" s="319" t="n">
        <f aca="false">PGL_Supplies!V7/1000</f>
        <v>271.285</v>
      </c>
      <c r="C140" s="331"/>
      <c r="D140" s="331"/>
      <c r="E140" s="331"/>
      <c r="F140" s="343" t="s">
        <v>325</v>
      </c>
      <c r="G140" s="362"/>
      <c r="H140" s="365"/>
      <c r="I140" s="324"/>
    </row>
    <row r="141" customFormat="false" ht="16.5" hidden="false" customHeight="false" outlineLevel="0" collapsed="false">
      <c r="A141" s="333" t="s">
        <v>305</v>
      </c>
      <c r="B141" s="763" t="n">
        <f aca="false">-B135+B136+B137-B138+B139+B140</f>
        <v>358.02</v>
      </c>
      <c r="C141" s="764"/>
      <c r="D141" s="336"/>
      <c r="E141" s="765"/>
      <c r="F141" s="366" t="s">
        <v>327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76</v>
      </c>
      <c r="D142" s="358"/>
      <c r="E142" s="358"/>
      <c r="F142" s="372" t="s">
        <v>1</v>
      </c>
      <c r="G142" s="373" t="s">
        <v>328</v>
      </c>
      <c r="H142" s="374" t="s">
        <v>1</v>
      </c>
      <c r="I142" s="374"/>
    </row>
    <row r="143" customFormat="false" ht="15" hidden="false" customHeight="false" outlineLevel="0" collapsed="false">
      <c r="A143" s="293" t="s">
        <v>94</v>
      </c>
      <c r="B143" s="319" t="n">
        <f aca="false">PGL_Requirements!P7/1000</f>
        <v>289.515</v>
      </c>
      <c r="C143" s="326"/>
      <c r="D143" s="326"/>
      <c r="E143" s="326"/>
      <c r="F143" s="375" t="s">
        <v>291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330</v>
      </c>
      <c r="B144" s="319" t="n">
        <f aca="false">PGL_Supplies!M7/1000</f>
        <v>220.35</v>
      </c>
      <c r="C144" s="326"/>
      <c r="D144" s="326"/>
      <c r="E144" s="326"/>
      <c r="F144" s="379" t="s">
        <v>329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332</v>
      </c>
      <c r="B145" s="319" t="n">
        <f aca="false">PGL_Requirements!B7/1000</f>
        <v>7.525</v>
      </c>
      <c r="C145" s="326"/>
      <c r="D145" s="326"/>
      <c r="E145" s="326"/>
      <c r="F145" s="381" t="s">
        <v>331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334</v>
      </c>
      <c r="B146" s="319" t="n">
        <f aca="false">PGL_Supplies!H7/1000</f>
        <v>0</v>
      </c>
      <c r="C146" s="326"/>
      <c r="D146" s="326"/>
      <c r="E146" s="326"/>
      <c r="F146" s="385" t="s">
        <v>333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292</v>
      </c>
      <c r="B147" s="319" t="s">
        <v>1</v>
      </c>
      <c r="C147" s="326"/>
      <c r="D147" s="326"/>
      <c r="E147" s="326"/>
      <c r="F147" s="387" t="s">
        <v>335</v>
      </c>
      <c r="G147" s="387"/>
      <c r="H147" s="387"/>
      <c r="I147" s="387"/>
    </row>
    <row r="148" customFormat="false" ht="15.75" hidden="false" customHeight="false" outlineLevel="0" collapsed="false">
      <c r="A148" s="293" t="s">
        <v>509</v>
      </c>
      <c r="B148" s="319" t="n">
        <f aca="false">PGL_Requirements!Q7/1000</f>
        <v>4.342725</v>
      </c>
      <c r="C148" s="331"/>
      <c r="D148" s="331"/>
      <c r="E148" s="331"/>
      <c r="F148" s="388" t="s">
        <v>337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333</v>
      </c>
      <c r="B149" s="392" t="n">
        <f aca="false">B144+B146</f>
        <v>220.35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341</v>
      </c>
      <c r="B150" s="769" t="n">
        <f aca="false">PGL_Deliveries!AE5</f>
        <v>0</v>
      </c>
      <c r="C150" s="323"/>
      <c r="D150" s="323"/>
      <c r="E150" s="397"/>
      <c r="F150" s="385" t="s">
        <v>333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343</v>
      </c>
      <c r="B151" s="769" t="n">
        <f aca="false">PGL_Deliveries!AG5</f>
        <v>0</v>
      </c>
      <c r="C151" s="401"/>
      <c r="D151" s="401"/>
      <c r="E151" s="401"/>
      <c r="F151" s="387" t="s">
        <v>339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44</v>
      </c>
      <c r="D152" s="689"/>
      <c r="E152" s="710" t="s">
        <v>1</v>
      </c>
      <c r="F152" s="388" t="s">
        <v>510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511</v>
      </c>
      <c r="B153" s="380" t="n">
        <f aca="false">PGL_Requirements!N7/1000</f>
        <v>0</v>
      </c>
      <c r="C153" s="326"/>
      <c r="D153" s="326"/>
      <c r="E153" s="711"/>
      <c r="F153" s="771" t="s">
        <v>340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345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342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347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160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349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427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512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513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514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515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160</v>
      </c>
      <c r="B159" s="319" t="n">
        <f aca="false">PGL_Supplies!AD7/1000</f>
        <v>71.538</v>
      </c>
      <c r="C159" s="717" t="s">
        <v>1</v>
      </c>
      <c r="D159" s="326"/>
      <c r="E159" s="409"/>
      <c r="F159" s="778" t="s">
        <v>486</v>
      </c>
      <c r="G159" s="778"/>
      <c r="H159" s="778"/>
      <c r="I159" s="778"/>
    </row>
    <row r="160" customFormat="false" ht="15.75" hidden="false" customHeight="false" outlineLevel="0" collapsed="false">
      <c r="A160" s="293" t="s">
        <v>427</v>
      </c>
      <c r="B160" s="779" t="n">
        <f aca="false">PGL_Supplies!Y7/1000</f>
        <v>189.161</v>
      </c>
      <c r="C160" s="419" t="s">
        <v>1</v>
      </c>
      <c r="D160" s="331"/>
      <c r="E160" s="420"/>
      <c r="F160" s="447" t="s">
        <v>361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516</v>
      </c>
      <c r="B161" s="321"/>
      <c r="C161" s="781" t="s">
        <v>1</v>
      </c>
      <c r="D161" s="782"/>
      <c r="E161" s="783"/>
      <c r="F161" s="784" t="s">
        <v>363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333</v>
      </c>
      <c r="B162" s="787" t="n">
        <f aca="false">B154+B156+B158+B159+B160-B153-B155-B157-B161</f>
        <v>260.699</v>
      </c>
      <c r="C162" s="728"/>
      <c r="D162" s="729"/>
      <c r="E162" s="788"/>
      <c r="F162" s="789" t="s">
        <v>490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366</v>
      </c>
      <c r="C163" s="792"/>
      <c r="D163" s="792" t="s">
        <v>367</v>
      </c>
      <c r="E163" s="792"/>
      <c r="F163" s="792"/>
      <c r="G163" s="792"/>
      <c r="H163" s="793" t="s">
        <v>267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534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45927.0034655481</v>
      </c>
      <c r="F22" s="9" t="s">
        <v>536</v>
      </c>
      <c r="G22" s="800" t="n">
        <f aca="true">NOW()</f>
        <v>45927.0034655482</v>
      </c>
    </row>
    <row r="24" customFormat="false" ht="15" hidden="false" customHeight="false" outlineLevel="0" collapsed="false">
      <c r="B24" s="9" t="s">
        <v>537</v>
      </c>
      <c r="D24" s="801" t="s">
        <v>538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15000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 t="s">
        <v>552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553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555</v>
      </c>
    </row>
    <row r="51" customFormat="false" ht="15" hidden="false" customHeight="false" outlineLevel="0" collapsed="false">
      <c r="B51" s="808"/>
      <c r="C51" s="806" t="s">
        <v>556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557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45927.0034655626</v>
      </c>
      <c r="F22" s="9" t="s">
        <v>536</v>
      </c>
      <c r="G22" s="800" t="n">
        <f aca="true">NOW()</f>
        <v>45927.0034655627</v>
      </c>
    </row>
    <row r="24" customFormat="false" ht="15" hidden="false" customHeight="false" outlineLevel="0" collapsed="false">
      <c r="B24" s="9" t="s">
        <v>537</v>
      </c>
      <c r="D24" s="801" t="s">
        <v>538</v>
      </c>
      <c r="E24" s="0" t="s">
        <v>1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B29" s="0" t="s">
        <v>1</v>
      </c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560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Tuesday</v>
      </c>
      <c r="B5" s="821" t="n">
        <f aca="false">Weather_Input!A5</f>
        <v>36956</v>
      </c>
      <c r="C5" s="14"/>
      <c r="D5" s="822" t="s">
        <v>564</v>
      </c>
      <c r="E5" s="823" t="n">
        <f aca="false">Weather_Input!B5</f>
        <v>34</v>
      </c>
      <c r="F5" s="824" t="s">
        <v>565</v>
      </c>
      <c r="G5" s="825" t="n">
        <f aca="false">Weather_Input!H5</f>
        <v>37</v>
      </c>
      <c r="H5" s="826" t="s">
        <v>566</v>
      </c>
      <c r="I5" s="827" t="n">
        <f aca="true">G5-(VLOOKUP(B5,DD_Normal_Data,CELL("Col",B6),FALSE()))</f>
        <v>6</v>
      </c>
    </row>
    <row r="6" customFormat="false" ht="15" hidden="false" customHeight="false" outlineLevel="0" collapsed="false">
      <c r="A6" s="815"/>
      <c r="B6" s="821"/>
      <c r="C6" s="14"/>
      <c r="D6" s="822" t="s">
        <v>274</v>
      </c>
      <c r="E6" s="823" t="n">
        <f aca="false">Weather_Input!C5</f>
        <v>23</v>
      </c>
      <c r="F6" s="824" t="s">
        <v>567</v>
      </c>
      <c r="G6" s="825" t="n">
        <f aca="false">Weather_Input!F5</f>
        <v>207</v>
      </c>
      <c r="H6" s="826" t="s">
        <v>568</v>
      </c>
      <c r="I6" s="827" t="n">
        <f aca="true">G6-(VLOOKUP(B5,DD_Normal_Data,CELL("Col",C7),FALSE()))</f>
        <v>15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569</v>
      </c>
      <c r="E7" s="823" t="n">
        <f aca="false">IF(Weather_Input!E5="N/A",(Weather_Input!C5+Weather_Input!B5)/2,Weather_Input!E5)</f>
        <v>28.8</v>
      </c>
      <c r="F7" s="824" t="s">
        <v>570</v>
      </c>
      <c r="G7" s="825" t="n">
        <f aca="false">Weather_Input!G5</f>
        <v>5292</v>
      </c>
      <c r="H7" s="826" t="s">
        <v>570</v>
      </c>
      <c r="I7" s="829" t="n">
        <f aca="true">G7-(VLOOKUP(B5,DD_Normal_Data,CELL("Col",D4),FALSE()))</f>
        <v>305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PARTLY CLOUDY.  WIND  NW  10 TO 20 MPH.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  TONIGHT  FAIR.  LOW AROUND  20.  WIND  NE  5  TO 10 MPH.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Wednesday</v>
      </c>
      <c r="B10" s="821" t="n">
        <f aca="false">Weather_Input!A6</f>
        <v>36957</v>
      </c>
      <c r="C10" s="14"/>
      <c r="D10" s="822" t="s">
        <v>564</v>
      </c>
      <c r="E10" s="823" t="n">
        <f aca="false">Weather_Input!B6</f>
        <v>39</v>
      </c>
      <c r="F10" s="824" t="s">
        <v>565</v>
      </c>
      <c r="G10" s="825" t="n">
        <f aca="false">IF(E12&lt;65,65-(Weather_Input!B6+Weather_Input!C6)/2,0)</f>
        <v>32</v>
      </c>
      <c r="H10" s="826" t="s">
        <v>566</v>
      </c>
      <c r="I10" s="827" t="n">
        <f aca="true">G10-(VLOOKUP(B10,DD_Normal_Data,CELL("Col",B11),FALSE()))</f>
        <v>1</v>
      </c>
    </row>
    <row r="11" customFormat="false" ht="15" hidden="false" customHeight="false" outlineLevel="0" collapsed="false">
      <c r="A11" s="815"/>
      <c r="B11" s="821"/>
      <c r="C11" s="14"/>
      <c r="D11" s="822" t="s">
        <v>274</v>
      </c>
      <c r="E11" s="823" t="n">
        <f aca="false">Weather_Input!C6</f>
        <v>27</v>
      </c>
      <c r="F11" s="824" t="s">
        <v>567</v>
      </c>
      <c r="G11" s="825" t="n">
        <f aca="false">IF(DAY(B10)=1,G10,G6+G10)</f>
        <v>239</v>
      </c>
      <c r="H11" s="826" t="s">
        <v>568</v>
      </c>
      <c r="I11" s="827" t="n">
        <f aca="true">G11-(VLOOKUP(B10,DD_Normal_Data,CELL("Col",C12),FALSE()))</f>
        <v>16</v>
      </c>
      <c r="DE11" s="28" t="s">
        <v>571</v>
      </c>
    </row>
    <row r="12" customFormat="false" ht="15" hidden="false" customHeight="false" outlineLevel="0" collapsed="false">
      <c r="A12" s="815"/>
      <c r="B12" s="817"/>
      <c r="C12" s="14"/>
      <c r="D12" s="822" t="s">
        <v>569</v>
      </c>
      <c r="E12" s="823" t="n">
        <f aca="false">(Weather_Input!C6+Weather_Input!B6)/2</f>
        <v>33</v>
      </c>
      <c r="F12" s="824" t="s">
        <v>570</v>
      </c>
      <c r="G12" s="825" t="n">
        <f aca="false">IF(AND(DAY(B10)=1,MONTH(B10)=8),G10,G7+G10)</f>
        <v>5324</v>
      </c>
      <c r="H12" s="826" t="s">
        <v>570</v>
      </c>
      <c r="I12" s="827" t="n">
        <f aca="true">G12-(VLOOKUP(B10,DD_Normal_Data,CELL("Col",D9),FALSE()))</f>
        <v>306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 PARTLY   SUNNY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  BECOMING CLOUDY.    WINDS NW 10 TO 15 MPH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Thursday</v>
      </c>
      <c r="B15" s="821" t="n">
        <f aca="false">Weather_Input!A7</f>
        <v>36958</v>
      </c>
      <c r="C15" s="14"/>
      <c r="D15" s="822" t="s">
        <v>564</v>
      </c>
      <c r="E15" s="823" t="n">
        <f aca="false">Weather_Input!B7</f>
        <v>36</v>
      </c>
      <c r="F15" s="824" t="s">
        <v>565</v>
      </c>
      <c r="G15" s="825" t="n">
        <f aca="false">IF(E17&lt;65,65-(Weather_Input!B7+Weather_Input!C7)/2,0)</f>
        <v>36</v>
      </c>
      <c r="H15" s="826" t="s">
        <v>566</v>
      </c>
      <c r="I15" s="827" t="n">
        <f aca="true">G15-(VLOOKUP(B15,DD_Normal_Data,CELL("Col",B16),FALSE()))</f>
        <v>6</v>
      </c>
    </row>
    <row r="16" customFormat="false" ht="15" hidden="false" customHeight="false" outlineLevel="0" collapsed="false">
      <c r="A16" s="815"/>
      <c r="B16" s="817"/>
      <c r="C16" s="14"/>
      <c r="D16" s="822" t="s">
        <v>274</v>
      </c>
      <c r="E16" s="823" t="n">
        <f aca="false">Weather_Input!C7</f>
        <v>22</v>
      </c>
      <c r="F16" s="824" t="s">
        <v>567</v>
      </c>
      <c r="G16" s="825" t="n">
        <f aca="false">IF(DAY(B15)=1,G15,G11+G15)</f>
        <v>275</v>
      </c>
      <c r="H16" s="826" t="s">
        <v>568</v>
      </c>
      <c r="I16" s="827" t="n">
        <f aca="true">G16-(VLOOKUP(B15,DD_Normal_Data,CELL("Col",C17),FALSE()))</f>
        <v>22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569</v>
      </c>
      <c r="E17" s="823" t="n">
        <f aca="false">(Weather_Input!C7+Weather_Input!B7)/2</f>
        <v>29</v>
      </c>
      <c r="F17" s="824" t="s">
        <v>570</v>
      </c>
      <c r="G17" s="825" t="n">
        <f aca="false">IF(AND(DAY(B15)=1,MONTH(B15)=8),G15,G12+G15)</f>
        <v>5360</v>
      </c>
      <c r="H17" s="826" t="s">
        <v>570</v>
      </c>
      <c r="I17" s="827" t="n">
        <f aca="true">G17-(VLOOKUP(B15,DD_Normal_Data,CELL("Col",D14),FALSE()))</f>
        <v>312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 CLOUDY... WITH  A   30%   CHANCE  OF  LIGHT  SNOW  OR FLURRIES.  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Friday</v>
      </c>
      <c r="B20" s="821" t="n">
        <f aca="false">Weather_Input!A8</f>
        <v>36959</v>
      </c>
      <c r="C20" s="14"/>
      <c r="D20" s="822" t="s">
        <v>564</v>
      </c>
      <c r="E20" s="823" t="n">
        <f aca="false">Weather_Input!B8</f>
        <v>33</v>
      </c>
      <c r="F20" s="824" t="s">
        <v>565</v>
      </c>
      <c r="G20" s="825" t="n">
        <f aca="false">IF(E22&lt;65,65-(Weather_Input!B8+Weather_Input!C8)/2,0)</f>
        <v>38.5</v>
      </c>
      <c r="H20" s="826" t="s">
        <v>566</v>
      </c>
      <c r="I20" s="827" t="n">
        <f aca="true">G20-(VLOOKUP(B20,DD_Normal_Data,CELL("Col",B21),FALSE()))</f>
        <v>8.5</v>
      </c>
    </row>
    <row r="21" customFormat="false" ht="15" hidden="false" customHeight="false" outlineLevel="0" collapsed="false">
      <c r="A21" s="815"/>
      <c r="B21" s="821"/>
      <c r="C21" s="14"/>
      <c r="D21" s="822" t="s">
        <v>274</v>
      </c>
      <c r="E21" s="823" t="n">
        <f aca="false">Weather_Input!C8</f>
        <v>20</v>
      </c>
      <c r="F21" s="824" t="s">
        <v>567</v>
      </c>
      <c r="G21" s="825" t="n">
        <f aca="false">IF(DAY(B20)=1,G20,G16+G20)</f>
        <v>313.5</v>
      </c>
      <c r="H21" s="826" t="s">
        <v>568</v>
      </c>
      <c r="I21" s="827" t="n">
        <f aca="true">G21-(VLOOKUP(B20,DD_Normal_Data,CELL("Col",C22),FALSE()))</f>
        <v>30.5</v>
      </c>
      <c r="DE21" s="28" t="s">
        <v>572</v>
      </c>
    </row>
    <row r="22" customFormat="false" ht="15" hidden="false" customHeight="false" outlineLevel="0" collapsed="false">
      <c r="A22" s="815"/>
      <c r="B22" s="821"/>
      <c r="C22" s="14"/>
      <c r="D22" s="822" t="s">
        <v>569</v>
      </c>
      <c r="E22" s="823" t="n">
        <f aca="false">(Weather_Input!C8+Weather_Input!B8)/2</f>
        <v>26.5</v>
      </c>
      <c r="F22" s="824" t="s">
        <v>570</v>
      </c>
      <c r="G22" s="825" t="n">
        <f aca="false">IF(AND(DAY(B20)=1,MONTH(B20)=8),G20,G17+G20)</f>
        <v>5398.5</v>
      </c>
      <c r="H22" s="826" t="s">
        <v>570</v>
      </c>
      <c r="I22" s="827" t="n">
        <f aca="true">G22-(VLOOKUP(B20,DD_Normal_Data,CELL("Col",D19),FALSE()))</f>
        <v>320.5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 PARTLY  CLOUDY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Saturday</v>
      </c>
      <c r="B25" s="821" t="n">
        <f aca="false">Weather_Input!A9</f>
        <v>36960</v>
      </c>
      <c r="C25" s="14"/>
      <c r="D25" s="822" t="s">
        <v>564</v>
      </c>
      <c r="E25" s="823" t="n">
        <f aca="false">Weather_Input!B9</f>
        <v>40</v>
      </c>
      <c r="F25" s="824" t="s">
        <v>565</v>
      </c>
      <c r="G25" s="825" t="n">
        <f aca="false">IF(E27&lt;65,65-(Weather_Input!B9+Weather_Input!C9)/2,0)</f>
        <v>31</v>
      </c>
      <c r="H25" s="826" t="s">
        <v>566</v>
      </c>
      <c r="I25" s="827" t="n">
        <f aca="true">G25-(VLOOKUP(B25,DD_Normal_Data,CELL("Col",B26),FALSE()))</f>
        <v>1</v>
      </c>
    </row>
    <row r="26" customFormat="false" ht="15" hidden="false" customHeight="false" outlineLevel="0" collapsed="false">
      <c r="A26" s="815"/>
      <c r="B26" s="821"/>
      <c r="C26" s="14"/>
      <c r="D26" s="822" t="s">
        <v>274</v>
      </c>
      <c r="E26" s="823" t="n">
        <f aca="false">Weather_Input!C9</f>
        <v>28</v>
      </c>
      <c r="F26" s="824" t="s">
        <v>567</v>
      </c>
      <c r="G26" s="825" t="n">
        <f aca="false">IF(DAY(B25)=1,G25,G21+G25)</f>
        <v>344.5</v>
      </c>
      <c r="H26" s="826" t="s">
        <v>568</v>
      </c>
      <c r="I26" s="827" t="n">
        <f aca="true">G26-(VLOOKUP(B25,DD_Normal_Data,CELL("Col",C27),FALSE()))</f>
        <v>31.5</v>
      </c>
      <c r="DE26" s="28" t="s">
        <v>573</v>
      </c>
    </row>
    <row r="27" customFormat="false" ht="15" hidden="false" customHeight="false" outlineLevel="0" collapsed="false">
      <c r="A27" s="815"/>
      <c r="B27" s="817"/>
      <c r="C27" s="14"/>
      <c r="D27" s="822" t="s">
        <v>569</v>
      </c>
      <c r="E27" s="823" t="n">
        <f aca="false">(Weather_Input!C9+Weather_Input!B9)/2</f>
        <v>34</v>
      </c>
      <c r="F27" s="824" t="s">
        <v>570</v>
      </c>
      <c r="G27" s="825" t="n">
        <f aca="false">IF(AND(DAY(B25)=1,MONTH(B25)=8),G25,G22+G25)</f>
        <v>5429.5</v>
      </c>
      <c r="H27" s="826" t="s">
        <v>570</v>
      </c>
      <c r="I27" s="827" t="n">
        <f aca="true">G27-(VLOOKUP(B25,DD_Normal_Data,CELL("Col",D24),FALSE()))</f>
        <v>321.5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A  CHANCE  OF   RAIN   OR  SNOW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Sunday</v>
      </c>
      <c r="B30" s="821" t="n">
        <f aca="false">Weather_Input!A10</f>
        <v>36961</v>
      </c>
      <c r="C30" s="14"/>
      <c r="D30" s="822" t="s">
        <v>564</v>
      </c>
      <c r="E30" s="823" t="n">
        <f aca="false">Weather_Input!B10</f>
        <v>45</v>
      </c>
      <c r="F30" s="824" t="s">
        <v>565</v>
      </c>
      <c r="G30" s="825" t="n">
        <f aca="false">IF(E32&lt;65,65-(Weather_Input!B10+Weather_Input!C10)/2,0)</f>
        <v>27</v>
      </c>
      <c r="H30" s="826" t="s">
        <v>566</v>
      </c>
      <c r="I30" s="827" t="n">
        <f aca="true">G30-(VLOOKUP(B30,DD_Normal_Data,CELL("Col",B31),FALSE()))</f>
        <v>-3</v>
      </c>
    </row>
    <row r="31" customFormat="false" ht="15" hidden="false" customHeight="false" outlineLevel="0" collapsed="false">
      <c r="A31" s="14"/>
      <c r="B31" s="14"/>
      <c r="C31" s="14"/>
      <c r="D31" s="822" t="s">
        <v>274</v>
      </c>
      <c r="E31" s="823" t="n">
        <f aca="false">Weather_Input!C10</f>
        <v>31</v>
      </c>
      <c r="F31" s="824" t="s">
        <v>567</v>
      </c>
      <c r="G31" s="825" t="n">
        <f aca="false">IF(DAY(B30)=1,G30,G26+G30)</f>
        <v>371.5</v>
      </c>
      <c r="H31" s="826" t="s">
        <v>568</v>
      </c>
      <c r="I31" s="827" t="n">
        <f aca="true">G31-(VLOOKUP(B30,DD_Normal_Data,CELL("Col",C32),FALSE()))</f>
        <v>28.5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569</v>
      </c>
      <c r="E32" s="823" t="n">
        <f aca="false">(Weather_Input!C10+Weather_Input!B10)/2</f>
        <v>38</v>
      </c>
      <c r="F32" s="824" t="s">
        <v>570</v>
      </c>
      <c r="G32" s="825" t="n">
        <f aca="false">IF(AND(DAY(B30)=1,MONTH(B30)=8),G30,G27+G30)</f>
        <v>5456.5</v>
      </c>
      <c r="H32" s="826" t="s">
        <v>570</v>
      </c>
      <c r="I32" s="827" t="n">
        <f aca="true">G32-(VLOOKUP(B30,DD_Normal_Data,CELL("Col",D29),FALSE()))</f>
        <v>318.5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A  CHANCE  OF   RAIN  OR  SNOW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248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65</v>
      </c>
      <c r="B36" s="842" t="n">
        <f aca="false">B5</f>
        <v>36956</v>
      </c>
      <c r="C36" s="842" t="n">
        <f aca="false">B10</f>
        <v>36957</v>
      </c>
      <c r="D36" s="842" t="n">
        <f aca="false">B15</f>
        <v>36958</v>
      </c>
      <c r="E36" s="842" t="n">
        <f aca="false">B20</f>
        <v>36959</v>
      </c>
      <c r="F36" s="842" t="n">
        <f aca="false">B25</f>
        <v>36960</v>
      </c>
      <c r="G36" s="842" t="n">
        <f aca="false">B30</f>
        <v>36961</v>
      </c>
      <c r="H36" s="28"/>
      <c r="I36" s="14"/>
    </row>
    <row r="37" customFormat="false" ht="15" hidden="false" customHeight="false" outlineLevel="0" collapsed="false">
      <c r="A37" s="14" t="s">
        <v>72</v>
      </c>
      <c r="B37" s="843" t="n">
        <f aca="true">(VLOOKUP(B36,PGL_Sendouts,(CELL("COL",PGL_Deliveries!C6))))/1000</f>
        <v>1105</v>
      </c>
      <c r="C37" s="843" t="n">
        <f aca="true">(VLOOKUP(C36,PGL_Sendouts,(CELL("COL",PGL_Deliveries!C7))))/1000</f>
        <v>1015</v>
      </c>
      <c r="D37" s="843" t="n">
        <f aca="true">(VLOOKUP(D36,PGL_Sendouts,(CELL("COL",PGL_Deliveries!C8))))/1000</f>
        <v>1060</v>
      </c>
      <c r="E37" s="843" t="n">
        <f aca="true">(VLOOKUP(E36,PGL_Sendouts,(CELL("COL",PGL_Deliveries!C9))))/1000</f>
        <v>1085</v>
      </c>
      <c r="F37" s="843" t="n">
        <f aca="true">(VLOOKUP(F36,PGL_Sendouts,(CELL("COL",PGL_Deliveries!C10))))/1000</f>
        <v>960</v>
      </c>
      <c r="G37" s="843" t="n">
        <f aca="true">(VLOOKUP(G36,PGL_Sendouts,(CELL("COL",PGL_Deliveries!C10))))/1000</f>
        <v>890</v>
      </c>
      <c r="H37" s="28"/>
      <c r="I37" s="14"/>
    </row>
    <row r="38" customFormat="false" ht="15" hidden="false" customHeight="false" outlineLevel="0" collapsed="false">
      <c r="A38" s="14" t="s">
        <v>575</v>
      </c>
      <c r="B38" s="843" t="n">
        <f aca="false">PGL_6_Day_Report!D30</f>
        <v>1407.082725</v>
      </c>
      <c r="C38" s="843" t="n">
        <f aca="false">PGL_6_Day_Report!E30</f>
        <v>1109.7</v>
      </c>
      <c r="D38" s="843" t="n">
        <f aca="false">PGL_6_Day_Report!F30</f>
        <v>1110.66</v>
      </c>
      <c r="E38" s="843" t="n">
        <f aca="false">PGL_6_Day_Report!G30</f>
        <v>1339.41</v>
      </c>
      <c r="F38" s="843" t="n">
        <f aca="false">PGL_6_Day_Report!H30</f>
        <v>1214.41</v>
      </c>
      <c r="G38" s="843" t="n">
        <f aca="false">PGL_6_Day_Report!I30</f>
        <v>1144.41</v>
      </c>
      <c r="H38" s="28"/>
      <c r="I38" s="14"/>
    </row>
    <row r="39" customFormat="false" ht="15" hidden="false" customHeight="false" outlineLevel="0" collapsed="false">
      <c r="A39" s="844" t="s">
        <v>160</v>
      </c>
      <c r="B39" s="843" t="n">
        <f aca="false">SUM(PGL_Supplies!Z7:AE7)/1000</f>
        <v>660.974</v>
      </c>
      <c r="C39" s="843" t="n">
        <f aca="false">SUM(PGL_Supplies!Z8:AE8)/1000</f>
        <v>847.647</v>
      </c>
      <c r="D39" s="843" t="n">
        <f aca="false">SUM(PGL_Supplies!Z9:AE9)/1000</f>
        <v>932.501</v>
      </c>
      <c r="E39" s="843" t="n">
        <f aca="false">SUM(PGL_Supplies!Z10:AE10)/1000</f>
        <v>932.501</v>
      </c>
      <c r="F39" s="843" t="n">
        <f aca="false">SUM(PGL_Supplies!Z11:AE11)/1000</f>
        <v>932.501</v>
      </c>
      <c r="G39" s="843" t="n">
        <f aca="false">SUM(PGL_Supplies!Z12:AE12)/1000</f>
        <v>932.501</v>
      </c>
      <c r="H39" s="28"/>
      <c r="I39" s="14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0.7</v>
      </c>
      <c r="C41" s="843" t="n">
        <f aca="false">SUM(PGL_Requirements!R7:U7)/1000</f>
        <v>0.7</v>
      </c>
      <c r="D41" s="843" t="n">
        <f aca="false">SUM(PGL_Requirements!R7:U7)/1000</f>
        <v>0.7</v>
      </c>
      <c r="E41" s="843" t="n">
        <f aca="false">SUM(PGL_Requirements!R7:U7)/1000</f>
        <v>0.7</v>
      </c>
      <c r="F41" s="843" t="n">
        <f aca="false">SUM(PGL_Requirements!R7:U7)/1000</f>
        <v>0.7</v>
      </c>
      <c r="G41" s="843" t="n">
        <f aca="false">SUM(PGL_Requirements!R7:U7)/1000</f>
        <v>0.7</v>
      </c>
      <c r="H41" s="28"/>
      <c r="I41" s="14"/>
    </row>
    <row r="42" customFormat="false" ht="15" hidden="false" customHeight="false" outlineLevel="0" collapsed="false">
      <c r="A42" s="14" t="s">
        <v>578</v>
      </c>
      <c r="B42" s="843" t="n">
        <f aca="false">PGL_Supplies!V7/1000</f>
        <v>271.285</v>
      </c>
      <c r="C42" s="843" t="n">
        <f aca="false">PGL_Supplies!V8/1000</f>
        <v>296.282</v>
      </c>
      <c r="D42" s="843" t="n">
        <f aca="false">PGL_Supplies!V9/1000</f>
        <v>296.282</v>
      </c>
      <c r="E42" s="843" t="n">
        <f aca="false">PGL_Supplies!V10/1000</f>
        <v>296.282</v>
      </c>
      <c r="F42" s="843" t="n">
        <f aca="false">PGL_Supplies!V11/1000</f>
        <v>296.282</v>
      </c>
      <c r="G42" s="843" t="n">
        <f aca="false">PGL_Supplies!V12/1000</f>
        <v>296.282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126</v>
      </c>
      <c r="B44" s="842" t="n">
        <f aca="false">B36</f>
        <v>36956</v>
      </c>
      <c r="C44" s="842" t="n">
        <f aca="false">C36</f>
        <v>36957</v>
      </c>
      <c r="D44" s="842" t="n">
        <f aca="false">D36</f>
        <v>36958</v>
      </c>
      <c r="E44" s="842" t="n">
        <f aca="false">E36</f>
        <v>36959</v>
      </c>
      <c r="F44" s="842" t="n">
        <f aca="false">F36</f>
        <v>36960</v>
      </c>
      <c r="G44" s="842" t="n">
        <f aca="false">G36</f>
        <v>36961</v>
      </c>
      <c r="H44" s="28"/>
      <c r="I44" s="14"/>
    </row>
    <row r="45" customFormat="false" ht="15" hidden="false" customHeight="false" outlineLevel="0" collapsed="false">
      <c r="A45" s="14" t="s">
        <v>72</v>
      </c>
      <c r="B45" s="843" t="n">
        <f aca="false">NSG_6_Day_Report!D6</f>
        <v>185</v>
      </c>
      <c r="C45" s="843" t="n">
        <f aca="false">NSG_6_Day_Report!E6</f>
        <v>167</v>
      </c>
      <c r="D45" s="843" t="n">
        <f aca="false">NSG_6_Day_Report!F6</f>
        <v>176</v>
      </c>
      <c r="E45" s="843" t="n">
        <f aca="false">NSG_6_Day_Report!G6</f>
        <v>182</v>
      </c>
      <c r="F45" s="843" t="n">
        <f aca="false">NSG_6_Day_Report!H6</f>
        <v>158</v>
      </c>
      <c r="G45" s="843" t="n">
        <f aca="false">NSG_6_Day_Report!I6</f>
        <v>145</v>
      </c>
      <c r="H45" s="28"/>
      <c r="I45" s="14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193.55</v>
      </c>
      <c r="C46" s="843" t="n">
        <f aca="false">NSG_6_Day_Report!E19</f>
        <v>173.63</v>
      </c>
      <c r="D46" s="843" t="n">
        <f aca="false">NSG_6_Day_Report!F19</f>
        <v>176</v>
      </c>
      <c r="E46" s="843" t="n">
        <f aca="false">NSG_6_Day_Report!G19</f>
        <v>182</v>
      </c>
      <c r="F46" s="843" t="n">
        <f aca="false">NSG_6_Day_Report!H19</f>
        <v>158</v>
      </c>
      <c r="G46" s="843" t="n">
        <f aca="false">NSG_6_Day_Report!I19</f>
        <v>145</v>
      </c>
      <c r="H46" s="28"/>
      <c r="I46" s="14"/>
    </row>
    <row r="47" customFormat="false" ht="15" hidden="false" customHeight="false" outlineLevel="0" collapsed="false">
      <c r="A47" s="844" t="s">
        <v>160</v>
      </c>
      <c r="B47" s="843" t="n">
        <f aca="false">SUM(NSG_Supplies!P7:R7)/1000</f>
        <v>143.554</v>
      </c>
      <c r="C47" s="843" t="n">
        <f aca="false">SUM(NSG_Supplies!P8:R8)/1000</f>
        <v>123.632</v>
      </c>
      <c r="D47" s="843" t="n">
        <f aca="false">SUM(NSG_Supplies!P9:R9)/1000</f>
        <v>123.632</v>
      </c>
      <c r="E47" s="843" t="n">
        <f aca="false">SUM(NSG_Supplies!P10:R10)/1000</f>
        <v>123.632</v>
      </c>
      <c r="F47" s="843" t="n">
        <f aca="false">SUM(NSG_Supplies!P11:R11)/1000</f>
        <v>123.632</v>
      </c>
      <c r="G47" s="843" t="n">
        <f aca="false">SUM(NSG_Supplies!P12:R12)/1000</f>
        <v>123.632</v>
      </c>
      <c r="H47" s="28"/>
      <c r="I47" s="14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50</v>
      </c>
      <c r="C48" s="843" t="n">
        <f aca="false">SUM(NSG_Supplies!I8:M8)/1000</f>
        <v>50</v>
      </c>
      <c r="D48" s="843" t="n">
        <f aca="false">SUM(NSG_Supplies!I9:M9)/1000</f>
        <v>50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578</v>
      </c>
      <c r="B50" s="843" t="n">
        <f aca="false">NSG_Supplies!S7/1000</f>
        <v>33.545</v>
      </c>
      <c r="C50" s="843" t="n">
        <f aca="false">NSG_Supplies!S8/1000</f>
        <v>33.623</v>
      </c>
      <c r="D50" s="843" t="n">
        <f aca="false">NSG_Supplies!S9/1000</f>
        <v>33.623</v>
      </c>
      <c r="E50" s="843" t="n">
        <f aca="false">NSG_Supplies!S10/1000</f>
        <v>33.623</v>
      </c>
      <c r="F50" s="843" t="n">
        <f aca="false">NSG_Supplies!S11/1000</f>
        <v>33.623</v>
      </c>
      <c r="G50" s="843" t="n">
        <f aca="false">NSG_Supplies!S12/1000</f>
        <v>33.623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579</v>
      </c>
      <c r="B52" s="842" t="n">
        <f aca="false">B36</f>
        <v>36956</v>
      </c>
      <c r="C52" s="842" t="n">
        <f aca="false">C36</f>
        <v>36957</v>
      </c>
      <c r="D52" s="842" t="n">
        <f aca="false">D36</f>
        <v>36958</v>
      </c>
      <c r="E52" s="842" t="n">
        <f aca="false">E36</f>
        <v>36959</v>
      </c>
      <c r="F52" s="842" t="n">
        <f aca="false">F36</f>
        <v>36960</v>
      </c>
      <c r="G52" s="842" t="n">
        <f aca="false">G36</f>
        <v>36961</v>
      </c>
      <c r="H52" s="28"/>
      <c r="I52" s="14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289.515</v>
      </c>
      <c r="C53" s="843" t="n">
        <f aca="false">PGL_Requirements!P8/1000</f>
        <v>0</v>
      </c>
      <c r="D53" s="843" t="n">
        <f aca="false">PGL_Requirements!P9/1000</f>
        <v>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581</v>
      </c>
      <c r="B54" s="843" t="n">
        <f aca="false">PGL_Supplies!M7/1000</f>
        <v>220.35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Wednesday</v>
      </c>
      <c r="C4" s="856" t="str">
        <f aca="false">Six_Day_Summary!A15</f>
        <v>Thursday</v>
      </c>
      <c r="D4" s="856" t="str">
        <f aca="false">Six_Day_Summary!A20</f>
        <v>Friday</v>
      </c>
      <c r="E4" s="856" t="str">
        <f aca="false">Six_Day_Summary!A25</f>
        <v>Saturday</v>
      </c>
      <c r="F4" s="857" t="str">
        <f aca="false">Six_Day_Summary!A30</f>
        <v>Sunday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36957</v>
      </c>
      <c r="C5" s="861" t="n">
        <f aca="false">Weather_Input!A7</f>
        <v>36958</v>
      </c>
      <c r="D5" s="861" t="n">
        <f aca="false">Weather_Input!A8</f>
        <v>36959</v>
      </c>
      <c r="E5" s="861" t="n">
        <f aca="false">Weather_Input!A9</f>
        <v>36960</v>
      </c>
      <c r="F5" s="862" t="n">
        <f aca="false">Weather_Input!A10</f>
        <v>36961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PGL_Supplies!AC8/1000+PGL_Supplies!L8/1000-PGL_Requirements!O8/1000+B15-PGL_Requirements!T8/1000+B8</f>
        <v>262.683</v>
      </c>
      <c r="C6" s="863" t="n">
        <f aca="false">PGL_Supplies!AC9/1000+PGL_Supplies!L9/1000-PGL_Requirements!O9/1000+C15-PGL_Requirements!T9/1000</f>
        <v>276.723</v>
      </c>
      <c r="D6" s="863" t="n">
        <f aca="false">PGL_Supplies!AC10/1000+PGL_Supplies!L10/1000-PGL_Requirements!O10/1000+D15-PGL_Requirements!T10/1000</f>
        <v>276.723</v>
      </c>
      <c r="E6" s="863" t="n">
        <f aca="false">PGL_Supplies!AC11/1000+PGL_Supplies!L11/1000-PGL_Requirements!O11/1000+E15-PGL_Requirements!T11/1000</f>
        <v>276.723</v>
      </c>
      <c r="F6" s="864" t="n">
        <f aca="false">PGL_Supplies!AC12/1000+PGL_Supplies!L12/1000-PGL_Requirements!O12/1000+F15-PGL_Requirements!T12/1000</f>
        <v>276.723</v>
      </c>
      <c r="G6" s="858"/>
      <c r="H6" s="0" t="s">
        <v>1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418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Wednesday</v>
      </c>
      <c r="C21" s="877" t="str">
        <f aca="false">C4</f>
        <v>Thursday</v>
      </c>
      <c r="D21" s="877" t="str">
        <f aca="false">D4</f>
        <v>Friday</v>
      </c>
      <c r="E21" s="877" t="str">
        <f aca="false">E4</f>
        <v>Saturday</v>
      </c>
      <c r="F21" s="878" t="str">
        <f aca="false">F4</f>
        <v>Sunday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36957</v>
      </c>
      <c r="C22" s="880" t="n">
        <f aca="false">C5</f>
        <v>36958</v>
      </c>
      <c r="D22" s="880" t="n">
        <f aca="false">D5</f>
        <v>36959</v>
      </c>
      <c r="E22" s="880" t="n">
        <f aca="false">E5</f>
        <v>36960</v>
      </c>
      <c r="F22" s="881" t="n">
        <f aca="false">F5</f>
        <v>36961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97.002</v>
      </c>
      <c r="C23" s="869" t="n">
        <f aca="false">NSG_Supplies!R9/1000+NSG_Supplies!F9/1000-NSG_Requirements!H9/1000</f>
        <v>103.632</v>
      </c>
      <c r="D23" s="869" t="n">
        <f aca="false">NSG_Supplies!R10/1000+NSG_Supplies!F10/1000-NSG_Requirements!H10/1000</f>
        <v>103.632</v>
      </c>
      <c r="E23" s="869" t="n">
        <f aca="false">NSG_Supplies!R12/1000+NSG_Supplies!F11/1000-NSG_Requirements!H11/1000</f>
        <v>103.632</v>
      </c>
      <c r="F23" s="864" t="n">
        <f aca="false">NSG_Supplies!R12/1000+NSG_Supplies!F12/1000-NSG_Requirements!H12/1000</f>
        <v>103.632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36957</v>
      </c>
      <c r="D1" s="885" t="s">
        <v>604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160</v>
      </c>
      <c r="C3" s="892" t="n">
        <f aca="false">NSG_Supplies!Q8/1000</f>
        <v>20</v>
      </c>
      <c r="E3" s="890"/>
      <c r="F3" s="893" t="s">
        <v>253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1</v>
      </c>
      <c r="B4" s="858" t="s">
        <v>608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609</v>
      </c>
      <c r="G4" s="75"/>
      <c r="H4" s="899" t="n">
        <f aca="false">PGL_Requirements!P8/1000</f>
        <v>0</v>
      </c>
      <c r="I4" s="900" t="n">
        <f aca="false">AVERAGE(H4/1.025)</f>
        <v>0</v>
      </c>
      <c r="J4" s="0" t="s">
        <v>1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330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611</v>
      </c>
      <c r="C6" s="910"/>
      <c r="D6" s="41"/>
      <c r="E6" s="911"/>
      <c r="F6" s="0" t="s">
        <v>612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50</v>
      </c>
      <c r="D7" s="75"/>
      <c r="E7" s="912"/>
      <c r="F7" s="889" t="s">
        <v>614</v>
      </c>
      <c r="G7" s="913"/>
      <c r="H7" s="75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5"/>
      <c r="E8" s="912"/>
      <c r="F8" s="891" t="s">
        <v>616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5"/>
      <c r="E9" s="912"/>
      <c r="F9" s="30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50</v>
      </c>
      <c r="D10" s="903"/>
      <c r="E10" s="904" t="n">
        <f aca="false">AVERAGE(C10/24)</f>
        <v>2.08333333333333</v>
      </c>
      <c r="F10" s="891" t="s">
        <v>508</v>
      </c>
      <c r="G10" s="899" t="n">
        <f aca="false">PGL_Supplies!AB8/1000</f>
        <v>261.989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620</v>
      </c>
      <c r="C11" s="899" t="n">
        <f aca="false">PGL_Supplies!Y8/1000</f>
        <v>259.057</v>
      </c>
      <c r="D11" s="894"/>
      <c r="E11" s="915"/>
      <c r="F11" s="916" t="s">
        <v>621</v>
      </c>
      <c r="G11" s="917" t="n">
        <f aca="false">G8+G10</f>
        <v>261.989</v>
      </c>
      <c r="H11" s="259"/>
      <c r="I11" s="918"/>
    </row>
    <row r="12" customFormat="false" ht="15.75" hidden="false" customHeight="true" outlineLevel="0" collapsed="false">
      <c r="B12" s="244" t="s">
        <v>301</v>
      </c>
      <c r="C12" s="899" t="n">
        <f aca="false">PGL_Supplies!X8/1000</f>
        <v>0</v>
      </c>
      <c r="D12" s="41"/>
      <c r="E12" s="890"/>
      <c r="F12" s="919" t="s">
        <v>622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623</v>
      </c>
      <c r="C13" s="41"/>
      <c r="D13" s="899" t="n">
        <f aca="false">PGL_Requirements!J8/1000</f>
        <v>0</v>
      </c>
      <c r="E13" s="890"/>
      <c r="F13" s="919" t="s">
        <v>624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625</v>
      </c>
      <c r="C14" s="902" t="n">
        <f aca="false">C11+C12-D13</f>
        <v>259.057</v>
      </c>
      <c r="D14" s="903"/>
      <c r="E14" s="904" t="n">
        <f aca="false">AVERAGE(C14/24)</f>
        <v>10.7940416666667</v>
      </c>
      <c r="F14" s="921" t="s">
        <v>626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627</v>
      </c>
      <c r="C15" s="899" t="n">
        <f aca="false">PGL_Supplies!Z8/1000</f>
        <v>70</v>
      </c>
      <c r="D15" s="75"/>
      <c r="E15" s="890"/>
      <c r="F15" s="921" t="s">
        <v>628</v>
      </c>
      <c r="G15" s="917" t="n">
        <f aca="false">G8+G10</f>
        <v>261.989</v>
      </c>
      <c r="H15" s="903"/>
      <c r="I15" s="904" t="n">
        <f aca="false">AVERAGE(G15/24)</f>
        <v>10.9162083333333</v>
      </c>
    </row>
    <row r="16" customFormat="false" ht="15.75" hidden="false" customHeight="true" outlineLevel="0" collapsed="false">
      <c r="B16" s="891" t="s">
        <v>629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630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70</v>
      </c>
      <c r="D17" s="259"/>
      <c r="E17" s="918"/>
      <c r="F17" s="922" t="s">
        <v>631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632</v>
      </c>
      <c r="C18" s="899" t="n">
        <f aca="false">PGL_Supplies!C8/1000</f>
        <v>0</v>
      </c>
      <c r="D18" s="75"/>
      <c r="E18" s="890"/>
      <c r="F18" s="926" t="s">
        <v>633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634</v>
      </c>
      <c r="C19" s="75"/>
      <c r="D19" s="899" t="n">
        <f aca="false">PGL_Requirements!C8/1000</f>
        <v>0</v>
      </c>
      <c r="E19" s="890"/>
      <c r="F19" s="905" t="s">
        <v>635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636</v>
      </c>
      <c r="C20" s="902" t="n">
        <f aca="false">C17+C18-D19</f>
        <v>70</v>
      </c>
      <c r="D20" s="928" t="s">
        <v>1</v>
      </c>
      <c r="E20" s="904" t="n">
        <f aca="false">AVERAGE(C20/24)</f>
        <v>2.91666666666667</v>
      </c>
      <c r="F20" s="929" t="s">
        <v>412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637</v>
      </c>
      <c r="C21" s="899" t="n">
        <f aca="false">PGL_Supplies!AA8/1000</f>
        <v>137.735</v>
      </c>
      <c r="D21" s="899" t="s">
        <v>1</v>
      </c>
      <c r="E21" s="890"/>
      <c r="F21" s="891" t="s">
        <v>160</v>
      </c>
      <c r="G21" s="899" t="n">
        <f aca="false">PGL_Supplies!AD8/1000</f>
        <v>101.2</v>
      </c>
      <c r="H21" s="899" t="s">
        <v>1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137.735</v>
      </c>
      <c r="D22" s="259"/>
      <c r="E22" s="918"/>
      <c r="F22" s="916" t="s">
        <v>621</v>
      </c>
      <c r="G22" s="917" t="n">
        <f aca="false">G21</f>
        <v>101.2</v>
      </c>
      <c r="H22" s="259"/>
      <c r="I22" s="918"/>
    </row>
    <row r="23" customFormat="false" ht="15.75" hidden="false" customHeight="true" outlineLevel="0" collapsed="false">
      <c r="B23" s="891" t="s">
        <v>638</v>
      </c>
      <c r="C23" s="899" t="n">
        <f aca="false">PGL_Supplies!D8/1000</f>
        <v>0</v>
      </c>
      <c r="D23" s="75"/>
      <c r="E23" s="890"/>
      <c r="F23" s="891" t="s">
        <v>639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640</v>
      </c>
      <c r="C24" s="75" t="n">
        <v>0</v>
      </c>
      <c r="D24" s="899" t="n">
        <f aca="false">PGL_Requirements!D8/1000</f>
        <v>0</v>
      </c>
      <c r="E24" s="890"/>
      <c r="F24" s="891" t="s">
        <v>641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642</v>
      </c>
      <c r="C25" s="902" t="n">
        <f aca="false">C22+C23-D24</f>
        <v>137.735</v>
      </c>
      <c r="D25" s="903"/>
      <c r="E25" s="904" t="n">
        <f aca="false">AVERAGE(C25/24)</f>
        <v>5.73895833333333</v>
      </c>
      <c r="F25" s="366" t="s">
        <v>643</v>
      </c>
      <c r="G25" s="930" t="n">
        <f aca="false">G22+G23-H24+G20</f>
        <v>101.2</v>
      </c>
      <c r="H25" s="412"/>
      <c r="I25" s="931" t="n">
        <f aca="false">AVERAGE(G25/24)</f>
        <v>4.21666666666667</v>
      </c>
    </row>
    <row r="26" customFormat="false" ht="15.75" hidden="false" customHeight="true" outlineLevel="0" collapsed="false">
      <c r="B26" s="0" t="s">
        <v>644</v>
      </c>
    </row>
    <row r="27" customFormat="false" ht="15.75" hidden="false" customHeight="true" outlineLevel="0" collapsed="false">
      <c r="B27" s="0" t="s">
        <v>645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646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36" colorId="64" zoomScale="100" zoomScaleNormal="100" zoomScalePageLayoutView="100" workbookViewId="0">
      <selection pane="topLeft" activeCell="F45" activeCellId="0" sqref="F45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647</v>
      </c>
      <c r="D1" s="936"/>
      <c r="E1" s="936" t="s">
        <v>648</v>
      </c>
      <c r="F1" s="936"/>
      <c r="G1" s="937" t="s">
        <v>649</v>
      </c>
      <c r="H1" s="938" t="n">
        <f aca="false">Weather_Input!A6</f>
        <v>36957</v>
      </c>
      <c r="I1" s="939"/>
      <c r="J1" s="940"/>
      <c r="K1" s="940"/>
    </row>
    <row r="2" customFormat="false" ht="16.5" hidden="false" customHeight="true" outlineLevel="0" collapsed="false">
      <c r="A2" s="941" t="s">
        <v>650</v>
      </c>
      <c r="C2" s="942" t="n">
        <v>221</v>
      </c>
      <c r="F2" s="943" t="n">
        <v>29</v>
      </c>
      <c r="H2" s="940"/>
      <c r="I2" s="939" t="s">
        <v>651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652</v>
      </c>
      <c r="G4" s="947"/>
      <c r="H4" s="940"/>
      <c r="I4" s="939"/>
      <c r="J4" s="939" t="s">
        <v>653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654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96</v>
      </c>
      <c r="G8" s="934"/>
      <c r="H8" s="939" t="s">
        <v>407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655</v>
      </c>
      <c r="L9" s="944" t="n">
        <f aca="false">NSG_Deliveries!C6/1000</f>
        <v>167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87</v>
      </c>
      <c r="H10" s="953" t="s">
        <v>656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657</v>
      </c>
      <c r="L11" s="947" t="n">
        <f aca="false">SUM(K4+K17+K19+H11+H9-L9)</f>
        <v>0.00200000000000955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658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259.057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410</v>
      </c>
      <c r="F15" s="955" t="n">
        <v>84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659</v>
      </c>
      <c r="K17" s="944" t="n">
        <f aca="false">NSG_Supplies!L8/1000</f>
        <v>50</v>
      </c>
      <c r="N17" s="944"/>
    </row>
    <row r="18" customFormat="false" ht="15" hidden="false" customHeight="true" outlineLevel="0" collapsed="false">
      <c r="A18" s="961"/>
      <c r="C18" s="955" t="n">
        <v>458</v>
      </c>
      <c r="D18" s="959"/>
      <c r="E18" s="959"/>
      <c r="F18" s="943" t="n">
        <v>84</v>
      </c>
    </row>
    <row r="19" customFormat="false" ht="11.25" hidden="false" customHeight="false" outlineLevel="0" collapsed="false">
      <c r="A19" s="950" t="s">
        <v>660</v>
      </c>
      <c r="C19" s="932" t="s">
        <v>1</v>
      </c>
      <c r="J19" s="939" t="s">
        <v>661</v>
      </c>
      <c r="K19" s="944" t="n">
        <f aca="false">NSG_Supplies!R8/1000+NSG_Supplies!F8/1000-NSG_Requirements!H8/1000</f>
        <v>97.002</v>
      </c>
      <c r="N19" s="962"/>
    </row>
    <row r="20" customFormat="false" ht="17.25" hidden="false" customHeight="true" outlineLevel="0" collapsed="false">
      <c r="A20" s="944" t="n">
        <f aca="false">Billy_Sheet!G15</f>
        <v>261.989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410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137.735</v>
      </c>
      <c r="G23" s="939" t="s">
        <v>662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412</v>
      </c>
      <c r="B25" s="940"/>
      <c r="C25" s="940"/>
      <c r="D25" s="940"/>
      <c r="F25" s="940"/>
      <c r="G25" s="939" t="s">
        <v>663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101.2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664</v>
      </c>
      <c r="K26" s="965" t="n">
        <f aca="false">PGL_Deliveries!C6/1000</f>
        <v>1015</v>
      </c>
      <c r="L26" s="939" t="s">
        <v>655</v>
      </c>
      <c r="M26" s="944" t="n">
        <f aca="false">NSG_Deliveries!C6/1000</f>
        <v>167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665</v>
      </c>
      <c r="B28" s="944"/>
      <c r="C28" s="940"/>
      <c r="D28" s="934"/>
      <c r="F28" s="939"/>
      <c r="G28" s="956" t="s">
        <v>666</v>
      </c>
      <c r="H28" s="35"/>
      <c r="J28" s="934" t="s">
        <v>667</v>
      </c>
      <c r="K28" s="947" t="n">
        <f aca="false">SUM(A42)</f>
        <v>832.981</v>
      </c>
      <c r="L28" s="934" t="s">
        <v>668</v>
      </c>
      <c r="M28" s="947" t="n">
        <f aca="false">SUM(J2+K17+K19+H11+H9-M26)</f>
        <v>0.00200000000000955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36956</v>
      </c>
      <c r="G29" s="944" t="n">
        <f aca="false">PGL_Requirements!H7/1000</f>
        <v>0</v>
      </c>
      <c r="H29" s="951"/>
      <c r="J29" s="934" t="s">
        <v>669</v>
      </c>
      <c r="K29" s="944" t="n">
        <f aca="false">PGL_Supplies!AC8/1000+PGL_Supplies!L8/1000-PGL_Requirements!O8/1000</f>
        <v>262.683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36957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670</v>
      </c>
      <c r="B31" s="971"/>
      <c r="C31" s="972"/>
      <c r="D31" s="947"/>
      <c r="G31" s="956" t="s">
        <v>671</v>
      </c>
      <c r="H31" s="947"/>
      <c r="J31" s="934" t="s">
        <v>657</v>
      </c>
      <c r="K31" s="947" t="n">
        <f aca="false">SUM(K28+K29-K26)</f>
        <v>80.664</v>
      </c>
    </row>
    <row r="32" customFormat="false" ht="11.25" hidden="false" customHeight="false" outlineLevel="0" collapsed="false">
      <c r="A32" s="944" t="n">
        <f aca="false">PGL_Supplies!H8/1000</f>
        <v>0</v>
      </c>
      <c r="G32" s="944" t="n">
        <f aca="false">PGL_Requirements!P8/1000</f>
        <v>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672</v>
      </c>
      <c r="G34" s="934" t="s">
        <v>673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674</v>
      </c>
      <c r="F37" s="939" t="s">
        <v>675</v>
      </c>
      <c r="G37" s="944"/>
    </row>
    <row r="38" customFormat="false" ht="11.25" hidden="false" customHeight="false" outlineLevel="0" collapsed="false">
      <c r="C38" s="955" t="n">
        <v>603</v>
      </c>
      <c r="F38" s="955" t="n">
        <v>145</v>
      </c>
    </row>
    <row r="39" customFormat="false" ht="11.25" hidden="false" customHeight="false" outlineLevel="0" collapsed="false">
      <c r="A39" s="941" t="s">
        <v>676</v>
      </c>
      <c r="E39" s="940" t="s">
        <v>677</v>
      </c>
      <c r="F39" s="940"/>
    </row>
    <row r="40" customFormat="false" ht="11.25" hidden="false" customHeight="false" outlineLevel="0" collapsed="false">
      <c r="A40" s="947" t="n">
        <f aca="false">SUM(A3:A35)</f>
        <v>832.981</v>
      </c>
      <c r="B40" s="954"/>
      <c r="C40" s="973"/>
      <c r="D40" s="954"/>
      <c r="E40" s="954"/>
      <c r="F40" s="944"/>
      <c r="G40" s="944" t="n">
        <f aca="false">SUM(G30:G35)</f>
        <v>0</v>
      </c>
      <c r="H40" s="954"/>
      <c r="I40" s="973"/>
    </row>
    <row r="41" customFormat="false" ht="11.25" hidden="false" customHeight="false" outlineLevel="0" collapsed="false">
      <c r="A41" s="974" t="s">
        <v>678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832.981</v>
      </c>
      <c r="B42" s="944"/>
      <c r="C42" s="954"/>
      <c r="D42" s="954"/>
      <c r="E42" s="954"/>
      <c r="F42" s="975"/>
      <c r="G42" s="976" t="s">
        <v>679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680</v>
      </c>
      <c r="G43" s="975" t="s">
        <v>681</v>
      </c>
      <c r="I43" s="944"/>
    </row>
    <row r="44" customFormat="false" ht="12.75" hidden="false" customHeight="true" outlineLevel="0" collapsed="false">
      <c r="A44" s="974" t="s">
        <v>682</v>
      </c>
      <c r="B44" s="944" t="s">
        <v>683</v>
      </c>
      <c r="C44" s="944" t="s">
        <v>684</v>
      </c>
      <c r="D44" s="944" t="s">
        <v>685</v>
      </c>
      <c r="E44" s="979"/>
      <c r="F44" s="979" t="s">
        <v>686</v>
      </c>
      <c r="G44" s="954" t="s">
        <v>687</v>
      </c>
      <c r="H44" s="940" t="s">
        <v>688</v>
      </c>
      <c r="I44" s="944"/>
      <c r="K44" s="940"/>
    </row>
    <row r="45" customFormat="false" ht="11.25" hidden="false" customHeight="false" outlineLevel="0" collapsed="false">
      <c r="A45" s="974" t="s">
        <v>689</v>
      </c>
      <c r="B45" s="980" t="n">
        <v>20</v>
      </c>
      <c r="C45" s="980" t="n">
        <v>155</v>
      </c>
      <c r="D45" s="981" t="n">
        <f aca="false">SUM(F2+F15)/2</f>
        <v>56.5</v>
      </c>
      <c r="E45" s="982"/>
      <c r="F45" s="983" t="n">
        <v>0.067</v>
      </c>
      <c r="G45" s="984" t="n">
        <f aca="false">(C45-D45)*F45</f>
        <v>6.5995</v>
      </c>
      <c r="H45" s="984" t="n">
        <f aca="false">(D45-B45)*F45</f>
        <v>2.4455</v>
      </c>
      <c r="I45" s="944"/>
      <c r="J45" s="985"/>
    </row>
    <row r="46" customFormat="false" ht="11.25" hidden="false" customHeight="false" outlineLevel="0" collapsed="false">
      <c r="A46" s="940" t="s">
        <v>690</v>
      </c>
      <c r="B46" s="986" t="n">
        <v>20</v>
      </c>
      <c r="C46" s="980" t="n">
        <v>155</v>
      </c>
      <c r="D46" s="981" t="n">
        <f aca="false">SUM(F18+F38)/2</f>
        <v>114.5</v>
      </c>
      <c r="E46" s="982"/>
      <c r="F46" s="983" t="n">
        <v>0.139</v>
      </c>
      <c r="G46" s="984" t="n">
        <f aca="false">(C46-D46)*F46</f>
        <v>5.6295</v>
      </c>
      <c r="H46" s="984" t="n">
        <f aca="false">(D46-B46)*F46</f>
        <v>13.1355</v>
      </c>
      <c r="I46" s="944"/>
    </row>
    <row r="47" customFormat="false" ht="11.25" hidden="false" customHeight="false" outlineLevel="0" collapsed="false">
      <c r="A47" s="940" t="s">
        <v>691</v>
      </c>
      <c r="B47" s="986" t="n">
        <v>250</v>
      </c>
      <c r="C47" s="980" t="n">
        <v>500</v>
      </c>
      <c r="D47" s="981" t="n">
        <f aca="false">SUM(C2+C15)/2</f>
        <v>315.5</v>
      </c>
      <c r="E47" s="982"/>
      <c r="F47" s="983" t="n">
        <v>0.141</v>
      </c>
      <c r="G47" s="984" t="n">
        <f aca="false">(C47-D47)*F47</f>
        <v>26.0145</v>
      </c>
      <c r="H47" s="984" t="n">
        <f aca="false">(D47-B47)*F47</f>
        <v>9.2355</v>
      </c>
      <c r="I47" s="944"/>
    </row>
    <row r="48" customFormat="false" ht="11.25" hidden="false" customHeight="false" outlineLevel="0" collapsed="false">
      <c r="A48" s="940" t="s">
        <v>692</v>
      </c>
      <c r="B48" s="986" t="n">
        <v>400</v>
      </c>
      <c r="C48" s="980" t="n">
        <v>800</v>
      </c>
      <c r="D48" s="981" t="n">
        <f aca="false">SUM(C18+C38)/2</f>
        <v>530.5</v>
      </c>
      <c r="E48" s="982"/>
      <c r="F48" s="983" t="n">
        <v>0.161</v>
      </c>
      <c r="G48" s="984" t="n">
        <f aca="false">(C48-D48)*F48</f>
        <v>43.3895</v>
      </c>
      <c r="H48" s="984" t="n">
        <f aca="false">(D48-B48)*F48</f>
        <v>21.0105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693</v>
      </c>
      <c r="G49" s="984" t="n">
        <f aca="false">SUM(G45:G48)</f>
        <v>81.633</v>
      </c>
      <c r="H49" s="984" t="n">
        <f aca="false">SUM(H45:H48)</f>
        <v>45.827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36956</v>
      </c>
      <c r="B5" s="19" t="n">
        <v>34</v>
      </c>
      <c r="C5" s="20" t="n">
        <v>23</v>
      </c>
      <c r="D5" s="20" t="n">
        <v>9.9</v>
      </c>
      <c r="E5" s="19" t="n">
        <v>28.8</v>
      </c>
      <c r="F5" s="19" t="n">
        <v>207</v>
      </c>
      <c r="G5" s="19" t="n">
        <v>5292</v>
      </c>
      <c r="H5" s="19" t="n">
        <v>37</v>
      </c>
      <c r="I5" s="21" t="s">
        <v>29</v>
      </c>
      <c r="J5" s="21" t="s">
        <v>30</v>
      </c>
      <c r="K5" s="19" t="n">
        <v>2</v>
      </c>
      <c r="L5" s="19" t="n">
        <v>1</v>
      </c>
      <c r="N5" s="14" t="str">
        <f aca="false">I5&amp;" "&amp;I5</f>
        <v>  PARTLY CLOUDY.  WIND  NW  10 TO 20 MPH.   PARTLY CLOUDY.  WIND  NW  10 TO 20 MPH.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36957</v>
      </c>
      <c r="B6" s="19" t="n">
        <v>39</v>
      </c>
      <c r="C6" s="20" t="n">
        <v>27</v>
      </c>
      <c r="D6" s="20" t="n">
        <v>10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33</v>
      </c>
      <c r="K6" s="19" t="n">
        <v>3</v>
      </c>
      <c r="L6" s="19" t="s">
        <v>34</v>
      </c>
      <c r="N6" s="14" t="str">
        <f aca="false">I6&amp;" "&amp;J6</f>
        <v>   PARTLY   SUNNY    BECOMING CLOUDY.    WINDS NW 10 TO 15 MPH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36958</v>
      </c>
      <c r="B7" s="19" t="n">
        <v>36</v>
      </c>
      <c r="C7" s="20" t="n">
        <v>22</v>
      </c>
      <c r="D7" s="20" t="n">
        <v>14</v>
      </c>
      <c r="E7" s="19" t="s">
        <v>1</v>
      </c>
      <c r="F7" s="19" t="s">
        <v>1</v>
      </c>
      <c r="G7" s="19"/>
      <c r="H7" s="19" t="s">
        <v>1</v>
      </c>
      <c r="I7" s="21" t="s">
        <v>36</v>
      </c>
      <c r="J7" s="21" t="s">
        <v>1</v>
      </c>
      <c r="K7" s="19" t="n">
        <v>2</v>
      </c>
      <c r="L7" s="19" t="s">
        <v>17</v>
      </c>
      <c r="N7" s="14" t="str">
        <f aca="false">I7&amp;" "&amp;J7</f>
        <v>   CLOUDY... WITH  A   30%   CHANCE  OF  LIGHT  SNOW  OR FLURRIES.    </v>
      </c>
    </row>
    <row r="8" customFormat="false" ht="16.5" hidden="false" customHeight="true" outlineLevel="0" collapsed="false">
      <c r="A8" s="18" t="n">
        <f aca="false">A7+1</f>
        <v>36959</v>
      </c>
      <c r="B8" s="19" t="n">
        <v>33</v>
      </c>
      <c r="C8" s="20" t="n">
        <v>20</v>
      </c>
      <c r="D8" s="20" t="n">
        <v>10</v>
      </c>
      <c r="E8" s="19" t="s">
        <v>1</v>
      </c>
      <c r="F8" s="19" t="s">
        <v>1</v>
      </c>
      <c r="G8" s="19"/>
      <c r="H8" s="19" t="s">
        <v>1</v>
      </c>
      <c r="I8" s="21" t="s">
        <v>37</v>
      </c>
      <c r="J8" s="21" t="s">
        <v>1</v>
      </c>
      <c r="K8" s="19" t="n">
        <v>3</v>
      </c>
      <c r="L8" s="19" t="n">
        <v>0</v>
      </c>
      <c r="N8" s="14" t="str">
        <f aca="false">I8&amp;" "&amp;J8</f>
        <v>   PARTLY  CLOUDY  </v>
      </c>
    </row>
    <row r="9" customFormat="false" ht="16.5" hidden="false" customHeight="true" outlineLevel="0" collapsed="false">
      <c r="A9" s="18" t="n">
        <f aca="false">A8+1</f>
        <v>36960</v>
      </c>
      <c r="B9" s="19" t="n">
        <v>40</v>
      </c>
      <c r="C9" s="20" t="n">
        <v>28</v>
      </c>
      <c r="D9" s="20" t="n">
        <v>10</v>
      </c>
      <c r="E9" s="19" t="s">
        <v>1</v>
      </c>
      <c r="F9" s="19" t="s">
        <v>1</v>
      </c>
      <c r="G9" s="19"/>
      <c r="H9" s="19" t="s">
        <v>1</v>
      </c>
      <c r="I9" s="21" t="s">
        <v>38</v>
      </c>
      <c r="J9" s="21" t="s">
        <v>1</v>
      </c>
      <c r="K9" s="19" t="n">
        <v>5</v>
      </c>
      <c r="L9" s="19" t="n">
        <v>0</v>
      </c>
      <c r="M9" s="22"/>
      <c r="N9" s="14" t="str">
        <f aca="false">I10&amp;" "&amp;J9</f>
        <v>  A  CHANCE  OF   RAIN  OR  SNOW  </v>
      </c>
    </row>
    <row r="10" customFormat="false" ht="16.5" hidden="false" customHeight="true" outlineLevel="0" collapsed="false">
      <c r="A10" s="18" t="n">
        <f aca="false">A9+1</f>
        <v>36961</v>
      </c>
      <c r="B10" s="19" t="n">
        <v>45</v>
      </c>
      <c r="C10" s="20" t="n">
        <v>31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39</v>
      </c>
      <c r="J10" s="21" t="s">
        <v>1</v>
      </c>
      <c r="K10" s="19" t="n">
        <v>5</v>
      </c>
      <c r="L10" s="19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" activeCellId="0" sqref="B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664</v>
      </c>
      <c r="B2" s="990" t="n">
        <f aca="false">PGL_Deliveries!U5/1000</f>
        <v>1110.81</v>
      </c>
      <c r="C2" s="75"/>
      <c r="D2" s="991" t="s">
        <v>649</v>
      </c>
      <c r="E2" s="992" t="n">
        <f aca="false">Weather_Input!A5</f>
        <v>36956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694</v>
      </c>
      <c r="B3" s="993" t="n">
        <f aca="false">PGL_Supplies!J7/1000</f>
        <v>0</v>
      </c>
      <c r="C3" s="994"/>
      <c r="D3" s="995" t="s">
        <v>277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695</v>
      </c>
      <c r="B5" s="899" t="n">
        <f aca="false">PGL_Deliveries!D5/1000</f>
        <v>83.454</v>
      </c>
      <c r="C5" s="74"/>
      <c r="D5" s="77" t="s">
        <v>696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489</v>
      </c>
      <c r="B6" s="899" t="n">
        <f aca="false">PGL_Deliveries!I5/1000</f>
        <v>903.103</v>
      </c>
      <c r="C6" s="1005"/>
      <c r="D6" s="77" t="s">
        <v>697</v>
      </c>
      <c r="E6" s="899" t="n">
        <f aca="false">PGL_Deliveries!P5/1000</f>
        <v>1.003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698</v>
      </c>
      <c r="B7" s="1007" t="n">
        <f aca="false">SUM(B5:B6)</f>
        <v>986.557</v>
      </c>
      <c r="C7" s="1005"/>
      <c r="D7" s="77" t="s">
        <v>438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658</v>
      </c>
      <c r="B8" s="899" t="n">
        <f aca="false">PGL_Deliveries!V5/1000</f>
        <v>189.146</v>
      </c>
      <c r="C8" s="1009"/>
      <c r="D8" s="77" t="s">
        <v>699</v>
      </c>
      <c r="E8" s="899" t="n">
        <f aca="false">PGL_Deliveries!N5/1000</f>
        <v>0.387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87</v>
      </c>
      <c r="B9" s="899" t="n">
        <f aca="false">PGL_Deliveries!W5/1000</f>
        <v>70.014</v>
      </c>
      <c r="C9" s="74"/>
      <c r="D9" s="77" t="s">
        <v>441</v>
      </c>
      <c r="E9" s="899" t="n">
        <f aca="false">PGL_Deliveries!Q5/1000</f>
        <v>0.292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410</v>
      </c>
      <c r="B10" s="899" t="n">
        <f aca="false">PGL_Deliveries!X5/1000</f>
        <v>91.129</v>
      </c>
      <c r="C10" s="74"/>
      <c r="D10" s="77" t="s">
        <v>442</v>
      </c>
      <c r="E10" s="899" t="n">
        <f aca="false">PGL_Deliveries!S5/1000</f>
        <v>5.563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96</v>
      </c>
      <c r="B11" s="899" t="n">
        <f aca="false">(PGL_Deliveries!AJ5+PGL_Deliveries!AK5)/1000</f>
        <v>13.875</v>
      </c>
      <c r="C11" s="74"/>
      <c r="D11" s="77" t="s">
        <v>700</v>
      </c>
      <c r="E11" s="899" t="n">
        <f aca="false">PGL_Deliveries!R5/1000</f>
        <v>8.123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701</v>
      </c>
      <c r="B12" s="899" t="n">
        <f aca="false">PGL_Supplies!K7/1000</f>
        <v>0</v>
      </c>
      <c r="C12" s="74"/>
      <c r="D12" s="77" t="s">
        <v>445</v>
      </c>
      <c r="E12" s="899" t="n">
        <f aca="false">PGL_Deliveries!G5/1000</f>
        <v>0.004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702</v>
      </c>
      <c r="B13" s="899" t="n">
        <f aca="false">PGL_Deliveries!Y5/1000+PGL_Deliveries!Z5/1000+PGL_Deliveries!AA5/1000-PGL_Deliveries!BE5/1000</f>
        <v>250.967</v>
      </c>
      <c r="C13" s="74"/>
      <c r="D13" s="77" t="s">
        <v>446</v>
      </c>
      <c r="E13" s="899" t="n">
        <f aca="false">PGL_Deliveries!F5/1000</f>
        <v>9.922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412</v>
      </c>
      <c r="B14" s="899" t="n">
        <f aca="false">PGL_Deliveries!AD5/1000</f>
        <v>71.301</v>
      </c>
      <c r="C14" s="74"/>
      <c r="D14" s="77" t="s">
        <v>448</v>
      </c>
      <c r="E14" s="899" t="n">
        <f aca="false">PGL_Deliveries!H5/1000</f>
        <v>23.983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69</v>
      </c>
      <c r="B15" s="899" t="n">
        <f aca="false">PGL_Deliveries!AH5/1000+PGL_Deliveries!AX5/1000+PGL_Deliveries!AT5/1000-PGL_Deliveries!AS5/1000-PGL_Deliveries!AU5/1000+PGL_Deliveries!AE5/1000+PGL_Deliveries!AF5/1000-PGL_Deliveries!AV5/1000</f>
        <v>289.515</v>
      </c>
      <c r="C15" s="74"/>
      <c r="D15" s="77" t="s">
        <v>450</v>
      </c>
      <c r="E15" s="899" t="n">
        <f aca="false">PGL_Deliveries!K5/1000</f>
        <v>64.443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703</v>
      </c>
      <c r="B16" s="75"/>
      <c r="C16" s="1010" t="n">
        <f aca="false">PGL_Deliveries!AO5/1000</f>
        <v>0</v>
      </c>
      <c r="D16" s="77" t="s">
        <v>454</v>
      </c>
      <c r="E16" s="899" t="n">
        <f aca="false">PGL_Deliveries!L5/1000</f>
        <v>5.3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414</v>
      </c>
      <c r="B17" s="899" t="n">
        <f aca="false">PGL_Deliveries!AP5/1000</f>
        <v>10.61</v>
      </c>
      <c r="C17" s="1005" t="s">
        <v>1</v>
      </c>
      <c r="D17" s="1011" t="s">
        <v>452</v>
      </c>
      <c r="E17" s="906" t="n">
        <f aca="false">PGL_Deliveries!M5/1000</f>
        <v>5.233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704</v>
      </c>
      <c r="B18" s="930" t="n">
        <f aca="false">SUM(B8:B17)-C16</f>
        <v>986.557</v>
      </c>
      <c r="C18" s="1005"/>
      <c r="D18" s="1013" t="s">
        <v>705</v>
      </c>
      <c r="E18" s="1014" t="n">
        <f aca="false">SUM(E5:E17)</f>
        <v>124.253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189.161</v>
      </c>
      <c r="C19" s="1009"/>
      <c r="D19" s="77" t="s">
        <v>597</v>
      </c>
      <c r="E19" s="899" t="n">
        <f aca="false">PGL_Deliveries!AI5/1000</f>
        <v>0.019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301</v>
      </c>
      <c r="B20" s="899" t="n">
        <f aca="false">PGL_Supplies!X7/1000</f>
        <v>0</v>
      </c>
      <c r="C20" s="74"/>
      <c r="D20" s="77" t="s">
        <v>418</v>
      </c>
      <c r="E20" s="899" t="n">
        <f aca="false">PGL_Deliveries!AF5/1000+B41</f>
        <v>77.39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623</v>
      </c>
      <c r="C21" s="900" t="n">
        <f aca="false">PGL_Requirements!J7/1000</f>
        <v>0</v>
      </c>
      <c r="D21" s="1015" t="s">
        <v>706</v>
      </c>
      <c r="E21" s="1016" t="n">
        <f aca="false">SUM(E18:E20)</f>
        <v>201.662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693</v>
      </c>
      <c r="B22" s="1019" t="n">
        <f aca="false">+B19+B20-C21</f>
        <v>189.161</v>
      </c>
      <c r="C22" s="1020"/>
      <c r="D22" s="1021" t="s">
        <v>707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458</v>
      </c>
      <c r="B23" s="899" t="n">
        <f aca="false">PGL_Supplies!Z7/1000</f>
        <v>70</v>
      </c>
      <c r="C23" s="74"/>
      <c r="D23" s="1021" t="s">
        <v>708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709</v>
      </c>
      <c r="B24" s="1022"/>
      <c r="C24" s="1010" t="n">
        <f aca="false">PGL_Requirements!U7/1000</f>
        <v>0</v>
      </c>
      <c r="D24" s="75" t="s">
        <v>710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711</v>
      </c>
      <c r="B25" s="899" t="n">
        <f aca="false">PGL_Supplies!R7/1000</f>
        <v>0</v>
      </c>
      <c r="C25" s="74"/>
      <c r="D25" s="1021" t="s">
        <v>712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455</v>
      </c>
      <c r="B26" s="83" t="s">
        <v>1</v>
      </c>
      <c r="C26" s="1023" t="s">
        <v>1</v>
      </c>
      <c r="D26" s="75" t="s">
        <v>713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714</v>
      </c>
      <c r="B27" s="899" t="n">
        <f aca="false">PGL_Supplies!AA7/1000</f>
        <v>86.735</v>
      </c>
      <c r="C27" s="74"/>
      <c r="D27" s="75" t="s">
        <v>421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715</v>
      </c>
      <c r="B28" s="899" t="n">
        <v>0</v>
      </c>
      <c r="C28" s="74"/>
      <c r="D28" s="1021" t="s">
        <v>716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717</v>
      </c>
      <c r="B29" s="83"/>
      <c r="C29" s="1023" t="n">
        <f aca="false">PGL_Requirements!J12/1000</f>
        <v>0</v>
      </c>
      <c r="D29" s="1021" t="s">
        <v>426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718</v>
      </c>
      <c r="B30" s="1025" t="n">
        <f aca="false">PGL_Supplies!AD7/1000</f>
        <v>71.538</v>
      </c>
      <c r="C30" s="74"/>
      <c r="D30" s="1021" t="s">
        <v>719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720</v>
      </c>
      <c r="B31" s="899" t="n">
        <f aca="false">PGL_Supplies!AE7/1000</f>
        <v>0</v>
      </c>
      <c r="C31" s="74"/>
      <c r="D31" s="1021" t="s">
        <v>721</v>
      </c>
      <c r="E31" s="75" t="s">
        <v>1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722</v>
      </c>
      <c r="B32" s="75"/>
      <c r="C32" s="1010" t="n">
        <v>0</v>
      </c>
      <c r="D32" s="1026" t="s">
        <v>723</v>
      </c>
      <c r="E32" s="899" t="n">
        <f aca="false">PGL_Deliveries!AR5/1000</f>
        <v>20.712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724</v>
      </c>
      <c r="B33" s="899" t="n">
        <f aca="false">PGL_Supplies!Q7/1000</f>
        <v>0</v>
      </c>
      <c r="C33" s="74"/>
      <c r="D33" s="1021" t="s">
        <v>725</v>
      </c>
      <c r="E33" s="899" t="n">
        <f aca="false">PGL_Supplies!M7/1000</f>
        <v>220.35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726</v>
      </c>
      <c r="B34" s="1027" t="n">
        <f aca="false">(PGL_Deliveries!AB5+PGL_Deliveries!AC5+PGL_Deliveries!AD5)/1000</f>
        <v>71.301</v>
      </c>
      <c r="C34" s="74"/>
      <c r="D34" s="75" t="s">
        <v>297</v>
      </c>
      <c r="E34" s="899" t="n">
        <f aca="false">PGL_Supplies!AC7/1000</f>
        <v>180.95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727</v>
      </c>
      <c r="B35" s="75"/>
      <c r="C35" s="74" t="n">
        <f aca="false">PGL_Deliveries!AC5/1000</f>
        <v>0</v>
      </c>
      <c r="D35" s="75" t="s">
        <v>728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729</v>
      </c>
      <c r="B36" s="83"/>
      <c r="C36" s="1023" t="n">
        <f aca="false">PGL_Deliveries!AB5/1000</f>
        <v>0</v>
      </c>
      <c r="D36" s="1026" t="s">
        <v>730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731</v>
      </c>
      <c r="B37" s="899" t="s">
        <v>1</v>
      </c>
      <c r="C37" s="1010" t="n">
        <f aca="false">PGL_Requirements!P7/1000</f>
        <v>289.515</v>
      </c>
      <c r="D37" s="1021" t="s">
        <v>732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733</v>
      </c>
      <c r="B38" s="899" t="n">
        <f aca="false">PGL_Supplies!M7/1000</f>
        <v>220.35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734</v>
      </c>
      <c r="B39" s="75"/>
      <c r="C39" s="1010" t="n">
        <f aca="false">PGL_Deliveries!AS5/1000</f>
        <v>7.525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439</v>
      </c>
      <c r="B40" s="899" t="n">
        <f aca="false">PGL_Deliveries!AT5/1000</f>
        <v>0</v>
      </c>
      <c r="C40" s="74"/>
      <c r="D40" s="1028" t="s">
        <v>327</v>
      </c>
      <c r="E40" s="1016" t="n">
        <f aca="false">SUM(E22:E37)-SUM(F23:F39)-E33</f>
        <v>201.662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343</v>
      </c>
      <c r="B41" s="899" t="n">
        <f aca="false">PGL_Deliveries!AG5/1000</f>
        <v>0</v>
      </c>
      <c r="C41" s="74"/>
      <c r="D41" s="1029" t="s">
        <v>735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736</v>
      </c>
      <c r="B42" s="899" t="n">
        <f aca="false">PGL_Deliveries!AF5/1000</f>
        <v>77.39</v>
      </c>
      <c r="C42" s="74"/>
      <c r="D42" s="1021" t="s">
        <v>263</v>
      </c>
      <c r="E42" s="1030" t="n">
        <f aca="false">PGL_Supplies!AB7/1000</f>
        <v>251.751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737</v>
      </c>
      <c r="B43" s="899" t="n">
        <f aca="false">PGL_Deliveries!AW5/1000</f>
        <v>0</v>
      </c>
      <c r="C43" s="74"/>
      <c r="D43" s="75" t="s">
        <v>427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738</v>
      </c>
      <c r="B44" s="906" t="s">
        <v>1</v>
      </c>
      <c r="C44" s="1010" t="n">
        <f aca="false">PGL_Requirements!R7/1000</f>
        <v>0.7</v>
      </c>
      <c r="D44" s="75" t="s">
        <v>615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739</v>
      </c>
      <c r="B45" s="75" t="n">
        <f aca="false">Weather_Input!B5</f>
        <v>34</v>
      </c>
      <c r="C45" s="994"/>
      <c r="D45" s="75" t="s">
        <v>740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741</v>
      </c>
      <c r="B46" s="1031" t="n">
        <f aca="false">Weather_Input!C5</f>
        <v>23</v>
      </c>
      <c r="C46" s="42"/>
      <c r="D46" s="75" t="s">
        <v>344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742</v>
      </c>
      <c r="B47" s="75" t="n">
        <f aca="false">Weather_Input!E5</f>
        <v>28.8</v>
      </c>
      <c r="C47" s="42"/>
      <c r="D47" s="1032" t="s">
        <v>346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743</v>
      </c>
      <c r="B48" s="1034" t="n">
        <f aca="false">Weather_Input!D5</f>
        <v>9.9</v>
      </c>
      <c r="C48" s="42"/>
      <c r="D48" s="1021" t="s">
        <v>479</v>
      </c>
      <c r="E48" s="899" t="n">
        <f aca="false">PGL_Deliveries!AI5/1000</f>
        <v>0.019</v>
      </c>
      <c r="F48" s="890"/>
    </row>
    <row r="49" customFormat="false" ht="15" hidden="false" customHeight="false" outlineLevel="0" collapsed="false">
      <c r="A49" s="891" t="s">
        <v>744</v>
      </c>
      <c r="B49" s="899" t="n">
        <f aca="false">PGL_Deliveries!AM5/1000</f>
        <v>1.036</v>
      </c>
      <c r="C49" s="42"/>
      <c r="D49" s="75" t="s">
        <v>745</v>
      </c>
      <c r="E49" s="899" t="n">
        <f aca="false">PGL_Deliveries!AJ5/1000</f>
        <v>13.875</v>
      </c>
      <c r="F49" s="890"/>
    </row>
    <row r="50" customFormat="false" ht="15.75" hidden="false" customHeight="false" outlineLevel="2" collapsed="false">
      <c r="A50" s="872" t="s">
        <v>746</v>
      </c>
      <c r="B50" s="998"/>
      <c r="C50" s="999"/>
      <c r="D50" s="907" t="s">
        <v>747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748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8" activeCellId="0" sqref="A18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749</v>
      </c>
      <c r="B3" s="1038" t="n">
        <f aca="false">NSG_Deliveries!H5/1000</f>
        <v>181.613</v>
      </c>
      <c r="C3" s="461"/>
      <c r="D3" s="1039" t="s">
        <v>649</v>
      </c>
      <c r="E3" s="1040" t="n">
        <f aca="false">Weather_Input!A5</f>
        <v>36956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407</v>
      </c>
      <c r="B5" s="1045" t="n">
        <f aca="false">NSG_Deliveries!E5/1000</f>
        <v>111.835</v>
      </c>
      <c r="C5" s="1046"/>
      <c r="D5" s="1047" t="s">
        <v>659</v>
      </c>
      <c r="E5" s="1048" t="n">
        <f aca="false">NSG_Deliveries!D5/1000</f>
        <v>49.898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750</v>
      </c>
      <c r="B7" s="1048" t="n">
        <f aca="false">NSG_Deliveries!G5/1000</f>
        <v>0</v>
      </c>
      <c r="C7" s="1051"/>
      <c r="D7" s="1047" t="s">
        <v>751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327</v>
      </c>
      <c r="B8" s="1048" t="n">
        <f aca="false">B5+B7</f>
        <v>111.835</v>
      </c>
      <c r="C8" s="890"/>
      <c r="D8" s="1054" t="s">
        <v>752</v>
      </c>
      <c r="E8" s="1055" t="n">
        <f aca="false">NSG_Deliveries!F5/1000</f>
        <v>19.88</v>
      </c>
      <c r="F8" s="347"/>
      <c r="G8" s="0"/>
    </row>
    <row r="9" customFormat="false" ht="15" hidden="false" customHeight="true" outlineLevel="0" collapsed="false">
      <c r="A9" s="1056" t="s">
        <v>602</v>
      </c>
      <c r="B9" s="1057" t="s">
        <v>1</v>
      </c>
      <c r="C9" s="1058" t="n">
        <f aca="false">NSG_Requirements!L7/1000</f>
        <v>0</v>
      </c>
      <c r="D9" s="30" t="s">
        <v>309</v>
      </c>
      <c r="E9" s="1059" t="s">
        <v>1</v>
      </c>
      <c r="F9" s="1060" t="n">
        <f aca="false">NSG_Deliveries!M5/1000</f>
        <v>0.102</v>
      </c>
      <c r="G9" s="41"/>
    </row>
    <row r="10" customFormat="false" ht="15" hidden="false" customHeight="true" outlineLevel="0" collapsed="false">
      <c r="A10" s="1061" t="s">
        <v>753</v>
      </c>
      <c r="B10" s="1062" t="n">
        <f aca="false">NSG_Supplies!H7/1000</f>
        <v>0</v>
      </c>
      <c r="C10" s="1063"/>
      <c r="D10" s="1064" t="s">
        <v>754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755</v>
      </c>
      <c r="B11" s="1068" t="s">
        <v>1</v>
      </c>
      <c r="C11" s="1069"/>
      <c r="D11" s="905" t="s">
        <v>756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757</v>
      </c>
      <c r="B12" s="1062" t="n">
        <v>0</v>
      </c>
      <c r="C12" s="1042"/>
      <c r="D12" s="0" t="s">
        <v>758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759</v>
      </c>
      <c r="B13" s="1062" t="n">
        <f aca="false">NSG_Supplies!R7/1000</f>
        <v>123.554</v>
      </c>
      <c r="C13" s="1042"/>
      <c r="D13" s="1073" t="s">
        <v>760</v>
      </c>
      <c r="E13" s="437"/>
      <c r="F13" s="1074"/>
      <c r="G13" s="0"/>
    </row>
    <row r="14" customFormat="false" ht="15" hidden="false" customHeight="true" outlineLevel="0" collapsed="false">
      <c r="A14" s="1061" t="s">
        <v>423</v>
      </c>
      <c r="B14" s="1062" t="n">
        <f aca="false">NSG_Supplies!C7/1000</f>
        <v>0</v>
      </c>
      <c r="C14" s="1042"/>
      <c r="D14" s="1075" t="s">
        <v>761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762</v>
      </c>
      <c r="B15" s="1075"/>
      <c r="C15" s="1058" t="n">
        <f aca="false">NSG_Deliveries!K5/1000</f>
        <v>11.719</v>
      </c>
      <c r="D15" s="1079" t="s">
        <v>763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764</v>
      </c>
      <c r="B16" s="1065" t="n">
        <f aca="false">NSG_Deliveries!L5/1000</f>
        <v>0</v>
      </c>
      <c r="C16" s="1082"/>
      <c r="D16" s="1083" t="s">
        <v>477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765</v>
      </c>
      <c r="B17" s="1075"/>
      <c r="C17" s="1058" t="n">
        <f aca="false">NSG_Requirements!P7/1000</f>
        <v>0</v>
      </c>
      <c r="D17" s="1085" t="s">
        <v>766</v>
      </c>
      <c r="E17" s="412"/>
      <c r="F17" s="1086"/>
    </row>
    <row r="18" customFormat="false" ht="15" hidden="false" customHeight="true" outlineLevel="0" collapsed="false">
      <c r="A18" s="1061" t="s">
        <v>767</v>
      </c>
      <c r="B18" s="1062" t="n">
        <f aca="false">NSG_Supplies!I7/1000</f>
        <v>0</v>
      </c>
      <c r="C18" s="1042"/>
      <c r="D18" s="74" t="s">
        <v>768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769</v>
      </c>
      <c r="B19" s="1065" t="n">
        <f aca="false">PGL_Requirements!Y7/1000+PGL_Requirements!AB7/1000</f>
        <v>0</v>
      </c>
      <c r="C19" s="1087"/>
      <c r="D19" s="1088" t="s">
        <v>770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771</v>
      </c>
      <c r="B20" s="1065" t="n">
        <f aca="false">PGL_Requirements!Z7/1000</f>
        <v>0</v>
      </c>
      <c r="C20" s="1087" t="s">
        <v>1</v>
      </c>
      <c r="D20" s="1075" t="s">
        <v>772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773</v>
      </c>
      <c r="B21" s="1065" t="n">
        <f aca="false">PGL_Requirements!AA7/1000</f>
        <v>0</v>
      </c>
      <c r="C21" s="1087"/>
      <c r="D21" s="1089" t="s">
        <v>774</v>
      </c>
      <c r="E21" s="1062" t="n">
        <f aca="false">NSG_Supplies!L7/1000</f>
        <v>50</v>
      </c>
      <c r="F21" s="1090"/>
    </row>
    <row r="22" customFormat="false" ht="15" hidden="false" customHeight="true" outlineLevel="0" collapsed="false">
      <c r="A22" s="1061" t="s">
        <v>775</v>
      </c>
      <c r="B22" s="1075"/>
      <c r="C22" s="1058" t="n">
        <f aca="false">NSG_Requirements!C7/1000</f>
        <v>0</v>
      </c>
      <c r="D22" s="1089" t="s">
        <v>776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777</v>
      </c>
      <c r="B23" s="1075"/>
      <c r="C23" s="1058" t="n">
        <f aca="false">NSG_Requirements!R7/1000</f>
        <v>0</v>
      </c>
      <c r="D23" s="1089" t="s">
        <v>778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779</v>
      </c>
      <c r="B24" s="1062" t="n">
        <f aca="false">NSG_Supplies!K7/1000</f>
        <v>0</v>
      </c>
      <c r="C24" s="1042"/>
      <c r="D24" s="1089" t="s">
        <v>780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781</v>
      </c>
      <c r="B25" s="1075"/>
      <c r="C25" s="1058" t="n">
        <f aca="false">NSG_Requirements!Q7/1000</f>
        <v>0</v>
      </c>
      <c r="D25" s="1089" t="s">
        <v>782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783</v>
      </c>
      <c r="B26" s="1092" t="n">
        <f aca="false">NSG_Supplies!J7/1000</f>
        <v>0</v>
      </c>
      <c r="C26" s="1046"/>
      <c r="D26" s="1093" t="s">
        <v>784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327</v>
      </c>
      <c r="B27" s="1096" t="n">
        <f aca="false">SUM(B9:B26)-SUM(C9:C26)</f>
        <v>111.835</v>
      </c>
      <c r="C27" s="1097"/>
      <c r="D27" s="1098" t="s">
        <v>785</v>
      </c>
      <c r="E27" s="1096" t="n">
        <f aca="false">SUM(E18:E26)-SUM(F18:F26)</f>
        <v>50</v>
      </c>
      <c r="F27" s="1099"/>
      <c r="H27" s="30" t="s">
        <v>1</v>
      </c>
    </row>
    <row r="28" customFormat="false" ht="15" hidden="false" customHeight="true" outlineLevel="0" collapsed="false">
      <c r="A28" s="9" t="s">
        <v>786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K1" colorId="64" zoomScale="75" zoomScaleNormal="75" zoomScalePageLayoutView="100" workbookViewId="0">
      <selection pane="topLeft" activeCell="AV6" activeCellId="0" sqref="AV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41</v>
      </c>
      <c r="BE1" s="0" t="s">
        <v>42</v>
      </c>
    </row>
    <row r="2" customFormat="false" ht="15" hidden="false" customHeight="false" outlineLevel="0" collapsed="false">
      <c r="A2" s="30"/>
      <c r="B2" s="30"/>
      <c r="C2" s="30"/>
      <c r="D2" s="33" t="s">
        <v>43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44</v>
      </c>
      <c r="AC2" s="34" t="s">
        <v>1</v>
      </c>
      <c r="AD2" s="34" t="s">
        <v>1</v>
      </c>
      <c r="AE2" s="34" t="s">
        <v>45</v>
      </c>
      <c r="AF2" s="34"/>
      <c r="AG2" s="34" t="s">
        <v>45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45</v>
      </c>
      <c r="BA2" s="0" t="s">
        <v>46</v>
      </c>
      <c r="BC2" s="0" t="s">
        <v>47</v>
      </c>
      <c r="BE2" s="36" t="n">
        <v>1</v>
      </c>
      <c r="BF2" s="12" t="s">
        <v>47</v>
      </c>
    </row>
    <row r="3" customFormat="false" ht="15" hidden="false" customHeight="false" outlineLevel="0" collapsed="false">
      <c r="A3" s="30"/>
      <c r="B3" s="37" t="s">
        <v>48</v>
      </c>
      <c r="C3" s="30" t="s">
        <v>1</v>
      </c>
      <c r="D3" s="38" t="s">
        <v>49</v>
      </c>
      <c r="E3" s="37" t="s">
        <v>50</v>
      </c>
      <c r="F3" s="37" t="s">
        <v>50</v>
      </c>
      <c r="G3" s="37" t="s">
        <v>50</v>
      </c>
      <c r="H3" s="37" t="s">
        <v>51</v>
      </c>
      <c r="I3" s="37" t="s">
        <v>51</v>
      </c>
      <c r="J3" s="37" t="s">
        <v>51</v>
      </c>
      <c r="K3" s="37" t="s">
        <v>52</v>
      </c>
      <c r="L3" s="37" t="s">
        <v>53</v>
      </c>
      <c r="M3" s="37" t="s">
        <v>53</v>
      </c>
      <c r="N3" s="37" t="s">
        <v>54</v>
      </c>
      <c r="O3" s="37" t="s">
        <v>55</v>
      </c>
      <c r="P3" s="37" t="s">
        <v>56</v>
      </c>
      <c r="R3" s="37"/>
      <c r="S3" s="37"/>
      <c r="T3" s="37" t="s">
        <v>52</v>
      </c>
      <c r="U3" s="37" t="s">
        <v>10</v>
      </c>
      <c r="V3" s="37"/>
      <c r="W3" s="29"/>
      <c r="X3" s="30"/>
      <c r="Y3" s="30" t="s">
        <v>57</v>
      </c>
      <c r="Z3" s="30"/>
      <c r="AA3" s="30"/>
      <c r="AB3" s="37" t="s">
        <v>58</v>
      </c>
      <c r="AC3" s="37" t="s">
        <v>44</v>
      </c>
      <c r="AD3" s="37" t="s">
        <v>44</v>
      </c>
      <c r="AE3" s="37" t="s">
        <v>59</v>
      </c>
      <c r="AF3" s="37" t="s">
        <v>59</v>
      </c>
      <c r="AG3" s="37" t="s">
        <v>60</v>
      </c>
      <c r="AH3" s="37" t="s">
        <v>60</v>
      </c>
      <c r="AI3" s="37" t="s">
        <v>61</v>
      </c>
      <c r="AJ3" s="37" t="s">
        <v>62</v>
      </c>
      <c r="AK3" s="37" t="s">
        <v>63</v>
      </c>
      <c r="AL3" s="37" t="s">
        <v>64</v>
      </c>
      <c r="AM3" s="12" t="s">
        <v>65</v>
      </c>
      <c r="AO3" s="39" t="s">
        <v>66</v>
      </c>
      <c r="AP3" s="40"/>
      <c r="AQ3" s="39" t="s">
        <v>67</v>
      </c>
      <c r="AR3" s="40"/>
      <c r="AS3" s="39" t="s">
        <v>68</v>
      </c>
      <c r="AT3" s="40"/>
      <c r="AU3" s="35" t="s">
        <v>69</v>
      </c>
      <c r="AV3" s="35" t="s">
        <v>69</v>
      </c>
      <c r="AW3" s="35"/>
      <c r="AX3" s="35" t="s">
        <v>69</v>
      </c>
      <c r="AZ3" s="41" t="s">
        <v>70</v>
      </c>
      <c r="BA3" s="41"/>
      <c r="BB3" s="42"/>
      <c r="BC3" s="41" t="s">
        <v>51</v>
      </c>
      <c r="BE3" s="36" t="s">
        <v>71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72</v>
      </c>
      <c r="D4" s="38" t="s">
        <v>73</v>
      </c>
      <c r="E4" s="37" t="n">
        <v>2</v>
      </c>
      <c r="F4" s="37" t="n">
        <v>3</v>
      </c>
      <c r="G4" s="37" t="s">
        <v>74</v>
      </c>
      <c r="H4" s="37" t="s">
        <v>75</v>
      </c>
      <c r="I4" s="37" t="s">
        <v>76</v>
      </c>
      <c r="J4" s="37" t="s">
        <v>77</v>
      </c>
      <c r="K4" s="37" t="s">
        <v>78</v>
      </c>
      <c r="L4" s="37" t="n">
        <v>1</v>
      </c>
      <c r="M4" s="37" t="n">
        <v>2</v>
      </c>
      <c r="N4" s="37" t="s">
        <v>79</v>
      </c>
      <c r="O4" s="37" t="s">
        <v>80</v>
      </c>
      <c r="P4" s="37" t="s">
        <v>81</v>
      </c>
      <c r="Q4" s="37" t="s">
        <v>82</v>
      </c>
      <c r="R4" s="37" t="s">
        <v>83</v>
      </c>
      <c r="S4" s="37" t="s">
        <v>84</v>
      </c>
      <c r="T4" s="37" t="s">
        <v>85</v>
      </c>
      <c r="U4" s="37" t="s">
        <v>72</v>
      </c>
      <c r="V4" s="37" t="s">
        <v>86</v>
      </c>
      <c r="W4" s="37" t="s">
        <v>87</v>
      </c>
      <c r="X4" s="37" t="s">
        <v>88</v>
      </c>
      <c r="Y4" s="37" t="s">
        <v>89</v>
      </c>
      <c r="Z4" s="37" t="s">
        <v>90</v>
      </c>
      <c r="AA4" s="37" t="s">
        <v>91</v>
      </c>
      <c r="AB4" s="37" t="s">
        <v>76</v>
      </c>
      <c r="AC4" s="37" t="s">
        <v>92</v>
      </c>
      <c r="AD4" s="37" t="s">
        <v>93</v>
      </c>
      <c r="AE4" s="37" t="s">
        <v>94</v>
      </c>
      <c r="AF4" s="37" t="s">
        <v>93</v>
      </c>
      <c r="AG4" s="37" t="s">
        <v>94</v>
      </c>
      <c r="AH4" s="37" t="s">
        <v>93</v>
      </c>
      <c r="AI4" s="37" t="s">
        <v>95</v>
      </c>
      <c r="AJ4" s="37" t="s">
        <v>96</v>
      </c>
      <c r="AK4" s="37" t="s">
        <v>96</v>
      </c>
      <c r="AL4" s="37" t="s">
        <v>97</v>
      </c>
      <c r="AM4" s="37" t="s">
        <v>98</v>
      </c>
      <c r="AN4" s="30"/>
      <c r="AO4" s="43" t="s">
        <v>99</v>
      </c>
      <c r="AP4" s="37" t="s">
        <v>100</v>
      </c>
      <c r="AQ4" s="37" t="s">
        <v>99</v>
      </c>
      <c r="AR4" s="37" t="s">
        <v>100</v>
      </c>
      <c r="AS4" s="37" t="s">
        <v>99</v>
      </c>
      <c r="AT4" s="37" t="s">
        <v>100</v>
      </c>
      <c r="AU4" s="35" t="s">
        <v>101</v>
      </c>
      <c r="AV4" s="35" t="s">
        <v>102</v>
      </c>
      <c r="AW4" s="35" t="s">
        <v>103</v>
      </c>
      <c r="AX4" s="35" t="s">
        <v>104</v>
      </c>
      <c r="AY4" s="30"/>
      <c r="AZ4" s="44" t="s">
        <v>50</v>
      </c>
      <c r="BA4" s="45" t="s">
        <v>51</v>
      </c>
      <c r="BB4" s="46" t="s">
        <v>105</v>
      </c>
      <c r="BC4" s="46" t="s">
        <v>106</v>
      </c>
      <c r="BE4" s="12" t="s">
        <v>85</v>
      </c>
      <c r="BF4" s="12" t="s">
        <v>107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36956</v>
      </c>
      <c r="B5" s="30" t="n">
        <f aca="false">(Weather_Input!B5+Weather_Input!C5)/2</f>
        <v>28.5</v>
      </c>
      <c r="C5" s="47" t="n">
        <v>1105000</v>
      </c>
      <c r="D5" s="48" t="n">
        <v>83454</v>
      </c>
      <c r="E5" s="48" t="n">
        <v>0</v>
      </c>
      <c r="F5" s="48" t="n">
        <v>9922</v>
      </c>
      <c r="G5" s="48" t="n">
        <v>4</v>
      </c>
      <c r="H5" s="48" t="n">
        <v>23983</v>
      </c>
      <c r="I5" s="48" t="n">
        <v>903103</v>
      </c>
      <c r="J5" s="48" t="n">
        <v>0</v>
      </c>
      <c r="K5" s="48" t="n">
        <v>64443</v>
      </c>
      <c r="L5" s="48" t="n">
        <v>5300</v>
      </c>
      <c r="M5" s="48" t="n">
        <v>5233</v>
      </c>
      <c r="N5" s="48" t="n">
        <v>387</v>
      </c>
      <c r="O5" s="48" t="n">
        <v>0</v>
      </c>
      <c r="P5" s="48" t="n">
        <v>1003</v>
      </c>
      <c r="Q5" s="48" t="n">
        <v>292</v>
      </c>
      <c r="R5" s="48" t="n">
        <v>8123</v>
      </c>
      <c r="S5" s="49" t="n">
        <v>5563</v>
      </c>
      <c r="T5" s="50" t="n">
        <v>0</v>
      </c>
      <c r="U5" s="47" t="n">
        <f aca="false">SUM(D5:S5)-T5</f>
        <v>1110810</v>
      </c>
      <c r="V5" s="47" t="n">
        <v>189146</v>
      </c>
      <c r="W5" s="19" t="n">
        <v>70014</v>
      </c>
      <c r="X5" s="19" t="n">
        <v>91129</v>
      </c>
      <c r="Y5" s="19" t="n">
        <v>0</v>
      </c>
      <c r="Z5" s="19" t="n">
        <v>250967</v>
      </c>
      <c r="AA5" s="19" t="n">
        <v>0</v>
      </c>
      <c r="AB5" s="19" t="n">
        <v>0</v>
      </c>
      <c r="AC5" s="19" t="n">
        <v>0</v>
      </c>
      <c r="AD5" s="19" t="n">
        <v>71301</v>
      </c>
      <c r="AE5" s="19" t="n">
        <v>0</v>
      </c>
      <c r="AF5" s="19" t="n">
        <v>77390</v>
      </c>
      <c r="AG5" s="19" t="n">
        <v>0</v>
      </c>
      <c r="AH5" s="19" t="n">
        <v>0</v>
      </c>
      <c r="AI5" s="19" t="n">
        <v>19</v>
      </c>
      <c r="AJ5" s="19" t="n">
        <v>13875</v>
      </c>
      <c r="AK5" s="19" t="n">
        <v>0</v>
      </c>
      <c r="AL5" s="19" t="n">
        <v>0</v>
      </c>
      <c r="AM5" s="30" t="n">
        <v>1036</v>
      </c>
      <c r="AN5" s="30"/>
      <c r="AO5" s="30" t="n">
        <v>0</v>
      </c>
      <c r="AP5" s="30" t="n">
        <v>10610</v>
      </c>
      <c r="AQ5" s="30" t="n">
        <v>0</v>
      </c>
      <c r="AR5" s="30" t="n">
        <v>20712</v>
      </c>
      <c r="AS5" s="30" t="n">
        <v>7525</v>
      </c>
      <c r="AT5" s="30" t="n">
        <v>0</v>
      </c>
      <c r="AU5" s="30" t="n">
        <v>0</v>
      </c>
      <c r="AV5" s="30" t="n">
        <v>700</v>
      </c>
      <c r="AW5" s="51" t="n">
        <v>0</v>
      </c>
      <c r="AX5" s="30" t="n">
        <v>220350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36957</v>
      </c>
      <c r="B6" s="30" t="n">
        <f aca="false">(Weather_Input!B6+Weather_Input!C6)/2</f>
        <v>33</v>
      </c>
      <c r="C6" s="47" t="n">
        <v>1015000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108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36958</v>
      </c>
      <c r="B7" s="54" t="n">
        <f aca="false">(Weather_Input!B7+Weather_Input!C7)/2</f>
        <v>29</v>
      </c>
      <c r="C7" s="47" t="n">
        <v>1060000</v>
      </c>
      <c r="D7" s="52" t="s">
        <v>1</v>
      </c>
      <c r="E7" s="53"/>
      <c r="F7" s="53"/>
      <c r="G7" s="53"/>
      <c r="H7" s="55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36959</v>
      </c>
      <c r="B8" s="54" t="n">
        <f aca="false">(Weather_Input!B8+Weather_Input!C8)/2</f>
        <v>26.5</v>
      </c>
      <c r="C8" s="47" t="n">
        <v>1085000</v>
      </c>
      <c r="D8" s="52"/>
      <c r="E8" s="53" t="s">
        <v>1</v>
      </c>
      <c r="F8" s="53"/>
      <c r="G8" s="53"/>
      <c r="H8" s="57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36960</v>
      </c>
      <c r="B9" s="54" t="n">
        <f aca="false">(Weather_Input!B9+Weather_Input!C9)/2</f>
        <v>34</v>
      </c>
      <c r="C9" s="47" t="n">
        <v>960000</v>
      </c>
      <c r="D9" s="52"/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36961</v>
      </c>
      <c r="B10" s="54" t="n">
        <f aca="false">(Weather_Input!B10+Weather_Input!C10)/2</f>
        <v>38</v>
      </c>
      <c r="C10" s="47" t="n">
        <v>890000</v>
      </c>
      <c r="D10" s="52"/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117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118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119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120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121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788</v>
      </c>
      <c r="B1" s="107" t="n">
        <f aca="false">Weather_Input!A5</f>
        <v>36956</v>
      </c>
      <c r="C1" s="1112"/>
    </row>
    <row r="2" customFormat="false" ht="15" hidden="false" customHeight="false" outlineLevel="0" collapsed="false">
      <c r="A2" s="29" t="s">
        <v>789</v>
      </c>
      <c r="B2" s="1112"/>
      <c r="C2" s="1112"/>
    </row>
    <row r="3" customFormat="false" ht="15.75" hidden="false" customHeight="false" outlineLevel="0" collapsed="false">
      <c r="B3" s="1113" t="s">
        <v>87</v>
      </c>
      <c r="C3" s="1113"/>
      <c r="D3" s="1113"/>
      <c r="E3" s="1113"/>
      <c r="F3" s="1113"/>
      <c r="G3" s="1113"/>
      <c r="H3" s="1114" t="s">
        <v>88</v>
      </c>
      <c r="I3" s="1114"/>
      <c r="J3" s="1114"/>
      <c r="K3" s="1114"/>
      <c r="L3" s="1114"/>
      <c r="M3" s="1114"/>
      <c r="N3" s="851" t="s">
        <v>44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790</v>
      </c>
      <c r="C4" s="1115"/>
      <c r="D4" s="12" t="s">
        <v>693</v>
      </c>
      <c r="E4" s="12" t="s">
        <v>693</v>
      </c>
      <c r="F4" s="1116" t="s">
        <v>791</v>
      </c>
      <c r="G4" s="1116"/>
      <c r="H4" s="4" t="s">
        <v>790</v>
      </c>
      <c r="I4" s="4"/>
      <c r="J4" s="12" t="s">
        <v>693</v>
      </c>
      <c r="K4" s="12" t="s">
        <v>693</v>
      </c>
      <c r="L4" s="1116" t="s">
        <v>791</v>
      </c>
      <c r="M4" s="1116"/>
      <c r="N4" s="4" t="s">
        <v>790</v>
      </c>
      <c r="O4" s="4"/>
      <c r="P4" s="12" t="s">
        <v>693</v>
      </c>
      <c r="Q4" s="12" t="s">
        <v>693</v>
      </c>
      <c r="R4" s="4" t="s">
        <v>791</v>
      </c>
      <c r="S4" s="4"/>
    </row>
    <row r="5" customFormat="false" ht="15" hidden="false" customHeight="false" outlineLevel="0" collapsed="false">
      <c r="A5" s="802"/>
      <c r="B5" s="1117" t="s">
        <v>792</v>
      </c>
      <c r="C5" s="1118" t="s">
        <v>793</v>
      </c>
      <c r="D5" s="1119" t="s">
        <v>794</v>
      </c>
      <c r="E5" s="1119" t="s">
        <v>795</v>
      </c>
      <c r="F5" s="1119" t="s">
        <v>792</v>
      </c>
      <c r="G5" s="1120" t="s">
        <v>793</v>
      </c>
      <c r="H5" s="1119" t="s">
        <v>792</v>
      </c>
      <c r="I5" s="1119" t="s">
        <v>793</v>
      </c>
      <c r="J5" s="1119" t="s">
        <v>794</v>
      </c>
      <c r="K5" s="1119" t="s">
        <v>795</v>
      </c>
      <c r="L5" s="1119" t="s">
        <v>792</v>
      </c>
      <c r="M5" s="1120" t="s">
        <v>793</v>
      </c>
      <c r="N5" s="1119" t="s">
        <v>792</v>
      </c>
      <c r="O5" s="1119" t="s">
        <v>793</v>
      </c>
      <c r="P5" s="1119" t="s">
        <v>794</v>
      </c>
      <c r="Q5" s="1119" t="s">
        <v>795</v>
      </c>
      <c r="R5" s="1119" t="s">
        <v>792</v>
      </c>
      <c r="S5" s="1119" t="s">
        <v>793</v>
      </c>
    </row>
    <row r="6" customFormat="false" ht="15" hidden="false" customHeight="false" outlineLevel="0" collapsed="false">
      <c r="A6" s="1112" t="n">
        <f aca="false">B1-1</f>
        <v>36955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302227</v>
      </c>
      <c r="O6" s="1121" t="n">
        <v>0</v>
      </c>
      <c r="P6" s="1121" t="n">
        <v>33627152</v>
      </c>
      <c r="Q6" s="1121" t="n">
        <v>15045098</v>
      </c>
      <c r="R6" s="1121" t="n">
        <v>18582054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36956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189398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33816550</v>
      </c>
      <c r="Q7" s="0" t="n">
        <f aca="false">IF(O7&gt;0,Q6+O7,Q6)</f>
        <v>15045098</v>
      </c>
      <c r="R7" s="0" t="n">
        <f aca="false">IF(P7&gt;Q7,P7-Q7,0)</f>
        <v>18771452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796</v>
      </c>
      <c r="C1" s="37" t="s">
        <v>797</v>
      </c>
      <c r="D1" s="1123" t="s">
        <v>798</v>
      </c>
    </row>
    <row r="2" customFormat="false" ht="15" hidden="false" customHeight="false" outlineLevel="0" collapsed="false">
      <c r="B2" s="37" t="s">
        <v>799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87</v>
      </c>
      <c r="N1" s="30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9" t="s">
        <v>48</v>
      </c>
      <c r="C3" s="30" t="s">
        <v>72</v>
      </c>
      <c r="D3" s="37" t="s">
        <v>123</v>
      </c>
      <c r="F3" s="37" t="s">
        <v>124</v>
      </c>
      <c r="G3" s="37" t="s">
        <v>125</v>
      </c>
      <c r="H3" s="37" t="s">
        <v>10</v>
      </c>
      <c r="I3" s="37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9" t="s">
        <v>128</v>
      </c>
      <c r="D4" s="37" t="s">
        <v>129</v>
      </c>
      <c r="E4" s="37" t="s">
        <v>130</v>
      </c>
      <c r="F4" s="37" t="s">
        <v>129</v>
      </c>
      <c r="G4" s="37" t="s">
        <v>129</v>
      </c>
      <c r="H4" s="37" t="s">
        <v>72</v>
      </c>
      <c r="I4" s="37" t="s">
        <v>131</v>
      </c>
      <c r="K4" s="30" t="s">
        <v>132</v>
      </c>
      <c r="L4" s="30" t="s">
        <v>133</v>
      </c>
      <c r="M4" s="30" t="s">
        <v>132</v>
      </c>
      <c r="N4" s="30" t="s">
        <v>133</v>
      </c>
    </row>
    <row r="5" customFormat="false" ht="12.75" hidden="false" customHeight="false" outlineLevel="0" collapsed="false">
      <c r="A5" s="63" t="n">
        <f aca="false">Weather_Input!A5</f>
        <v>36956</v>
      </c>
      <c r="B5" s="30" t="n">
        <f aca="false">(Weather_Input!B5+Weather_Input!C5)/2</f>
        <v>28.5</v>
      </c>
      <c r="C5" s="47" t="n">
        <v>185000</v>
      </c>
      <c r="D5" s="47" t="n">
        <v>49898</v>
      </c>
      <c r="E5" s="47" t="n">
        <v>111835</v>
      </c>
      <c r="F5" s="47" t="n">
        <v>19880</v>
      </c>
      <c r="G5" s="47" t="n">
        <v>0</v>
      </c>
      <c r="H5" s="64" t="n">
        <f aca="false">SUM(D5:G5)</f>
        <v>181613</v>
      </c>
      <c r="I5" s="30" t="n">
        <v>1022</v>
      </c>
      <c r="J5" s="30" t="s">
        <v>1</v>
      </c>
      <c r="K5" s="30" t="n">
        <v>11719</v>
      </c>
      <c r="L5" s="30" t="n">
        <v>0</v>
      </c>
      <c r="M5" s="30" t="n">
        <v>102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36957</v>
      </c>
      <c r="B6" s="30" t="n">
        <f aca="false">(Weather_Input!B6+Weather_Input!C6)/2</f>
        <v>33</v>
      </c>
      <c r="C6" s="47" t="n">
        <v>167000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36958</v>
      </c>
      <c r="B7" s="54" t="n">
        <f aca="false">(Weather_Input!B7+Weather_Input!C7)/2</f>
        <v>29</v>
      </c>
      <c r="C7" s="47" t="n">
        <v>176000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36959</v>
      </c>
      <c r="B8" s="54" t="n">
        <f aca="false">(Weather_Input!B8+Weather_Input!C8)/2</f>
        <v>26.5</v>
      </c>
      <c r="C8" s="47" t="n">
        <v>182000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36960</v>
      </c>
      <c r="B9" s="54" t="n">
        <f aca="false">(Weather_Input!B9+Weather_Input!C9)/2</f>
        <v>34</v>
      </c>
      <c r="C9" s="47" t="n">
        <v>158000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36961</v>
      </c>
      <c r="B10" s="54" t="n">
        <f aca="false">(Weather_Input!B10+Weather_Input!C10)/2</f>
        <v>38</v>
      </c>
      <c r="C10" s="47" t="n">
        <v>145000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T7" activeCellId="0" sqref="T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134</v>
      </c>
      <c r="D3" s="70"/>
      <c r="E3" s="70"/>
      <c r="F3" s="70"/>
      <c r="G3" s="69"/>
      <c r="H3" s="71" t="n">
        <v>1</v>
      </c>
      <c r="I3" s="70" t="s">
        <v>135</v>
      </c>
      <c r="J3" s="70"/>
      <c r="K3" s="70"/>
      <c r="L3" s="70"/>
      <c r="M3" s="70"/>
      <c r="N3" s="70"/>
      <c r="O3" s="70"/>
      <c r="P3" s="72" t="s">
        <v>94</v>
      </c>
      <c r="Q3" s="72"/>
      <c r="R3" s="72"/>
      <c r="S3" s="72"/>
      <c r="T3" s="72"/>
      <c r="U3" s="72"/>
      <c r="V3" s="73" t="s">
        <v>136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137</v>
      </c>
      <c r="I4" s="37" t="s">
        <v>138</v>
      </c>
      <c r="J4" s="37" t="s">
        <v>139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87</v>
      </c>
      <c r="W4" s="76"/>
      <c r="X4" s="76"/>
      <c r="Y4" s="77" t="s">
        <v>45</v>
      </c>
      <c r="Z4" s="77"/>
      <c r="AA4" s="77"/>
      <c r="AB4" s="77"/>
      <c r="AC4" s="38" t="s">
        <v>140</v>
      </c>
      <c r="AD4" s="38"/>
      <c r="AE4" s="38"/>
      <c r="AF4" s="31"/>
      <c r="AG4" s="37" t="s">
        <v>141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142</v>
      </c>
      <c r="C5" s="77"/>
      <c r="D5" s="30"/>
      <c r="E5" s="30"/>
      <c r="F5" s="80"/>
      <c r="G5" s="79" t="s">
        <v>1</v>
      </c>
      <c r="H5" s="76" t="s">
        <v>85</v>
      </c>
      <c r="I5" s="34" t="s">
        <v>143</v>
      </c>
      <c r="J5" s="81" t="s">
        <v>86</v>
      </c>
      <c r="K5" s="30"/>
      <c r="L5" s="30"/>
      <c r="M5" s="30"/>
      <c r="N5" s="74"/>
      <c r="O5" s="77" t="s">
        <v>45</v>
      </c>
      <c r="P5" s="37" t="s">
        <v>65</v>
      </c>
      <c r="Q5" s="37" t="s">
        <v>76</v>
      </c>
      <c r="R5" s="37" t="s">
        <v>76</v>
      </c>
      <c r="S5" s="37" t="s">
        <v>45</v>
      </c>
      <c r="T5" s="34" t="s">
        <v>69</v>
      </c>
      <c r="U5" s="82" t="s">
        <v>144</v>
      </c>
      <c r="V5" s="38" t="s">
        <v>145</v>
      </c>
      <c r="W5" s="37" t="s">
        <v>145</v>
      </c>
      <c r="X5" s="37" t="s">
        <v>145</v>
      </c>
      <c r="Y5" s="37" t="s">
        <v>145</v>
      </c>
      <c r="Z5" s="37" t="s">
        <v>145</v>
      </c>
      <c r="AA5" s="37" t="s">
        <v>145</v>
      </c>
      <c r="AB5" s="37" t="s">
        <v>145</v>
      </c>
      <c r="AC5" s="38" t="s">
        <v>145</v>
      </c>
      <c r="AD5" s="37" t="s">
        <v>145</v>
      </c>
      <c r="AE5" s="37" t="s">
        <v>145</v>
      </c>
      <c r="AF5" s="38" t="s">
        <v>145</v>
      </c>
      <c r="AG5" s="37" t="s">
        <v>145</v>
      </c>
      <c r="AH5" s="37" t="s">
        <v>145</v>
      </c>
      <c r="AI5" s="37" t="s">
        <v>145</v>
      </c>
      <c r="AJ5" s="30"/>
    </row>
    <row r="6" customFormat="false" ht="12.75" hidden="false" customHeight="false" outlineLevel="0" collapsed="false">
      <c r="A6" s="83"/>
      <c r="B6" s="84" t="s">
        <v>146</v>
      </c>
      <c r="C6" s="81" t="s">
        <v>87</v>
      </c>
      <c r="D6" s="81" t="s">
        <v>140</v>
      </c>
      <c r="E6" s="81" t="s">
        <v>141</v>
      </c>
      <c r="F6" s="85" t="s">
        <v>147</v>
      </c>
      <c r="G6" s="81" t="s">
        <v>148</v>
      </c>
      <c r="H6" s="86" t="s">
        <v>141</v>
      </c>
      <c r="I6" s="87" t="s">
        <v>149</v>
      </c>
      <c r="J6" s="81" t="s">
        <v>150</v>
      </c>
      <c r="K6" s="81" t="s">
        <v>141</v>
      </c>
      <c r="L6" s="81" t="s">
        <v>45</v>
      </c>
      <c r="M6" s="81" t="s">
        <v>85</v>
      </c>
      <c r="N6" s="81" t="s">
        <v>147</v>
      </c>
      <c r="O6" s="81" t="s">
        <v>151</v>
      </c>
      <c r="P6" s="81" t="s">
        <v>76</v>
      </c>
      <c r="Q6" s="81" t="s">
        <v>152</v>
      </c>
      <c r="R6" s="81" t="s">
        <v>153</v>
      </c>
      <c r="S6" s="81" t="s">
        <v>154</v>
      </c>
      <c r="T6" s="88" t="s">
        <v>155</v>
      </c>
      <c r="U6" s="87" t="s">
        <v>151</v>
      </c>
      <c r="V6" s="81" t="s">
        <v>87</v>
      </c>
      <c r="W6" s="81" t="s">
        <v>45</v>
      </c>
      <c r="X6" s="81" t="s">
        <v>140</v>
      </c>
      <c r="Y6" s="81" t="s">
        <v>45</v>
      </c>
      <c r="Z6" s="81" t="s">
        <v>87</v>
      </c>
      <c r="AA6" s="81" t="s">
        <v>140</v>
      </c>
      <c r="AB6" s="81" t="s">
        <v>141</v>
      </c>
      <c r="AC6" s="81" t="s">
        <v>87</v>
      </c>
      <c r="AD6" s="81" t="s">
        <v>45</v>
      </c>
      <c r="AE6" s="81" t="s">
        <v>140</v>
      </c>
      <c r="AF6" s="81" t="s">
        <v>87</v>
      </c>
      <c r="AG6" s="81" t="s">
        <v>45</v>
      </c>
      <c r="AH6" s="81" t="s">
        <v>140</v>
      </c>
      <c r="AI6" s="81" t="s">
        <v>141</v>
      </c>
      <c r="AJ6" s="30"/>
    </row>
    <row r="7" customFormat="false" ht="12.75" hidden="false" customHeight="false" outlineLevel="0" collapsed="false">
      <c r="A7" s="89" t="n">
        <f aca="false">Weather_Input!A5</f>
        <v>36956</v>
      </c>
      <c r="B7" s="90" t="n">
        <v>7525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0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289515</v>
      </c>
      <c r="Q7" s="51" t="n">
        <f aca="false">P7*0.015</f>
        <v>4342.725</v>
      </c>
      <c r="R7" s="92" t="n">
        <v>700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36956</v>
      </c>
    </row>
    <row r="8" customFormat="false" ht="12.75" hidden="false" customHeight="false" outlineLevel="0" collapsed="false">
      <c r="A8" s="89" t="n">
        <f aca="false">A7+1</f>
        <v>36957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80000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14040</v>
      </c>
      <c r="P8" s="92" t="n">
        <v>0</v>
      </c>
      <c r="Q8" s="51" t="n">
        <f aca="false">P8*0.015</f>
        <v>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36957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36958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50000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0</v>
      </c>
      <c r="Q9" s="51" t="n">
        <f aca="false">P9*0.015</f>
        <v>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36958</v>
      </c>
      <c r="AN9" s="94"/>
    </row>
    <row r="10" customFormat="false" ht="12.75" hidden="false" customHeight="false" outlineLevel="0" collapsed="false">
      <c r="A10" s="89" t="n">
        <f aca="false">A9+1</f>
        <v>36959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36959</v>
      </c>
    </row>
    <row r="11" customFormat="false" ht="12.75" hidden="false" customHeight="false" outlineLevel="0" collapsed="false">
      <c r="A11" s="89" t="n">
        <f aca="false">A10+1</f>
        <v>36960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36960</v>
      </c>
    </row>
    <row r="12" customFormat="false" ht="12.75" hidden="false" customHeight="false" outlineLevel="0" collapsed="false">
      <c r="A12" s="89" t="n">
        <f aca="false">A11+1</f>
        <v>36961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36961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156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M7" activeCellId="0" sqref="M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157</v>
      </c>
      <c r="D3" s="98"/>
      <c r="E3" s="98"/>
      <c r="F3" s="98"/>
      <c r="G3" s="98"/>
      <c r="H3" s="72" t="s">
        <v>158</v>
      </c>
      <c r="I3" s="72"/>
      <c r="J3" s="72"/>
      <c r="K3" s="72"/>
      <c r="L3" s="72"/>
      <c r="M3" s="72" t="s">
        <v>159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160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161</v>
      </c>
      <c r="V4" s="37" t="s">
        <v>162</v>
      </c>
      <c r="Y4" s="74"/>
      <c r="Z4" s="75"/>
      <c r="AE4" s="74"/>
    </row>
    <row r="5" customFormat="false" ht="12.75" hidden="false" customHeight="false" outlineLevel="0" collapsed="false">
      <c r="B5" s="37" t="s">
        <v>163</v>
      </c>
      <c r="C5" s="38"/>
      <c r="D5" s="37"/>
      <c r="E5" s="37"/>
      <c r="F5" s="37"/>
      <c r="G5" s="79"/>
      <c r="H5" s="37"/>
      <c r="I5" s="37"/>
      <c r="J5" s="37"/>
      <c r="K5" s="79" t="s">
        <v>64</v>
      </c>
      <c r="L5" s="77" t="s">
        <v>45</v>
      </c>
      <c r="M5" s="38" t="s">
        <v>65</v>
      </c>
      <c r="N5" s="38" t="s">
        <v>1</v>
      </c>
      <c r="O5" s="37" t="s">
        <v>1</v>
      </c>
      <c r="P5" s="37" t="s">
        <v>1</v>
      </c>
      <c r="Q5" s="37" t="s">
        <v>164</v>
      </c>
      <c r="R5" s="34" t="s">
        <v>87</v>
      </c>
      <c r="S5" s="79" t="s">
        <v>1</v>
      </c>
      <c r="T5" s="76" t="s">
        <v>85</v>
      </c>
      <c r="U5" s="34" t="s">
        <v>143</v>
      </c>
      <c r="V5" s="37" t="s">
        <v>165</v>
      </c>
      <c r="W5" s="37"/>
      <c r="X5" s="77" t="s">
        <v>86</v>
      </c>
      <c r="Y5" s="74"/>
      <c r="Z5" s="37"/>
      <c r="AA5" s="37"/>
      <c r="AB5" s="37"/>
      <c r="AE5" s="79" t="s">
        <v>166</v>
      </c>
    </row>
    <row r="6" customFormat="false" ht="12.75" hidden="false" customHeight="false" outlineLevel="0" collapsed="false">
      <c r="B6" s="81" t="s">
        <v>167</v>
      </c>
      <c r="C6" s="100" t="s">
        <v>87</v>
      </c>
      <c r="D6" s="81" t="s">
        <v>140</v>
      </c>
      <c r="E6" s="81" t="s">
        <v>141</v>
      </c>
      <c r="F6" s="81" t="s">
        <v>85</v>
      </c>
      <c r="G6" s="84" t="s">
        <v>147</v>
      </c>
      <c r="H6" s="81" t="s">
        <v>142</v>
      </c>
      <c r="I6" s="81" t="s">
        <v>96</v>
      </c>
      <c r="J6" s="81" t="s">
        <v>77</v>
      </c>
      <c r="K6" s="84" t="s">
        <v>97</v>
      </c>
      <c r="L6" s="81" t="s">
        <v>168</v>
      </c>
      <c r="M6" s="100" t="s">
        <v>76</v>
      </c>
      <c r="N6" s="81" t="s">
        <v>1</v>
      </c>
      <c r="O6" s="81" t="s">
        <v>1</v>
      </c>
      <c r="P6" s="81" t="s">
        <v>1</v>
      </c>
      <c r="Q6" s="101" t="s">
        <v>169</v>
      </c>
      <c r="R6" s="88" t="s">
        <v>151</v>
      </c>
      <c r="S6" s="84" t="s">
        <v>1</v>
      </c>
      <c r="T6" s="86" t="s">
        <v>141</v>
      </c>
      <c r="U6" s="88" t="s">
        <v>149</v>
      </c>
      <c r="V6" s="81" t="s">
        <v>170</v>
      </c>
      <c r="W6" s="81" t="s">
        <v>1</v>
      </c>
      <c r="X6" s="102" t="s">
        <v>171</v>
      </c>
      <c r="Y6" s="84" t="s">
        <v>86</v>
      </c>
      <c r="Z6" s="81" t="s">
        <v>87</v>
      </c>
      <c r="AA6" s="81" t="s">
        <v>140</v>
      </c>
      <c r="AB6" s="81" t="s">
        <v>141</v>
      </c>
      <c r="AC6" s="81" t="s">
        <v>45</v>
      </c>
      <c r="AD6" s="81" t="s">
        <v>147</v>
      </c>
      <c r="AE6" s="84" t="s">
        <v>172</v>
      </c>
    </row>
    <row r="7" customFormat="false" ht="12.75" hidden="false" customHeight="false" outlineLevel="0" collapsed="false">
      <c r="A7" s="89" t="n">
        <f aca="false">Weather_Input!A5</f>
        <v>36956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0</v>
      </c>
      <c r="I7" s="92" t="n">
        <v>13875</v>
      </c>
      <c r="J7" s="92" t="n">
        <v>0</v>
      </c>
      <c r="K7" s="104" t="n">
        <v>0</v>
      </c>
      <c r="L7" s="95" t="n">
        <v>20712</v>
      </c>
      <c r="M7" s="105" t="n">
        <v>220350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271285</v>
      </c>
      <c r="W7" s="95" t="n">
        <v>0</v>
      </c>
      <c r="X7" s="94" t="n">
        <v>0</v>
      </c>
      <c r="Y7" s="104" t="n">
        <v>189161</v>
      </c>
      <c r="Z7" s="95" t="n">
        <v>70000</v>
      </c>
      <c r="AA7" s="30" t="n">
        <v>86735</v>
      </c>
      <c r="AB7" s="94" t="n">
        <v>251751</v>
      </c>
      <c r="AC7" s="94" t="n">
        <v>180950</v>
      </c>
      <c r="AD7" s="94" t="n">
        <v>71538</v>
      </c>
      <c r="AE7" s="104" t="n">
        <v>0</v>
      </c>
      <c r="AF7" s="107" t="n">
        <f aca="false">Weather_Input!A5</f>
        <v>36956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296282</v>
      </c>
      <c r="W8" s="95" t="n">
        <v>0</v>
      </c>
      <c r="X8" s="94" t="n">
        <v>0</v>
      </c>
      <c r="Y8" s="104" t="n">
        <v>259057</v>
      </c>
      <c r="Z8" s="95" t="n">
        <v>70000</v>
      </c>
      <c r="AA8" s="30" t="n">
        <v>137735</v>
      </c>
      <c r="AB8" s="94" t="n">
        <v>261989</v>
      </c>
      <c r="AC8" s="94" t="n">
        <v>276723</v>
      </c>
      <c r="AD8" s="94" t="n">
        <v>101200</v>
      </c>
      <c r="AE8" s="104" t="n">
        <v>0</v>
      </c>
      <c r="AF8" s="89" t="n">
        <f aca="false">AF7+1</f>
        <v>36957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296282</v>
      </c>
      <c r="W9" s="95" t="n">
        <v>0</v>
      </c>
      <c r="X9" s="94" t="n">
        <v>0</v>
      </c>
      <c r="Y9" s="104" t="n">
        <v>259057</v>
      </c>
      <c r="Z9" s="95" t="n">
        <v>70000</v>
      </c>
      <c r="AA9" s="30" t="n">
        <v>137735</v>
      </c>
      <c r="AB9" s="94" t="n">
        <v>261989</v>
      </c>
      <c r="AC9" s="94" t="n">
        <v>276723</v>
      </c>
      <c r="AD9" s="94" t="n">
        <v>186054</v>
      </c>
      <c r="AE9" s="104" t="n">
        <v>0</v>
      </c>
      <c r="AF9" s="89" t="n">
        <f aca="false">AF8+1</f>
        <v>36958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36959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296282</v>
      </c>
      <c r="W10" s="95" t="n">
        <v>0</v>
      </c>
      <c r="X10" s="94" t="n">
        <v>0</v>
      </c>
      <c r="Y10" s="104" t="n">
        <v>259057</v>
      </c>
      <c r="Z10" s="95" t="n">
        <v>70000</v>
      </c>
      <c r="AA10" s="30" t="n">
        <v>137735</v>
      </c>
      <c r="AB10" s="94" t="n">
        <v>261989</v>
      </c>
      <c r="AC10" s="94" t="n">
        <v>276723</v>
      </c>
      <c r="AD10" s="94" t="n">
        <v>186054</v>
      </c>
      <c r="AE10" s="104" t="n">
        <v>0</v>
      </c>
      <c r="AF10" s="89" t="n">
        <f aca="false">AF9+1</f>
        <v>36959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296282</v>
      </c>
      <c r="W11" s="95" t="n">
        <v>0</v>
      </c>
      <c r="X11" s="94" t="n">
        <v>0</v>
      </c>
      <c r="Y11" s="104" t="n">
        <v>259057</v>
      </c>
      <c r="Z11" s="95" t="n">
        <v>70000</v>
      </c>
      <c r="AA11" s="30" t="n">
        <v>137735</v>
      </c>
      <c r="AB11" s="94" t="n">
        <v>261989</v>
      </c>
      <c r="AC11" s="94" t="n">
        <v>276723</v>
      </c>
      <c r="AD11" s="94" t="n">
        <v>186054</v>
      </c>
      <c r="AE11" s="104" t="n">
        <v>0</v>
      </c>
      <c r="AF11" s="89" t="n">
        <f aca="false">AF10+1</f>
        <v>36960</v>
      </c>
    </row>
    <row r="12" customFormat="false" ht="12.75" hidden="false" customHeight="false" outlineLevel="0" collapsed="false">
      <c r="A12" s="89" t="n">
        <f aca="false">A11+1</f>
        <v>36961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296282</v>
      </c>
      <c r="W12" s="95" t="n">
        <v>0</v>
      </c>
      <c r="X12" s="94" t="n">
        <v>0</v>
      </c>
      <c r="Y12" s="104" t="n">
        <v>259057</v>
      </c>
      <c r="Z12" s="95" t="n">
        <v>70000</v>
      </c>
      <c r="AA12" s="30" t="n">
        <v>137735</v>
      </c>
      <c r="AB12" s="94" t="n">
        <v>261989</v>
      </c>
      <c r="AC12" s="94" t="n">
        <v>276723</v>
      </c>
      <c r="AD12" s="94" t="n">
        <v>186054</v>
      </c>
      <c r="AE12" s="104" t="n">
        <v>0</v>
      </c>
      <c r="AF12" s="89" t="n">
        <f aca="false">AF11+1</f>
        <v>36961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173</v>
      </c>
      <c r="C3" s="72" t="s">
        <v>174</v>
      </c>
      <c r="D3" s="72"/>
      <c r="E3" s="72"/>
      <c r="F3" s="72"/>
      <c r="G3" s="73" t="s">
        <v>175</v>
      </c>
      <c r="H3" s="73"/>
      <c r="I3" s="73"/>
      <c r="J3" s="73"/>
      <c r="K3" s="73"/>
      <c r="L3" s="72" t="s">
        <v>94</v>
      </c>
      <c r="M3" s="72"/>
      <c r="N3" s="72"/>
      <c r="O3" s="72"/>
      <c r="P3" s="72"/>
      <c r="Q3" s="72"/>
      <c r="R3" s="72"/>
      <c r="S3" s="73" t="s">
        <v>176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177</v>
      </c>
      <c r="C4" s="30"/>
      <c r="D4" s="30"/>
      <c r="E4" s="30"/>
      <c r="F4" s="30"/>
      <c r="G4" s="38" t="s">
        <v>178</v>
      </c>
      <c r="H4" s="38"/>
      <c r="I4" s="37" t="s">
        <v>179</v>
      </c>
      <c r="J4" s="37"/>
      <c r="K4" s="77" t="s">
        <v>180</v>
      </c>
      <c r="L4" s="77" t="s">
        <v>180</v>
      </c>
      <c r="M4" s="38" t="s">
        <v>180</v>
      </c>
      <c r="N4" s="77" t="s">
        <v>126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181</v>
      </c>
      <c r="H5" s="37" t="s">
        <v>45</v>
      </c>
      <c r="I5" s="110" t="n">
        <v>0.05</v>
      </c>
      <c r="J5" s="110" t="s">
        <v>87</v>
      </c>
      <c r="K5" s="77" t="s">
        <v>76</v>
      </c>
      <c r="L5" s="77" t="s">
        <v>76</v>
      </c>
      <c r="M5" s="77" t="s">
        <v>76</v>
      </c>
      <c r="N5" s="77" t="s">
        <v>76</v>
      </c>
      <c r="O5" s="37" t="s">
        <v>87</v>
      </c>
      <c r="P5" s="37" t="s">
        <v>45</v>
      </c>
      <c r="Q5" s="37" t="s">
        <v>45</v>
      </c>
      <c r="R5" s="110" t="s">
        <v>45</v>
      </c>
      <c r="S5" s="38" t="s">
        <v>87</v>
      </c>
      <c r="T5" s="38"/>
      <c r="U5" s="38"/>
      <c r="V5" s="37" t="s">
        <v>1</v>
      </c>
      <c r="W5" s="37" t="s">
        <v>140</v>
      </c>
      <c r="X5" s="37" t="s">
        <v>1</v>
      </c>
      <c r="Y5" s="30"/>
      <c r="Z5" s="37" t="s">
        <v>45</v>
      </c>
      <c r="AA5" s="37"/>
      <c r="AB5" s="37" t="s">
        <v>1</v>
      </c>
      <c r="AC5" s="29" t="s">
        <v>182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85</v>
      </c>
      <c r="C6" s="81" t="s">
        <v>45</v>
      </c>
      <c r="D6" s="81" t="s">
        <v>87</v>
      </c>
      <c r="E6" s="81" t="s">
        <v>140</v>
      </c>
      <c r="F6" s="81" t="s">
        <v>141</v>
      </c>
      <c r="G6" s="100" t="s">
        <v>183</v>
      </c>
      <c r="H6" s="81" t="s">
        <v>168</v>
      </c>
      <c r="I6" s="81" t="s">
        <v>184</v>
      </c>
      <c r="J6" s="81" t="s">
        <v>151</v>
      </c>
      <c r="K6" s="81" t="s">
        <v>185</v>
      </c>
      <c r="L6" s="81" t="s">
        <v>186</v>
      </c>
      <c r="M6" s="81" t="s">
        <v>187</v>
      </c>
      <c r="N6" s="81" t="s">
        <v>188</v>
      </c>
      <c r="O6" s="81" t="n">
        <v>50</v>
      </c>
      <c r="P6" s="81" t="s">
        <v>189</v>
      </c>
      <c r="Q6" s="81" t="s">
        <v>154</v>
      </c>
      <c r="R6" s="81" t="s">
        <v>190</v>
      </c>
      <c r="S6" s="100" t="s">
        <v>191</v>
      </c>
      <c r="T6" s="81" t="s">
        <v>192</v>
      </c>
      <c r="U6" s="81" t="s">
        <v>193</v>
      </c>
      <c r="V6" s="100" t="s">
        <v>191</v>
      </c>
      <c r="W6" s="81" t="s">
        <v>192</v>
      </c>
      <c r="X6" s="81" t="s">
        <v>193</v>
      </c>
      <c r="Y6" s="100" t="s">
        <v>191</v>
      </c>
      <c r="Z6" s="81" t="s">
        <v>192</v>
      </c>
      <c r="AA6" s="81" t="s">
        <v>193</v>
      </c>
      <c r="AB6" s="100" t="s">
        <v>191</v>
      </c>
      <c r="AC6" s="81" t="s">
        <v>192</v>
      </c>
      <c r="AD6" s="81" t="s">
        <v>193</v>
      </c>
      <c r="AE6" s="81" t="s">
        <v>194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36956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8550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36956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36957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6630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36957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36958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36958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36959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36959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36960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36960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36961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36961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173</v>
      </c>
      <c r="C3" s="116" t="s">
        <v>195</v>
      </c>
      <c r="D3" s="116"/>
      <c r="E3" s="116"/>
      <c r="F3" s="116"/>
      <c r="G3" s="116"/>
      <c r="H3" s="72" t="s">
        <v>159</v>
      </c>
      <c r="I3" s="72"/>
      <c r="J3" s="72"/>
      <c r="K3" s="72"/>
      <c r="L3" s="72"/>
      <c r="M3" s="72"/>
      <c r="N3" s="72"/>
      <c r="O3" s="70" t="s">
        <v>196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197</v>
      </c>
      <c r="C4" s="38"/>
      <c r="D4" s="37"/>
      <c r="E4" s="37"/>
      <c r="F4" s="77"/>
      <c r="G4" s="77" t="s">
        <v>179</v>
      </c>
      <c r="H4" s="38"/>
      <c r="M4" s="74"/>
      <c r="N4" s="75"/>
      <c r="P4" s="37" t="s">
        <v>198</v>
      </c>
      <c r="Q4" s="37"/>
      <c r="U4" s="74"/>
    </row>
    <row r="5" customFormat="false" ht="12.75" hidden="false" customHeight="false" outlineLevel="0" collapsed="false">
      <c r="C5" s="38" t="s">
        <v>45</v>
      </c>
      <c r="D5" s="37" t="s">
        <v>199</v>
      </c>
      <c r="E5" s="37" t="s">
        <v>87</v>
      </c>
      <c r="F5" s="77" t="s">
        <v>45</v>
      </c>
      <c r="G5" s="117" t="n">
        <v>0.05</v>
      </c>
      <c r="H5" s="38" t="s">
        <v>65</v>
      </c>
      <c r="I5" s="37" t="s">
        <v>45</v>
      </c>
      <c r="J5" s="37" t="s">
        <v>45</v>
      </c>
      <c r="K5" s="37" t="s">
        <v>45</v>
      </c>
      <c r="L5" s="37" t="s">
        <v>87</v>
      </c>
      <c r="M5" s="79" t="s">
        <v>87</v>
      </c>
      <c r="N5" s="37" t="s">
        <v>141</v>
      </c>
      <c r="O5" s="37"/>
      <c r="P5" s="37" t="s">
        <v>200</v>
      </c>
      <c r="Q5" s="37" t="s">
        <v>200</v>
      </c>
      <c r="R5" s="37" t="s">
        <v>45</v>
      </c>
      <c r="S5" s="30" t="s">
        <v>201</v>
      </c>
      <c r="U5" s="79"/>
    </row>
    <row r="6" customFormat="false" ht="12.75" hidden="false" customHeight="false" outlineLevel="0" collapsed="false">
      <c r="B6" s="81" t="s">
        <v>85</v>
      </c>
      <c r="C6" s="100" t="s">
        <v>181</v>
      </c>
      <c r="D6" s="81" t="s">
        <v>202</v>
      </c>
      <c r="E6" s="81" t="s">
        <v>151</v>
      </c>
      <c r="F6" s="81" t="s">
        <v>168</v>
      </c>
      <c r="G6" s="81" t="s">
        <v>184</v>
      </c>
      <c r="H6" s="100" t="s">
        <v>76</v>
      </c>
      <c r="I6" s="81" t="s">
        <v>189</v>
      </c>
      <c r="J6" s="81" t="s">
        <v>154</v>
      </c>
      <c r="K6" s="81" t="s">
        <v>190</v>
      </c>
      <c r="L6" s="81" t="s">
        <v>203</v>
      </c>
      <c r="M6" s="84" t="s">
        <v>204</v>
      </c>
      <c r="N6" s="81" t="s">
        <v>205</v>
      </c>
      <c r="O6" s="81" t="s">
        <v>140</v>
      </c>
      <c r="P6" s="81" t="s">
        <v>206</v>
      </c>
      <c r="Q6" s="81" t="s">
        <v>207</v>
      </c>
      <c r="R6" s="81" t="s">
        <v>200</v>
      </c>
      <c r="S6" s="88" t="s">
        <v>45</v>
      </c>
      <c r="T6" s="81" t="s">
        <v>141</v>
      </c>
      <c r="U6" s="84" t="s">
        <v>77</v>
      </c>
    </row>
    <row r="7" customFormat="false" ht="12.75" hidden="false" customHeight="false" outlineLevel="0" collapsed="false">
      <c r="A7" s="89" t="n">
        <f aca="false">Weather_Input!A5</f>
        <v>36956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7854.95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50000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123554</v>
      </c>
      <c r="S7" s="51" t="n">
        <v>33545</v>
      </c>
      <c r="T7" s="51" t="n">
        <v>0</v>
      </c>
      <c r="U7" s="51" t="n">
        <v>0</v>
      </c>
      <c r="V7" s="89" t="n">
        <f aca="false">Weather_Input!A5</f>
        <v>36956</v>
      </c>
      <c r="W7" s="94"/>
      <c r="X7" s="94"/>
    </row>
    <row r="8" customFormat="false" ht="12.75" hidden="false" customHeight="false" outlineLevel="0" collapsed="false">
      <c r="A8" s="89" t="n">
        <f aca="false">A7+1</f>
        <v>36957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6862.75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50000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103632</v>
      </c>
      <c r="S8" s="51" t="n">
        <v>33623</v>
      </c>
      <c r="T8" s="51" t="n">
        <v>0</v>
      </c>
      <c r="U8" s="51" t="n">
        <v>0</v>
      </c>
      <c r="V8" s="89" t="n">
        <f aca="false">V7+1</f>
        <v>36957</v>
      </c>
      <c r="W8" s="94"/>
      <c r="X8" s="94"/>
    </row>
    <row r="9" customFormat="false" ht="12.75" hidden="false" customHeight="false" outlineLevel="0" collapsed="false">
      <c r="A9" s="89" t="n">
        <f aca="false">A8+1</f>
        <v>36958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6862.75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50000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103632</v>
      </c>
      <c r="S9" s="51" t="n">
        <v>33623</v>
      </c>
      <c r="T9" s="51" t="n">
        <v>0</v>
      </c>
      <c r="U9" s="51" t="n">
        <v>0</v>
      </c>
      <c r="V9" s="89" t="n">
        <f aca="false">V8+1</f>
        <v>36958</v>
      </c>
      <c r="W9" s="94"/>
      <c r="X9" s="94"/>
    </row>
    <row r="10" customFormat="false" ht="12.75" hidden="false" customHeight="false" outlineLevel="0" collapsed="false">
      <c r="A10" s="89" t="n">
        <f aca="false">A9+1</f>
        <v>36959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6862.75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103632</v>
      </c>
      <c r="S10" s="51" t="n">
        <v>33623</v>
      </c>
      <c r="T10" s="51" t="n">
        <v>0</v>
      </c>
      <c r="U10" s="51" t="n">
        <v>0</v>
      </c>
      <c r="V10" s="89" t="n">
        <f aca="false">V9+1</f>
        <v>36959</v>
      </c>
      <c r="W10" s="94"/>
      <c r="X10" s="94"/>
    </row>
    <row r="11" customFormat="false" ht="12.75" hidden="false" customHeight="false" outlineLevel="0" collapsed="false">
      <c r="A11" s="89" t="n">
        <f aca="false">A10+1</f>
        <v>36960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6862.75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103632</v>
      </c>
      <c r="S11" s="51" t="n">
        <v>33623</v>
      </c>
      <c r="T11" s="51" t="n">
        <v>0</v>
      </c>
      <c r="U11" s="51" t="n">
        <v>0</v>
      </c>
      <c r="V11" s="89" t="n">
        <f aca="false">V10+1</f>
        <v>36960</v>
      </c>
      <c r="W11" s="94"/>
      <c r="X11" s="94"/>
    </row>
    <row r="12" customFormat="false" ht="12.75" hidden="false" customHeight="false" outlineLevel="0" collapsed="false">
      <c r="A12" s="89" t="n">
        <f aca="false">A11+1</f>
        <v>36961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6862.75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103632</v>
      </c>
      <c r="S12" s="51" t="n">
        <v>33623</v>
      </c>
      <c r="T12" s="51" t="n">
        <v>0</v>
      </c>
      <c r="U12" s="51" t="n">
        <v>0</v>
      </c>
      <c r="V12" s="89" t="n">
        <f aca="false">V11+1</f>
        <v>36961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208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51" colorId="64" zoomScale="75" zoomScaleNormal="75" zoomScalePageLayoutView="100" workbookViewId="0">
      <selection pane="topLeft" activeCell="A51" activeCellId="0" sqref="A5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209</v>
      </c>
      <c r="B1" s="120"/>
      <c r="C1" s="121"/>
      <c r="D1" s="120"/>
      <c r="E1" s="120"/>
      <c r="F1" s="120" t="s">
        <v>1</v>
      </c>
      <c r="G1" s="120" t="s">
        <v>210</v>
      </c>
      <c r="H1" s="122" t="str">
        <f aca="false">D3</f>
        <v>TUE</v>
      </c>
      <c r="I1" s="123" t="n">
        <f aca="false">D4</f>
        <v>36956</v>
      </c>
    </row>
    <row r="2" customFormat="false" ht="15.75" hidden="false" customHeight="false" outlineLevel="0" collapsed="false">
      <c r="A2" s="124" t="s">
        <v>211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TUE</v>
      </c>
      <c r="E3" s="128" t="str">
        <f aca="false">CHOOSE(WEEKDAY(E4),"SUN","MON","TUE","WED","THU","FRI","SAT")</f>
        <v>WED</v>
      </c>
      <c r="F3" s="128" t="str">
        <f aca="false">CHOOSE(WEEKDAY(F4),"SUN","MON","TUE","WED","THU","FRI","SAT")</f>
        <v>THU</v>
      </c>
      <c r="G3" s="128" t="str">
        <f aca="false">CHOOSE(WEEKDAY(G4),"SUN","MON","TUE","WED","THU","FRI","SAT")</f>
        <v>FRI</v>
      </c>
      <c r="H3" s="128" t="str">
        <f aca="false">CHOOSE(WEEKDAY(H4),"SUN","MON","TUE","WED","THU","FRI","SAT")</f>
        <v>SAT</v>
      </c>
      <c r="I3" s="129" t="str">
        <f aca="false">CHOOSE(WEEKDAY(I4),"SUN","MON","TUE","WED","THU","FRI","SAT")</f>
        <v>SUN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36956</v>
      </c>
      <c r="E4" s="132" t="n">
        <f aca="false">Weather_Input!A6</f>
        <v>36957</v>
      </c>
      <c r="F4" s="132" t="n">
        <f aca="false">Weather_Input!A7</f>
        <v>36958</v>
      </c>
      <c r="G4" s="132" t="n">
        <f aca="false">Weather_Input!A8</f>
        <v>36959</v>
      </c>
      <c r="H4" s="132" t="n">
        <f aca="false">Weather_Input!A9</f>
        <v>36960</v>
      </c>
      <c r="I4" s="133" t="n">
        <f aca="false">Weather_Input!A10</f>
        <v>36961</v>
      </c>
    </row>
    <row r="5" customFormat="false" ht="16.5" hidden="false" customHeight="true" outlineLevel="0" collapsed="false">
      <c r="A5" s="134" t="s">
        <v>212</v>
      </c>
      <c r="B5" s="125"/>
      <c r="C5" s="125" t="s">
        <v>213</v>
      </c>
      <c r="D5" s="135" t="str">
        <f aca="false">TEXT(Weather_Input!B5,"0")&amp;"/"&amp;TEXT(Weather_Input!C5,"0")&amp;"/"&amp;TEXT((Weather_Input!B5+Weather_Input!C5)/2,"0")</f>
        <v>34/23/29</v>
      </c>
      <c r="E5" s="135" t="str">
        <f aca="false">TEXT(Weather_Input!B6,"0")&amp;"/"&amp;TEXT(Weather_Input!C6,"0")&amp;"/"&amp;TEXT((Weather_Input!B6+Weather_Input!C6)/2,"0")</f>
        <v>39/27/33</v>
      </c>
      <c r="F5" s="135" t="str">
        <f aca="false">TEXT(Weather_Input!B7,"0")&amp;"/"&amp;TEXT(Weather_Input!C7,"0")&amp;"/"&amp;TEXT((Weather_Input!B7+Weather_Input!C7)/2,"0")</f>
        <v>36/22/29</v>
      </c>
      <c r="G5" s="135" t="str">
        <f aca="false">TEXT(Weather_Input!B8,"0")&amp;"/"&amp;TEXT(Weather_Input!C8,"0")&amp;"/"&amp;TEXT((Weather_Input!B8+Weather_Input!C8)/2,"0")</f>
        <v>33/20/27</v>
      </c>
      <c r="H5" s="135" t="str">
        <f aca="false">TEXT(Weather_Input!B9,"0")&amp;"/"&amp;TEXT(Weather_Input!C9,"0")&amp;"/"&amp;TEXT((Weather_Input!B9+Weather_Input!C9)/2,"0")</f>
        <v>40/28/34</v>
      </c>
      <c r="I5" s="136" t="str">
        <f aca="false">TEXT(Weather_Input!B10,"0")&amp;"/"&amp;TEXT(Weather_Input!C10,"0")&amp;"/"&amp;TEXT((Weather_Input!B10+Weather_Input!C10)/2,"0")</f>
        <v>45/31/38</v>
      </c>
    </row>
    <row r="6" customFormat="false" ht="15.75" hidden="false" customHeight="false" outlineLevel="0" collapsed="false">
      <c r="A6" s="137" t="s">
        <v>214</v>
      </c>
      <c r="B6" s="125"/>
      <c r="C6" s="125"/>
      <c r="D6" s="135" t="n">
        <f aca="false">PGL_Deliveries!C5/1000</f>
        <v>1105</v>
      </c>
      <c r="E6" s="135" t="n">
        <f aca="false">PGL_Deliveries!C6/1000</f>
        <v>1015</v>
      </c>
      <c r="F6" s="135" t="n">
        <f aca="false">PGL_Deliveries!C7/1000</f>
        <v>1060</v>
      </c>
      <c r="G6" s="135" t="n">
        <f aca="false">PGL_Deliveries!C8/1000</f>
        <v>1085</v>
      </c>
      <c r="H6" s="135" t="n">
        <f aca="false">PGL_Deliveries!C9/1000</f>
        <v>960</v>
      </c>
      <c r="I6" s="136" t="n">
        <f aca="false">PGL_Deliveries!C10/1000</f>
        <v>890</v>
      </c>
    </row>
    <row r="7" customFormat="false" ht="15.75" hidden="false" customHeight="false" outlineLevel="0" collapsed="false">
      <c r="A7" s="137" t="s">
        <v>215</v>
      </c>
      <c r="B7" s="125" t="s">
        <v>141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216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217</v>
      </c>
      <c r="B9" s="125" t="s">
        <v>218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219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141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220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221</v>
      </c>
      <c r="B13" s="125" t="s">
        <v>222</v>
      </c>
      <c r="C13" s="125" t="s">
        <v>76</v>
      </c>
      <c r="D13" s="135" t="n">
        <f aca="false">PGL_Requirements!P7/1000</f>
        <v>289.515</v>
      </c>
      <c r="E13" s="135" t="n">
        <f aca="false">PGL_Requirements!P8/1000</f>
        <v>0</v>
      </c>
      <c r="F13" s="135" t="n">
        <f aca="false">PGL_Requirements!P9/1000</f>
        <v>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152</v>
      </c>
      <c r="D14" s="135" t="n">
        <f aca="false">PGL_Requirements!Q7/1000</f>
        <v>4.342725</v>
      </c>
      <c r="E14" s="135" t="n">
        <f aca="false">PGL_Requirements!Q8/1000</f>
        <v>0</v>
      </c>
      <c r="F14" s="135" t="n">
        <f aca="false">PGL_Requirements!Q9/1000</f>
        <v>0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153</v>
      </c>
      <c r="D15" s="135" t="n">
        <f aca="false">PGL_Requirements!R7/1000</f>
        <v>0.7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223</v>
      </c>
      <c r="D16" s="135" t="n">
        <f aca="false">PGL_Requirements!B7/1000</f>
        <v>7.525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69</v>
      </c>
      <c r="C17" s="125" t="s">
        <v>155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218</v>
      </c>
      <c r="C18" s="125" t="s">
        <v>151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220</v>
      </c>
      <c r="C19" s="125" t="s">
        <v>151</v>
      </c>
      <c r="D19" s="135" t="n">
        <f aca="false">PGL_Requirements!O7/1000</f>
        <v>0</v>
      </c>
      <c r="E19" s="135" t="n">
        <f aca="false">PGL_Requirements!O8/1000</f>
        <v>14.04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224</v>
      </c>
      <c r="B20" s="139" t="s">
        <v>218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220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141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225</v>
      </c>
      <c r="C23" s="139" t="s">
        <v>192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226</v>
      </c>
      <c r="B24" s="125"/>
      <c r="C24" s="125"/>
      <c r="D24" s="135" t="n">
        <f aca="false">PGL_Requirements!G7/1000</f>
        <v>0</v>
      </c>
      <c r="E24" s="135" t="n">
        <f aca="false">PGL_Requirements!G8/1000</f>
        <v>80</v>
      </c>
      <c r="F24" s="135" t="n">
        <f aca="false">PGL_Requirements!G9/1000</f>
        <v>50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227</v>
      </c>
      <c r="B25" s="125" t="s">
        <v>228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87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140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141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147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229</v>
      </c>
      <c r="B30" s="144"/>
      <c r="C30" s="144"/>
      <c r="D30" s="145" t="n">
        <f aca="false">SUM(D6:D29)</f>
        <v>1407.082725</v>
      </c>
      <c r="E30" s="145" t="n">
        <f aca="false">SUM(E6:E29)</f>
        <v>1109.7</v>
      </c>
      <c r="F30" s="145" t="n">
        <f aca="false">SUM(F6:F29)</f>
        <v>1110.66</v>
      </c>
      <c r="G30" s="145" t="n">
        <f aca="false">SUM(G6:G29)</f>
        <v>1339.41</v>
      </c>
      <c r="H30" s="145" t="n">
        <f aca="false">SUM(H6:H29)</f>
        <v>1214.41</v>
      </c>
      <c r="I30" s="146" t="n">
        <f aca="false">SUM(I6:I29)</f>
        <v>1144.41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230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231</v>
      </c>
      <c r="B33" s="125" t="s">
        <v>222</v>
      </c>
      <c r="C33" s="125" t="s">
        <v>76</v>
      </c>
      <c r="D33" s="135" t="n">
        <f aca="false">PGL_Supplies!M7/1000</f>
        <v>220.35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142</v>
      </c>
      <c r="D34" s="135" t="n">
        <f aca="false">PGL_Supplies!H7/1000</f>
        <v>0</v>
      </c>
      <c r="E34" s="135" t="n">
        <f aca="false">PGL_Supplies!H8/1000</f>
        <v>0</v>
      </c>
      <c r="F34" s="135" t="n">
        <f aca="false">PGL_Supplies!H9/1000</f>
        <v>0</v>
      </c>
      <c r="G34" s="135" t="n">
        <f aca="false">PGL_Supplies!H10/1000</f>
        <v>0</v>
      </c>
      <c r="H34" s="135" t="n">
        <f aca="false">PGL_Supplies!H11/1000</f>
        <v>0</v>
      </c>
      <c r="I34" s="136" t="n">
        <f aca="false">PGL_Supplies!H12/1000</f>
        <v>0</v>
      </c>
    </row>
    <row r="35" customFormat="false" ht="15.75" hidden="false" customHeight="false" outlineLevel="0" collapsed="false">
      <c r="A35" s="134"/>
      <c r="B35" s="125"/>
      <c r="C35" s="125" t="s">
        <v>77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218</v>
      </c>
      <c r="C36" s="125" t="s">
        <v>151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220</v>
      </c>
      <c r="C37" s="125" t="s">
        <v>151</v>
      </c>
      <c r="D37" s="135" t="n">
        <f aca="false">PGL_Supplies!L7/1000</f>
        <v>20.712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232</v>
      </c>
      <c r="B38" s="125" t="s">
        <v>218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141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220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233</v>
      </c>
      <c r="C41" s="125" t="s">
        <v>234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216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235</v>
      </c>
      <c r="B43" s="125" t="s">
        <v>141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219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141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220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236</v>
      </c>
      <c r="B47" s="125" t="s">
        <v>237</v>
      </c>
      <c r="C47" s="125"/>
      <c r="D47" s="135" t="n">
        <f aca="false">PGL_Supplies!Y7/1000</f>
        <v>189.161</v>
      </c>
      <c r="E47" s="135" t="n">
        <f aca="false">PGL_Supplies!Y8/1000</f>
        <v>259.057</v>
      </c>
      <c r="F47" s="135" t="n">
        <f aca="false">PGL_Supplies!Y9/1000</f>
        <v>259.057</v>
      </c>
      <c r="G47" s="135" t="n">
        <f aca="false">PGL_Supplies!Y10/1000</f>
        <v>259.057</v>
      </c>
      <c r="H47" s="135" t="n">
        <f aca="false">PGL_Supplies!Y11/1000</f>
        <v>259.057</v>
      </c>
      <c r="I47" s="136" t="n">
        <f aca="false">PGL_Supplies!Y12/1000</f>
        <v>259.057</v>
      </c>
    </row>
    <row r="48" customFormat="false" ht="15.75" hidden="false" customHeight="false" outlineLevel="0" collapsed="false">
      <c r="A48" s="137"/>
      <c r="B48" s="125" t="s">
        <v>218</v>
      </c>
      <c r="C48" s="138"/>
      <c r="D48" s="135" t="n">
        <f aca="false">PGL_Supplies!Z7/1000</f>
        <v>70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219</v>
      </c>
      <c r="C49" s="138"/>
      <c r="D49" s="135" t="n">
        <f aca="false">PGL_Supplies!AA7/1000</f>
        <v>86.735</v>
      </c>
      <c r="E49" s="135" t="n">
        <f aca="false">PGL_Supplies!AA8/1000</f>
        <v>137.735</v>
      </c>
      <c r="F49" s="135" t="n">
        <f aca="false">PGL_Supplies!AA9/1000</f>
        <v>137.735</v>
      </c>
      <c r="G49" s="135" t="n">
        <f aca="false">PGL_Supplies!AA10/1000</f>
        <v>137.735</v>
      </c>
      <c r="H49" s="135" t="n">
        <f aca="false">PGL_Supplies!AA11/1000</f>
        <v>137.735</v>
      </c>
      <c r="I49" s="136" t="n">
        <f aca="false">PGL_Supplies!AA12/1000</f>
        <v>137.735</v>
      </c>
    </row>
    <row r="50" customFormat="false" ht="15.75" hidden="false" customHeight="false" outlineLevel="0" collapsed="false">
      <c r="A50" s="137"/>
      <c r="B50" s="125" t="s">
        <v>141</v>
      </c>
      <c r="C50" s="138"/>
      <c r="D50" s="135" t="n">
        <f aca="false">PGL_Supplies!AB7/1000</f>
        <v>251.751</v>
      </c>
      <c r="E50" s="135" t="n">
        <f aca="false">PGL_Supplies!AB8/1000</f>
        <v>261.989</v>
      </c>
      <c r="F50" s="135" t="n">
        <f aca="false">PGL_Supplies!AB9/1000</f>
        <v>261.989</v>
      </c>
      <c r="G50" s="135" t="n">
        <f aca="false">PGL_Supplies!AB10/1000</f>
        <v>261.989</v>
      </c>
      <c r="H50" s="135" t="n">
        <f aca="false">PGL_Supplies!AB11/1000</f>
        <v>261.989</v>
      </c>
      <c r="I50" s="136" t="n">
        <f aca="false">PGL_Supplies!AB12/1000</f>
        <v>261.989</v>
      </c>
    </row>
    <row r="51" customFormat="false" ht="15.75" hidden="false" customHeight="false" outlineLevel="0" collapsed="false">
      <c r="A51" s="137"/>
      <c r="B51" s="125" t="s">
        <v>220</v>
      </c>
      <c r="C51" s="125"/>
      <c r="D51" s="135" t="n">
        <f aca="false">PGL_Supplies!AC7/1000</f>
        <v>180.95</v>
      </c>
      <c r="E51" s="135" t="n">
        <f aca="false">PGL_Supplies!AC8/1000</f>
        <v>276.723</v>
      </c>
      <c r="F51" s="135" t="n">
        <f aca="false">PGL_Supplies!AC9/1000</f>
        <v>276.723</v>
      </c>
      <c r="G51" s="135" t="n">
        <f aca="false">PGL_Supplies!AC10/1000</f>
        <v>276.723</v>
      </c>
      <c r="H51" s="135" t="n">
        <f aca="false">PGL_Supplies!AC11/1000</f>
        <v>276.723</v>
      </c>
      <c r="I51" s="136" t="n">
        <f aca="false">PGL_Supplies!AC12/1000</f>
        <v>276.723</v>
      </c>
    </row>
    <row r="52" customFormat="false" ht="15.75" hidden="false" customHeight="false" outlineLevel="0" collapsed="false">
      <c r="A52" s="137"/>
      <c r="B52" s="125" t="s">
        <v>238</v>
      </c>
      <c r="C52" s="125"/>
      <c r="D52" s="135" t="n">
        <f aca="false">PGL_Supplies!AD7/1000</f>
        <v>71.538</v>
      </c>
      <c r="E52" s="135" t="n">
        <f aca="false">PGL_Supplies!AD8/1000</f>
        <v>101.2</v>
      </c>
      <c r="F52" s="135" t="n">
        <f aca="false">PGL_Supplies!AD9/1000</f>
        <v>186.054</v>
      </c>
      <c r="G52" s="135" t="n">
        <f aca="false">PGL_Supplies!AD10/1000</f>
        <v>186.054</v>
      </c>
      <c r="H52" s="135" t="n">
        <f aca="false">PGL_Supplies!AD11/1000</f>
        <v>186.054</v>
      </c>
      <c r="I52" s="136" t="n">
        <f aca="false">PGL_Supplies!AD12/1000</f>
        <v>186.054</v>
      </c>
    </row>
    <row r="53" customFormat="false" ht="15.75" hidden="false" customHeight="false" outlineLevel="0" collapsed="false">
      <c r="A53" s="137"/>
      <c r="B53" s="125" t="s">
        <v>239</v>
      </c>
      <c r="C53" s="125"/>
      <c r="D53" s="135" t="n">
        <f aca="false">PGL_Supplies!I7/1000</f>
        <v>13.875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240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241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242</v>
      </c>
      <c r="B56" s="125" t="s">
        <v>237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218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219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141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238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243</v>
      </c>
      <c r="B61" s="159"/>
      <c r="C61" s="159"/>
      <c r="D61" s="160" t="n">
        <f aca="false">SUM(D33:D60)</f>
        <v>1105.072</v>
      </c>
      <c r="E61" s="160" t="n">
        <f aca="false">SUM(E33:E60)</f>
        <v>1109.704</v>
      </c>
      <c r="F61" s="160" t="n">
        <f aca="false">SUM(F33:F60)</f>
        <v>1194.558</v>
      </c>
      <c r="G61" s="160" t="n">
        <f aca="false">SUM(G33:G60)</f>
        <v>1194.558</v>
      </c>
      <c r="H61" s="160" t="n">
        <f aca="false">SUM(H33:H60)</f>
        <v>1194.558</v>
      </c>
      <c r="I61" s="161" t="n">
        <f aca="false">SUM(I33:I60)</f>
        <v>1194.558</v>
      </c>
    </row>
    <row r="62" customFormat="false" ht="15" hidden="false" customHeight="false" outlineLevel="0" collapsed="false">
      <c r="A62" s="162" t="s">
        <v>244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0.00399999999990541</v>
      </c>
      <c r="F62" s="163" t="n">
        <f aca="false">IF(F61-F30&lt;0,0,F61-F30)</f>
        <v>83.8979999999999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50.1479999999999</v>
      </c>
    </row>
    <row r="63" customFormat="false" ht="15.75" hidden="false" customHeight="false" outlineLevel="0" collapsed="false">
      <c r="A63" s="165" t="s">
        <v>245</v>
      </c>
      <c r="B63" s="144"/>
      <c r="C63" s="166"/>
      <c r="D63" s="167" t="n">
        <f aca="false">IF(D30-D61&lt;0,0,D30-D61)</f>
        <v>302.010725</v>
      </c>
      <c r="E63" s="167" t="n">
        <f aca="false">IF(E30-E61&lt;0,0,E30-E61)</f>
        <v>0</v>
      </c>
      <c r="F63" s="167" t="n">
        <f aca="false">IF(F30-F61&lt;0,0,F30-F61)</f>
        <v>0</v>
      </c>
      <c r="G63" s="167" t="n">
        <f aca="false">IF(G30-G61&lt;0,0,G30-G61)</f>
        <v>144.852</v>
      </c>
      <c r="H63" s="167" t="n">
        <f aca="false">IF(H30-H61&lt;0,0,H30-H61)</f>
        <v>19.8520000000001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246</v>
      </c>
      <c r="B64" s="170"/>
      <c r="C64" s="170"/>
      <c r="D64" s="171" t="n">
        <f aca="false">PGL_Supplies!V7/1000</f>
        <v>271.285</v>
      </c>
      <c r="E64" s="171" t="n">
        <f aca="false">PGL_Supplies!V8/1000</f>
        <v>296.282</v>
      </c>
      <c r="F64" s="171" t="n">
        <f aca="false">PGL_Supplies!V9/1000</f>
        <v>296.282</v>
      </c>
      <c r="G64" s="171" t="n">
        <f aca="false">PGL_Supplies!V10/1000</f>
        <v>296.282</v>
      </c>
      <c r="H64" s="171" t="n">
        <f aca="false">PGL_Supplies!V11/1000</f>
        <v>296.282</v>
      </c>
      <c r="I64" s="172" t="n">
        <f aca="false">PGL_Supplies!V12/1000</f>
        <v>296.282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2001-03-07T12:21:10Z</cp:lastPrinted>
  <cp:revision>0</cp:revision>
  <dc:subject/>
  <dc:title/>
</cp:coreProperties>
</file>