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43.xml" ContentType="application/vnd.openxmlformats-officedocument.spreadsheetml.comments+xml"/>
  <Override PartName="/xl/comments36.xml" ContentType="application/vnd.openxmlformats-officedocument.spreadsheetml.comments+xml"/>
  <Override PartName="/xl/comments3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4.xml" ContentType="application/vnd.openxmlformats-officedocument.spreadsheetml.comment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36.xml.rels" ContentType="application/vnd.openxmlformats-package.relationships+xml"/>
  <Override PartName="/xl/worksheets/_rels/sheet3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theme/theme1.xml" ContentType="application/vnd.openxmlformats-officedocument.theme+xml"/>
  <Override PartName="/xl/comments45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 Revised" sheetId="1" state="visible" r:id="rId3"/>
    <sheet name="Summary 2002" sheetId="2" state="hidden" r:id="rId4"/>
    <sheet name="Natural Gas" sheetId="3" state="hidden" r:id="rId5"/>
    <sheet name="Natural Gas Trading" sheetId="4" state="hidden" r:id="rId6"/>
    <sheet name="Natural Gas Orig" sheetId="5" state="hidden" r:id="rId7"/>
    <sheet name="Natural Gas A&amp;A" sheetId="6" state="hidden" r:id="rId8"/>
    <sheet name="Natural Gas Admin" sheetId="7" state="hidden" r:id="rId9"/>
    <sheet name="East Power" sheetId="8" state="hidden" r:id="rId10"/>
    <sheet name="East Power Trading" sheetId="9" state="hidden" r:id="rId11"/>
    <sheet name="East Power Origination" sheetId="10" state="hidden" r:id="rId12"/>
    <sheet name="East Power A&amp;A" sheetId="11" state="hidden" r:id="rId13"/>
    <sheet name="East Power Admins" sheetId="12" state="hidden" r:id="rId14"/>
    <sheet name="West Power" sheetId="13" state="hidden" r:id="rId15"/>
    <sheet name="West Power Trading" sheetId="14" state="hidden" r:id="rId16"/>
    <sheet name="West Power Origination" sheetId="15" state="hidden" r:id="rId17"/>
    <sheet name="West Power A&amp;A" sheetId="16" state="hidden" r:id="rId18"/>
    <sheet name="West Power Admins" sheetId="17" state="hidden" r:id="rId19"/>
    <sheet name="Canada" sheetId="18" state="hidden" r:id="rId20"/>
    <sheet name="Canada Trading" sheetId="19" state="hidden" r:id="rId21"/>
    <sheet name="Canada Origination" sheetId="20" state="hidden" r:id="rId22"/>
    <sheet name="Canada A&amp;A" sheetId="21" state="hidden" r:id="rId23"/>
    <sheet name="Canada Admins" sheetId="22" state="hidden" r:id="rId24"/>
    <sheet name="Office of the Chair" sheetId="23" state="hidden" r:id="rId25"/>
    <sheet name="Fin Ops" sheetId="24" state="hidden" r:id="rId26"/>
    <sheet name="Mexico" sheetId="25" state="hidden" r:id="rId27"/>
    <sheet name="Cash Ops" sheetId="26" state="hidden" r:id="rId28"/>
    <sheet name="SAP" sheetId="27" state="hidden" r:id="rId29"/>
    <sheet name="Tax" sheetId="28" state="hidden" r:id="rId30"/>
    <sheet name="Reg Affairs" sheetId="29" state="hidden" r:id="rId31"/>
    <sheet name="Credit" sheetId="30" state="hidden" r:id="rId32"/>
    <sheet name="Research" sheetId="31" state="hidden" r:id="rId33"/>
    <sheet name="Mkt Risk" sheetId="32" state="hidden" r:id="rId34"/>
    <sheet name="EOPs" sheetId="33" state="hidden" r:id="rId35"/>
    <sheet name="HR" sheetId="34" state="hidden" r:id="rId36"/>
    <sheet name="IT Dev-EOL" sheetId="35" state="hidden" r:id="rId37"/>
    <sheet name="IT Infra" sheetId="36" state="hidden" r:id="rId38"/>
    <sheet name="EOL Support" sheetId="37" state="hidden" r:id="rId39"/>
    <sheet name="Canada Support" sheetId="38" state="hidden" r:id="rId40"/>
    <sheet name="Legal" sheetId="39" state="hidden" r:id="rId41"/>
    <sheet name="Fundies-All" sheetId="40" state="visible" r:id="rId42"/>
    <sheet name="Struct" sheetId="41" state="hidden" r:id="rId43"/>
    <sheet name="Weather" sheetId="42" state="hidden" r:id="rId44"/>
    <sheet name="IT Dev" sheetId="43" state="hidden" r:id="rId45"/>
    <sheet name="IT EOL" sheetId="44" state="hidden" r:id="rId46"/>
    <sheet name="IT All" sheetId="45" state="hidden" r:id="rId47"/>
    <sheet name="Fundies-Hou" sheetId="46" state="visible" r:id="rId48"/>
    <sheet name="Competitive Ana" sheetId="47" state="visible" r:id="rId49"/>
    <sheet name="Gas - Fund" sheetId="48" state="visible" r:id="rId50"/>
    <sheet name="East - Fund" sheetId="49" state="visible" r:id="rId51"/>
    <sheet name="West - Fund" sheetId="50" state="visible" r:id="rId52"/>
    <sheet name="West - Struct" sheetId="51" state="hidden" r:id="rId53"/>
    <sheet name="Gas - Struct" sheetId="52" state="hidden" r:id="rId54"/>
    <sheet name="East - Struct" sheetId="53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function="false" hidden="false" localSheetId="17" name="_xlnm.Print_Area" vbProcedure="false">Canada!$B$1:$L$39</definedName>
    <definedName function="false" hidden="false" localSheetId="20" name="_xlnm.Print_Area" vbProcedure="false">'Canada A&amp;A'!$B$1:$L$39</definedName>
    <definedName function="false" hidden="false" localSheetId="21" name="_xlnm.Print_Area" vbProcedure="false">'Canada Admins'!$B$1:$L$39</definedName>
    <definedName function="false" hidden="false" localSheetId="19" name="_xlnm.Print_Area" vbProcedure="false">'Canada Origination'!$B$1:$L$39</definedName>
    <definedName function="false" hidden="false" localSheetId="37" name="_xlnm.Print_Area" vbProcedure="false">'Canada Support'!$A$1:$N$51</definedName>
    <definedName function="false" hidden="false" localSheetId="18" name="_xlnm.Print_Area" vbProcedure="false">'Canada Trading'!$B$1:$L$39</definedName>
    <definedName function="false" hidden="false" localSheetId="25" name="_xlnm.Print_Area" vbProcedure="false">'Cash Ops'!$B$1:$H$29</definedName>
    <definedName function="false" hidden="false" localSheetId="46" name="_xlnm.Print_Area" vbProcedure="false">'Competitive Ana'!$B$1:$L$43</definedName>
    <definedName function="false" hidden="false" localSheetId="29" name="_xlnm.Print_Area" vbProcedure="false">Credit!$A$1:$M$40</definedName>
    <definedName function="false" hidden="false" localSheetId="48" name="_xlnm.Print_Area" vbProcedure="false">'East - Fund'!$B$1:$H$29</definedName>
    <definedName function="false" hidden="false" localSheetId="52" name="_xlnm.Print_Area" vbProcedure="false">'East - Struct'!$B$1:$H$29</definedName>
    <definedName function="false" hidden="false" localSheetId="7" name="_xlnm.Print_Area" vbProcedure="false">'East Power'!$B$1:$H$29</definedName>
    <definedName function="false" hidden="false" localSheetId="10" name="_xlnm.Print_Area" vbProcedure="false">'East Power A&amp;A'!$B$1:$H$29</definedName>
    <definedName function="false" hidden="false" localSheetId="11" name="_xlnm.Print_Area" vbProcedure="false">'East Power Admins'!$B$1:$H$29</definedName>
    <definedName function="false" hidden="false" localSheetId="9" name="_xlnm.Print_Area" vbProcedure="false">'East Power Origination'!$B$1:$H$29</definedName>
    <definedName function="false" hidden="false" localSheetId="8" name="_xlnm.Print_Area" vbProcedure="false">'East Power Trading'!$B$1:$H$29</definedName>
    <definedName function="false" hidden="false" localSheetId="36" name="_xlnm.Print_Area" vbProcedure="false">'EOL Support'!$A$1:$P$39</definedName>
    <definedName function="false" hidden="false" localSheetId="32" name="_xlnm.Print_Area" vbProcedure="false">EOPs!$A$1:$M$39</definedName>
    <definedName function="false" hidden="false" localSheetId="23" name="_xlnm.Print_Area" vbProcedure="false">'Fin Ops'!$B$1:$H$29</definedName>
    <definedName function="false" hidden="false" localSheetId="39" name="_xlnm.Print_Area" vbProcedure="false">'Fundies-All'!$B$1:$L$34</definedName>
    <definedName function="false" hidden="false" localSheetId="45" name="_xlnm.Print_Area" vbProcedure="false">'Fundies-Hou'!$B$1:$L$34</definedName>
    <definedName function="false" hidden="false" localSheetId="47" name="_xlnm.Print_Area" vbProcedure="false">'Gas - Fund'!$B$1:$L$34</definedName>
    <definedName function="false" hidden="false" localSheetId="51" name="_xlnm.Print_Area" vbProcedure="false">'Gas - Struct'!$B$1:$L$34</definedName>
    <definedName function="false" hidden="false" localSheetId="33" name="_xlnm.Print_Area" vbProcedure="false">HR!$B$1:$L$40</definedName>
    <definedName function="false" hidden="false" localSheetId="44" name="_xlnm.Print_Area" vbProcedure="false">'IT All'!$B$1:$O$49</definedName>
    <definedName function="false" hidden="false" localSheetId="42" name="_xlnm.Print_Area" vbProcedure="false">'IT Dev'!$B$1:$O$49</definedName>
    <definedName function="false" hidden="false" localSheetId="34" name="_xlnm.Print_Area" vbProcedure="false">'IT Dev-EOL'!$B$1:$O$49</definedName>
    <definedName function="false" hidden="false" localSheetId="43" name="_xlnm.Print_Area" vbProcedure="false">'IT EOL'!$B$1:$M$39</definedName>
    <definedName function="false" hidden="false" localSheetId="35" name="_xlnm.Print_Area" vbProcedure="false">'IT Infra'!$B$1:$R$46</definedName>
    <definedName function="false" hidden="false" localSheetId="38" name="_xlnm.Print_Area" vbProcedure="false">Legal!$B$1:$F$29</definedName>
    <definedName function="false" hidden="false" localSheetId="24" name="_xlnm.Print_Area" vbProcedure="false">Mexico!$B$1:$F$29</definedName>
    <definedName function="false" hidden="false" localSheetId="31" name="_xlnm.Print_Area" vbProcedure="false">'Mkt Risk'!$B$1:$M$41</definedName>
    <definedName function="false" hidden="false" localSheetId="2" name="_xlnm.Print_Area" vbProcedure="false">'Natural Gas'!$B$1:$L$34</definedName>
    <definedName function="false" hidden="false" localSheetId="5" name="_xlnm.Print_Area" vbProcedure="false">'Natural Gas A&amp;A'!$B$1:$L$34</definedName>
    <definedName function="false" hidden="false" localSheetId="6" name="_xlnm.Print_Area" vbProcedure="false">'Natural Gas Admin'!$B$1:$L$34</definedName>
    <definedName function="false" hidden="false" localSheetId="4" name="_xlnm.Print_Area" vbProcedure="false">'Natural Gas Orig'!$B$1:$L$34</definedName>
    <definedName function="false" hidden="false" localSheetId="3" name="_xlnm.Print_Area" vbProcedure="false">'Natural Gas Trading'!$B$1:$L$34</definedName>
    <definedName function="false" hidden="false" localSheetId="22" name="_xlnm.Print_Area" vbProcedure="false">'Office of the Chair'!$B$1:$M$40</definedName>
    <definedName function="false" hidden="false" localSheetId="28" name="_xlnm.Print_Area" vbProcedure="false">'Reg Affairs'!$B$1:$L$39</definedName>
    <definedName function="false" hidden="false" localSheetId="30" name="_xlnm.Print_Area" vbProcedure="false">Research!$B$1:$M$41</definedName>
    <definedName function="false" hidden="false" localSheetId="26" name="_xlnm.Print_Area" vbProcedure="false">SAP!$B$1:$M$40</definedName>
    <definedName function="false" hidden="false" localSheetId="40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Revised'!$A$1:$T$102</definedName>
    <definedName function="false" hidden="false" localSheetId="27" name="_xlnm.Print_Area" vbProcedure="false">Tax!$B$1:$F$29</definedName>
    <definedName function="false" hidden="false" localSheetId="41" name="_xlnm.Print_Area" vbProcedure="false">Weather!$B$1:$L$34</definedName>
    <definedName function="false" hidden="false" localSheetId="49" name="_xlnm.Print_Area" vbProcedure="false">'West - Fund'!$B$1:$O$35</definedName>
    <definedName function="false" hidden="false" localSheetId="50" name="_xlnm.Print_Area" vbProcedure="false">'West - Struct'!$B$1:$O$35</definedName>
    <definedName function="false" hidden="false" localSheetId="12" name="_xlnm.Print_Area" vbProcedure="false">'West Power'!$B$1:$O$35</definedName>
    <definedName function="false" hidden="false" localSheetId="15" name="_xlnm.Print_Area" vbProcedure="false">'West Power A&amp;A'!$B$1:$O$35</definedName>
    <definedName function="false" hidden="false" localSheetId="16" name="_xlnm.Print_Area" vbProcedure="false">'West Power Admins'!$B$1:$O$35</definedName>
    <definedName function="false" hidden="false" localSheetId="14" name="_xlnm.Print_Area" vbProcedure="false">'West Power Origination'!$B$1:$O$35</definedName>
    <definedName function="false" hidden="false" localSheetId="13" name="_xlnm.Print_Area" vbProcedure="false">'West Power Trading'!$B$1:$O$35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<sst xmlns="http://schemas.openxmlformats.org/spreadsheetml/2006/main" count="4081" uniqueCount="249">
  <si>
    <t xml:space="preserve">Enron North America</t>
  </si>
  <si>
    <t xml:space="preserve">2002 Expenses</t>
  </si>
  <si>
    <t xml:space="preserve">Based on Headcount of 850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</si>
  <si>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</si>
  <si>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</si>
  <si>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</si>
  <si>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</si>
  <si>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</si>
  <si>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</si>
  <si>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</si>
  <si>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</si>
  <si>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</t>
  </si>
  <si>
    <t xml:space="preserve"> </t>
  </si>
  <si>
    <t xml:space="preserve">Houston Gas Origination (includes Mexico)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</si>
  <si>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</si>
  <si>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</si>
  <si>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</si>
  <si>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</si>
  <si>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</si>
  <si>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</si>
  <si>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</si>
  <si>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</si>
  <si>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</si>
  <si>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</si>
  <si>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</si>
  <si>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</si>
  <si>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</si>
  <si>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</si>
  <si>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</si>
  <si>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</si>
  <si>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</si>
  <si>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</si>
  <si>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</si>
  <si>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</si>
  <si>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</si>
  <si>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</si>
  <si>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</si>
  <si>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</si>
  <si>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</si>
  <si>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</si>
  <si>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</si>
  <si>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</si>
  <si>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</si>
  <si>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</si>
  <si>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</si>
  <si>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</si>
  <si>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</si>
  <si>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</si>
  <si>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</si>
  <si>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</si>
  <si>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</si>
  <si>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</si>
  <si>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</si>
  <si>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</si>
  <si>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</si>
  <si>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Mexico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</si>
  <si>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</si>
  <si>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</si>
  <si>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</si>
  <si>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</si>
  <si>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</si>
  <si>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</si>
  <si>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</si>
  <si>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</si>
  <si>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</si>
  <si>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</si>
  <si>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</si>
  <si>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</si>
  <si>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</si>
  <si>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</si>
  <si>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</si>
  <si>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</si>
  <si>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</si>
  <si>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</si>
  <si>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</si>
  <si>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</si>
  <si>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</si>
  <si>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</si>
  <si>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</si>
  <si>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</si>
  <si>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</si>
  <si>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</si>
  <si>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</si>
  <si>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</si>
  <si>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</si>
  <si>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</si>
  <si>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</si>
  <si>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</si>
  <si>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</si>
  <si>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</si>
  <si>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</si>
  <si>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</si>
  <si>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</si>
  <si>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</si>
  <si>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</si>
  <si>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</si>
  <si>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</si>
  <si>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</si>
  <si>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</si>
  <si>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</si>
  <si>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</si>
  <si>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</si>
  <si>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</si>
  <si>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</si>
  <si>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</si>
  <si>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</si>
  <si>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</si>
  <si>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</si>
  <si>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</si>
  <si>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</si>
  <si>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</si>
  <si>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</si>
  <si>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</si>
  <si>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</si>
  <si>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</si>
  <si>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</si>
  <si>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</si>
  <si>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</si>
  <si>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</si>
  <si>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</si>
  <si>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</si>
  <si>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</si>
  <si>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</si>
  <si>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</si>
  <si>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</si>
  <si>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</si>
  <si>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</si>
  <si>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</si>
  <si>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</si>
  <si>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</si>
  <si>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</si>
  <si>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</si>
  <si>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</si>
  <si>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</si>
  <si>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</si>
  <si>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</si>
  <si>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Natural Gas Analyst &amp; Associate</t>
  </si>
  <si>
    <t xml:space="preserve">Natural Gas Admins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</si>
  <si>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</si>
  <si>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</si>
  <si>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</si>
  <si>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</si>
  <si>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East Power Analyst &amp; Associate</t>
  </si>
  <si>
    <t xml:space="preserve">East Power Admins</t>
  </si>
  <si>
    <t xml:space="preserve">West Power 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</si>
  <si>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</si>
  <si>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</si>
  <si>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</si>
  <si>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</si>
  <si>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West Power Analyst &amp; Associate</t>
  </si>
  <si>
    <t xml:space="preserve">West Power Admins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</si>
  <si>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</si>
  <si>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</si>
  <si>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</si>
  <si>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</si>
  <si>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</si>
  <si>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</si>
  <si>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</si>
  <si>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</si>
  <si>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</si>
  <si>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</si>
  <si>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</si>
  <si>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</si>
  <si>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Trading</t>
  </si>
  <si>
    <t xml:space="preserve">Canada Origination</t>
  </si>
  <si>
    <t xml:space="preserve">Canada Analyst &amp; Associate</t>
  </si>
  <si>
    <t xml:space="preserve">Canada Admins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</si>
  <si>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</si>
  <si>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</si>
  <si>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</si>
  <si>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</si>
  <si>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</si>
  <si>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</si>
  <si>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</si>
  <si>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</si>
  <si>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</si>
  <si>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</si>
  <si>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</si>
  <si>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</si>
  <si>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</si>
  <si>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</si>
  <si>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</si>
  <si>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</si>
  <si>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</si>
  <si>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</si>
  <si>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</si>
  <si>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</si>
  <si>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</si>
  <si>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</si>
  <si>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</si>
  <si>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</si>
  <si>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</si>
  <si>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</si>
  <si>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</si>
  <si>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</si>
  <si>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</si>
  <si>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</si>
  <si>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</si>
  <si>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</si>
  <si>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</si>
  <si>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</si>
  <si>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</si>
  <si>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</si>
  <si>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</si>
  <si>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</si>
  <si>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</si>
  <si>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</si>
  <si>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</si>
  <si>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</si>
  <si>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</si>
  <si>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</si>
  <si>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</si>
  <si>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</si>
  <si>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</si>
  <si>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</si>
  <si>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</si>
  <si>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</si>
  <si>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</si>
  <si>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</si>
  <si>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</si>
  <si>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</si>
  <si>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</si>
  <si>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</si>
  <si>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</si>
  <si>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</si>
  <si>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</si>
  <si>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</si>
  <si>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</si>
  <si>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</si>
  <si>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</si>
  <si>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</si>
  <si>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</si>
  <si>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</si>
  <si>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</si>
  <si>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</si>
  <si>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</si>
  <si>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</si>
  <si>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</si>
  <si>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</si>
  <si>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</si>
  <si>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</si>
  <si>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</si>
  <si>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 Fundamentals- Houston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</si>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</sst>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externalLink" Target="externalLinks/externalLink3.xml"/><Relationship Id="rId59" Type="http://schemas.openxmlformats.org/officeDocument/2006/relationships/externalLink" Target="externalLinks/externalLink4.xml"/><Relationship Id="rId60" Type="http://schemas.openxmlformats.org/officeDocument/2006/relationships/externalLink" Target="externalLinks/externalLink5.xml"/><Relationship Id="rId61" Type="http://schemas.openxmlformats.org/officeDocument/2006/relationships/externalLink" Target="externalLinks/externalLink6.xml"/><Relationship Id="rId62" Type="http://schemas.openxmlformats.org/officeDocument/2006/relationships/externalLink" Target="externalLinks/externalLink7.xml"/><Relationship Id="rId63" Type="http://schemas.openxmlformats.org/officeDocument/2006/relationships/externalLink" Target="externalLinks/externalLink8.xml"/><Relationship Id="rId64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15.xml"/><Relationship Id="rId7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0.xml"/><Relationship Id="rId7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1.v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comments" Target="../comments35.xml"/><Relationship Id="rId2" Type="http://schemas.openxmlformats.org/officeDocument/2006/relationships/vmlDrawing" Target="../drawings/vmlDrawing2.v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comments" Target="../comments36.xml"/><Relationship Id="rId2" Type="http://schemas.openxmlformats.org/officeDocument/2006/relationships/vmlDrawing" Target="../drawings/vmlDrawing3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vmlDrawing" Target="../drawings/vmlDrawing4.v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comments" Target="../comments44.xml"/><Relationship Id="rId2" Type="http://schemas.openxmlformats.org/officeDocument/2006/relationships/vmlDrawing" Target="../drawings/vmlDrawing5.v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425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10.9</v>
      </c>
      <c r="Q9" s="12"/>
      <c r="R9" s="11" t="n">
        <f aca="false">G9-P9</f>
        <v>414.1</v>
      </c>
      <c r="T9" s="14" t="n">
        <v>33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fals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5"/>
      <c r="K11" s="12"/>
      <c r="L11" s="11" t="s">
        <v>12</v>
      </c>
      <c r="M11" s="12"/>
      <c r="N11" s="14"/>
      <c r="O11" s="12"/>
      <c r="P11" s="11" t="n">
        <v>7.3</v>
      </c>
      <c r="Q11" s="12"/>
      <c r="R11" s="11" t="n">
        <f aca="false">G11-P11</f>
        <v>-7.3</v>
      </c>
      <c r="T11" s="14" t="n">
        <v>33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5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false" outlineLevel="0" collapsed="false">
      <c r="B13" s="0" t="s">
        <v>14</v>
      </c>
      <c r="E13" s="11" t="n">
        <v>0</v>
      </c>
      <c r="F13" s="12"/>
      <c r="G13" s="11" t="n">
        <v>250</v>
      </c>
      <c r="H13" s="11" t="n">
        <v>29.9</v>
      </c>
      <c r="I13" s="12"/>
      <c r="J13" s="13" t="n">
        <v>147</v>
      </c>
      <c r="K13" s="12"/>
      <c r="L13" s="11" t="n">
        <f aca="false">32.8+6.4+0.5</f>
        <v>39.7</v>
      </c>
      <c r="M13" s="12"/>
      <c r="N13" s="14" t="n">
        <f aca="false">216-29</f>
        <v>187</v>
      </c>
      <c r="O13" s="12"/>
      <c r="P13" s="11" t="n">
        <v>5.5</v>
      </c>
      <c r="Q13" s="12"/>
      <c r="R13" s="11" t="n">
        <f aca="false">G13-P13</f>
        <v>244.5</v>
      </c>
      <c r="T13" s="14" t="n">
        <v>32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fals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5"/>
      <c r="K15" s="12"/>
      <c r="L15" s="11"/>
      <c r="M15" s="12"/>
      <c r="N15" s="14"/>
      <c r="O15" s="12"/>
      <c r="P15" s="11" t="n">
        <v>2.6</v>
      </c>
      <c r="Q15" s="12"/>
      <c r="R15" s="11" t="n">
        <f aca="false">G15-P15</f>
        <v>-2.6</v>
      </c>
      <c r="T15" s="14" t="n">
        <v>13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5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false" outlineLevel="0" collapsed="false">
      <c r="B17" s="0" t="s">
        <v>16</v>
      </c>
      <c r="E17" s="11" t="n">
        <v>0</v>
      </c>
      <c r="F17" s="12"/>
      <c r="G17" s="11" t="n">
        <v>150</v>
      </c>
      <c r="H17" s="11" t="n">
        <v>18.1</v>
      </c>
      <c r="I17" s="12"/>
      <c r="J17" s="13" t="n">
        <v>67</v>
      </c>
      <c r="K17" s="12"/>
      <c r="L17" s="11" t="n">
        <f aca="false">27.3+6.5</f>
        <v>33.8</v>
      </c>
      <c r="M17" s="12"/>
      <c r="N17" s="14" t="n">
        <f aca="false">106-10</f>
        <v>96</v>
      </c>
      <c r="O17" s="12"/>
      <c r="P17" s="11" t="n">
        <v>3.9</v>
      </c>
      <c r="Q17" s="12"/>
      <c r="R17" s="11" t="n">
        <f aca="false">G17-P17</f>
        <v>146.1</v>
      </c>
      <c r="T17" s="14" t="n">
        <v>19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fals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5"/>
      <c r="K19" s="12"/>
      <c r="L19" s="11"/>
      <c r="M19" s="12"/>
      <c r="N19" s="14"/>
      <c r="O19" s="12"/>
      <c r="P19" s="11" t="n">
        <v>2.4</v>
      </c>
      <c r="Q19" s="12"/>
      <c r="R19" s="11" t="n">
        <f aca="false">G19-P19</f>
        <v>-2.4</v>
      </c>
      <c r="T19" s="14" t="n">
        <v>10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5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50</v>
      </c>
      <c r="H21" s="11" t="n">
        <v>8</v>
      </c>
      <c r="I21" s="12"/>
      <c r="J21" s="13" t="n">
        <v>47</v>
      </c>
      <c r="K21" s="12"/>
      <c r="L21" s="11" t="n">
        <v>9</v>
      </c>
      <c r="M21" s="12"/>
      <c r="N21" s="14" t="n">
        <v>49</v>
      </c>
      <c r="O21" s="12"/>
      <c r="P21" s="11" t="n">
        <v>1.5</v>
      </c>
      <c r="Q21" s="12"/>
      <c r="R21" s="11" t="n">
        <f aca="false">G21-P21</f>
        <v>48.5</v>
      </c>
      <c r="T21" s="14" t="n">
        <v>7</v>
      </c>
      <c r="V21" s="16"/>
    </row>
    <row r="22" customFormat="false" ht="12.75" hidden="true" customHeight="false" outlineLevel="0" collapsed="false">
      <c r="B22" s="0" t="s">
        <v>19</v>
      </c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  <c r="V22" s="16"/>
    </row>
    <row r="23" customFormat="false" ht="12.75" hidden="true" customHeight="false" outlineLevel="0" collapsed="false">
      <c r="B23" s="0" t="s">
        <v>19</v>
      </c>
      <c r="E23" s="11"/>
      <c r="F23" s="12"/>
      <c r="G23" s="11" t="n">
        <v>0</v>
      </c>
      <c r="H23" s="11" t="n">
        <v>0</v>
      </c>
      <c r="I23" s="12"/>
      <c r="J23" s="13" t="n">
        <v>0</v>
      </c>
      <c r="K23" s="12"/>
      <c r="L23" s="11" t="n">
        <v>0</v>
      </c>
      <c r="M23" s="12"/>
      <c r="N23" s="14" t="n">
        <v>0</v>
      </c>
      <c r="O23" s="12"/>
      <c r="P23" s="11" t="n">
        <v>0</v>
      </c>
      <c r="Q23" s="12"/>
      <c r="R23" s="11" t="n">
        <f aca="false">G23-P23</f>
        <v>0</v>
      </c>
      <c r="T23" s="14" t="n">
        <v>0</v>
      </c>
      <c r="V23" s="16"/>
    </row>
    <row r="24" customFormat="false" ht="7.5" hidden="false" customHeight="true" outlineLevel="0" collapsed="false">
      <c r="E24" s="11"/>
      <c r="F24" s="12"/>
      <c r="G24" s="11"/>
      <c r="H24" s="11"/>
      <c r="I24" s="12"/>
      <c r="J24" s="13"/>
      <c r="K24" s="12"/>
      <c r="L24" s="11"/>
      <c r="M24" s="12"/>
      <c r="N24" s="14"/>
      <c r="O24" s="12"/>
      <c r="P24" s="11"/>
      <c r="Q24" s="12"/>
      <c r="R24" s="11"/>
      <c r="T24" s="14"/>
      <c r="V24" s="16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5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9</v>
      </c>
      <c r="V25" s="16"/>
    </row>
    <row r="26" customFormat="false" ht="12.75" hidden="true" customHeight="false" outlineLevel="0" collapsed="false">
      <c r="B26" s="0" t="s">
        <v>21</v>
      </c>
      <c r="E26" s="11"/>
      <c r="F26" s="12"/>
      <c r="G26" s="11"/>
      <c r="H26" s="11" t="n">
        <v>162</v>
      </c>
      <c r="I26" s="12"/>
      <c r="J26" s="13" t="n">
        <v>151</v>
      </c>
      <c r="K26" s="12"/>
      <c r="L26" s="11" t="n">
        <v>140</v>
      </c>
      <c r="M26" s="12"/>
      <c r="N26" s="13" t="n">
        <f aca="false">25+17</f>
        <v>42</v>
      </c>
      <c r="O26" s="12"/>
      <c r="P26" s="11" t="n">
        <v>0</v>
      </c>
      <c r="Q26" s="12"/>
      <c r="R26" s="11"/>
      <c r="T26" s="15" t="n">
        <v>0</v>
      </c>
      <c r="V26" s="16"/>
    </row>
    <row r="27" customFormat="false" ht="12.75" hidden="true" customHeight="false" outlineLevel="0" collapsed="false">
      <c r="E27" s="11"/>
      <c r="F27" s="12"/>
      <c r="G27" s="11"/>
      <c r="H27" s="11"/>
      <c r="I27" s="12"/>
      <c r="J27" s="15" t="s">
        <v>12</v>
      </c>
      <c r="K27" s="12"/>
      <c r="L27" s="11"/>
      <c r="M27" s="12"/>
      <c r="N27" s="14" t="s">
        <v>12</v>
      </c>
      <c r="O27" s="12"/>
      <c r="P27" s="11"/>
      <c r="Q27" s="12"/>
      <c r="R27" s="11"/>
      <c r="T27" s="14" t="s">
        <v>12</v>
      </c>
      <c r="V27" s="16"/>
    </row>
    <row r="28" customFormat="false" ht="12.75" hidden="true" customHeight="false" outlineLevel="0" collapsed="false">
      <c r="B28" s="0" t="s">
        <v>22</v>
      </c>
      <c r="E28" s="11"/>
      <c r="F28" s="12"/>
      <c r="G28" s="11"/>
      <c r="H28" s="11" t="n">
        <v>31</v>
      </c>
      <c r="I28" s="12"/>
      <c r="J28" s="13" t="n">
        <v>107</v>
      </c>
      <c r="K28" s="12"/>
      <c r="L28" s="11" t="n">
        <v>7</v>
      </c>
      <c r="M28" s="12"/>
      <c r="N28" s="13" t="n">
        <v>36</v>
      </c>
      <c r="O28" s="12"/>
      <c r="P28" s="11" t="n">
        <v>0</v>
      </c>
      <c r="Q28" s="12"/>
      <c r="R28" s="11"/>
      <c r="T28" s="15" t="n">
        <v>0</v>
      </c>
      <c r="V28" s="16"/>
    </row>
    <row r="29" customFormat="false" ht="12.75" hidden="true" customHeight="false" outlineLevel="0" collapsed="false">
      <c r="E29" s="11"/>
      <c r="F29" s="12"/>
      <c r="G29" s="11"/>
      <c r="H29" s="11"/>
      <c r="I29" s="12"/>
      <c r="J29" s="15"/>
      <c r="K29" s="12"/>
      <c r="L29" s="11"/>
      <c r="M29" s="12"/>
      <c r="N29" s="14"/>
      <c r="O29" s="12"/>
      <c r="P29" s="11"/>
      <c r="Q29" s="12"/>
      <c r="R29" s="11"/>
      <c r="T29" s="14"/>
      <c r="V29" s="16"/>
    </row>
    <row r="30" customFormat="false" ht="7.5" hidden="false" customHeight="true" outlineLevel="0" collapsed="false">
      <c r="E30" s="11"/>
      <c r="F30" s="12"/>
      <c r="G30" s="11"/>
      <c r="H30" s="11"/>
      <c r="I30" s="12"/>
      <c r="J30" s="15"/>
      <c r="K30" s="12"/>
      <c r="L30" s="11"/>
      <c r="M30" s="12"/>
      <c r="N30" s="14"/>
      <c r="O30" s="12"/>
      <c r="P30" s="11"/>
      <c r="Q30" s="12"/>
      <c r="R30" s="11"/>
      <c r="T30" s="14"/>
      <c r="V30" s="16"/>
    </row>
    <row r="31" customFormat="false" ht="12.75" hidden="false" customHeight="false" outlineLevel="0" collapsed="false">
      <c r="B31" s="0" t="s">
        <v>23</v>
      </c>
      <c r="E31" s="11" t="n">
        <v>0</v>
      </c>
      <c r="G31" s="11" t="n">
        <v>0</v>
      </c>
      <c r="H31" s="14" t="n">
        <v>34.3</v>
      </c>
      <c r="I31" s="16"/>
      <c r="J31" s="13" t="n">
        <v>65</v>
      </c>
      <c r="K31" s="16"/>
      <c r="L31" s="14" t="n">
        <v>257.1</v>
      </c>
      <c r="N31" s="14" t="n">
        <v>5</v>
      </c>
      <c r="P31" s="11" t="n">
        <v>2.1</v>
      </c>
      <c r="R31" s="11" t="n">
        <f aca="false">G31-P31</f>
        <v>-2.1</v>
      </c>
      <c r="T31" s="14" t="n">
        <v>6</v>
      </c>
    </row>
    <row r="32" customFormat="false" ht="12.75" hidden="false" customHeight="false" outlineLevel="0" collapsed="false">
      <c r="E32" s="17"/>
      <c r="G32" s="17"/>
      <c r="H32" s="14"/>
      <c r="I32" s="16"/>
      <c r="J32" s="17"/>
      <c r="K32" s="16"/>
      <c r="L32" s="14"/>
      <c r="N32" s="17"/>
      <c r="P32" s="18"/>
      <c r="R32" s="17"/>
      <c r="T32" s="17"/>
    </row>
    <row r="33" customFormat="false" ht="12.75" hidden="false" customHeight="false" outlineLevel="0" collapsed="false">
      <c r="D33" s="19" t="s">
        <v>24</v>
      </c>
      <c r="E33" s="20" t="n">
        <v>60</v>
      </c>
      <c r="G33" s="21" t="n">
        <f aca="false">SUM(G9:G31)</f>
        <v>875</v>
      </c>
      <c r="H33" s="21" t="n">
        <f aca="false">+H9+H13+H17+H21+H23+H31+H26+H28</f>
        <v>354.9</v>
      </c>
      <c r="I33" s="22"/>
      <c r="J33" s="23" t="n">
        <f aca="false">+J9+J13+J17+J21+J23+J26+J28+J31</f>
        <v>747</v>
      </c>
      <c r="K33" s="22"/>
      <c r="L33" s="21" t="n">
        <f aca="false">+L9+L13+L17+L21+L23+L31+L26+L28</f>
        <v>524.8</v>
      </c>
      <c r="N33" s="23" t="n">
        <f aca="false">+N9+N13+N17+N21+N23+N31+N26+N28</f>
        <v>558</v>
      </c>
      <c r="P33" s="21" t="n">
        <f aca="false">SUM(P9:P31)</f>
        <v>38.1</v>
      </c>
      <c r="R33" s="11" t="n">
        <f aca="false">SUM(R9:R31)</f>
        <v>836.9</v>
      </c>
      <c r="T33" s="23" t="n">
        <f aca="false">SUM(T9:T31)</f>
        <v>162</v>
      </c>
    </row>
    <row r="34" customFormat="false" ht="12.75" hidden="false" customHeight="false" outlineLevel="0" collapsed="false">
      <c r="H34" s="14"/>
      <c r="I34" s="16"/>
      <c r="J34" s="24"/>
      <c r="L34" s="14"/>
      <c r="N34" s="24"/>
      <c r="P34" s="11"/>
      <c r="R34" s="24"/>
      <c r="T34" s="24"/>
    </row>
    <row r="35" customFormat="false" ht="12.75" hidden="false" customHeight="false" outlineLevel="0" collapsed="false">
      <c r="B35" s="0" t="s">
        <v>25</v>
      </c>
      <c r="H35" s="14"/>
      <c r="I35" s="16"/>
      <c r="J35" s="14"/>
      <c r="L35" s="14"/>
      <c r="N35" s="14"/>
      <c r="P35" s="11" t="n">
        <f aca="false">1.5+2.3+1+1.4-0.1</f>
        <v>6.1</v>
      </c>
      <c r="R35" s="25" t="n">
        <f aca="false">G35-P35</f>
        <v>-6.1</v>
      </c>
      <c r="T35" s="14" t="n">
        <f aca="false">12+17+8+11</f>
        <v>48</v>
      </c>
    </row>
    <row r="36" customFormat="false" ht="12.75" hidden="false" customHeight="false" outlineLevel="0" collapsed="false">
      <c r="H36" s="14"/>
      <c r="I36" s="16"/>
      <c r="J36" s="14"/>
      <c r="L36" s="14"/>
      <c r="N36" s="14"/>
      <c r="P36" s="11"/>
      <c r="R36" s="14"/>
      <c r="T36" s="14"/>
    </row>
    <row r="37" customFormat="false" ht="12.75" hidden="false" customHeight="false" outlineLevel="0" collapsed="false">
      <c r="B37" s="0" t="s">
        <v>26</v>
      </c>
      <c r="H37" s="14"/>
      <c r="I37" s="16"/>
      <c r="J37" s="14"/>
      <c r="L37" s="14"/>
      <c r="N37" s="14"/>
      <c r="P37" s="11" t="n">
        <f aca="false">1+0.2+0.6</f>
        <v>1.8</v>
      </c>
      <c r="R37" s="25" t="n">
        <f aca="false">G37-P37</f>
        <v>-1.8</v>
      </c>
      <c r="T37" s="14" t="n">
        <f aca="false">12+2+5</f>
        <v>19</v>
      </c>
    </row>
    <row r="38" customFormat="false" ht="12.75" hidden="false" customHeight="false" outlineLevel="0" collapsed="false">
      <c r="H38" s="14"/>
      <c r="I38" s="16"/>
      <c r="J38" s="14"/>
      <c r="L38" s="14"/>
      <c r="N38" s="14"/>
      <c r="P38" s="11"/>
      <c r="R38" s="14"/>
      <c r="T38" s="14"/>
    </row>
    <row r="39" customFormat="false" ht="12.75" hidden="false" customHeight="false" outlineLevel="0" collapsed="false">
      <c r="B39" s="0" t="s">
        <v>27</v>
      </c>
      <c r="H39" s="26" t="n">
        <v>14</v>
      </c>
      <c r="I39" s="27"/>
      <c r="J39" s="13" t="n">
        <v>128</v>
      </c>
      <c r="L39" s="14" t="n">
        <v>7.9</v>
      </c>
      <c r="M39" s="0" t="s">
        <v>12</v>
      </c>
      <c r="N39" s="14" t="n">
        <v>122</v>
      </c>
      <c r="P39" s="11" t="n">
        <v>6.8</v>
      </c>
      <c r="R39" s="25" t="n">
        <f aca="false">G39-P39</f>
        <v>-6.8</v>
      </c>
      <c r="T39" s="14" t="n">
        <v>45</v>
      </c>
      <c r="U39" s="0" t="s">
        <v>12</v>
      </c>
      <c r="V39" s="0" t="s">
        <v>12</v>
      </c>
      <c r="W39" s="0" t="s">
        <v>12</v>
      </c>
      <c r="X39" s="0" t="s">
        <v>12</v>
      </c>
    </row>
    <row r="40" customFormat="false" ht="12.75" hidden="false" customHeight="false" outlineLevel="0" collapsed="false">
      <c r="H40" s="14"/>
      <c r="I40" s="16"/>
      <c r="J40" s="14"/>
      <c r="L40" s="14"/>
      <c r="N40" s="14"/>
      <c r="P40" s="11"/>
      <c r="R40" s="25"/>
      <c r="T40" s="14"/>
    </row>
    <row r="41" customFormat="false" ht="12.75" hidden="false" customHeight="false" outlineLevel="0" collapsed="false">
      <c r="B41" s="0" t="s">
        <v>28</v>
      </c>
      <c r="E41" s="0" t="s">
        <v>12</v>
      </c>
      <c r="H41" s="14" t="n">
        <v>5.7</v>
      </c>
      <c r="I41" s="16"/>
      <c r="J41" s="13" t="n">
        <v>30</v>
      </c>
      <c r="L41" s="14" t="n">
        <v>2.5</v>
      </c>
      <c r="M41" s="0" t="s">
        <v>12</v>
      </c>
      <c r="N41" s="14" t="n">
        <f aca="false">28+7</f>
        <v>35</v>
      </c>
      <c r="P41" s="11" t="n">
        <f aca="false">1.1+1</f>
        <v>2.1</v>
      </c>
      <c r="R41" s="25" t="n">
        <f aca="false">G41-P41</f>
        <v>-2.1</v>
      </c>
      <c r="T41" s="14" t="n">
        <f aca="false">6+4</f>
        <v>10</v>
      </c>
    </row>
    <row r="42" customFormat="false" ht="12.75" hidden="false" customHeight="false" outlineLevel="0" collapsed="false">
      <c r="H42" s="14"/>
      <c r="I42" s="16"/>
      <c r="J42" s="14"/>
      <c r="L42" s="14" t="s">
        <v>12</v>
      </c>
      <c r="N42" s="14"/>
      <c r="P42" s="11"/>
      <c r="R42" s="25"/>
      <c r="T42" s="14"/>
    </row>
    <row r="43" customFormat="false" ht="12.75" hidden="false" customHeight="false" outlineLevel="0" collapsed="false">
      <c r="B43" s="0" t="s">
        <v>29</v>
      </c>
      <c r="H43" s="14" t="n">
        <v>11.4</v>
      </c>
      <c r="I43" s="16"/>
      <c r="J43" s="15" t="s">
        <v>12</v>
      </c>
      <c r="L43" s="14" t="n">
        <v>9.5</v>
      </c>
      <c r="M43" s="0" t="s">
        <v>12</v>
      </c>
      <c r="N43" s="13"/>
      <c r="P43" s="11" t="n">
        <v>2.2</v>
      </c>
      <c r="R43" s="25" t="n">
        <f aca="false">G43-P43</f>
        <v>-2.2</v>
      </c>
      <c r="T43" s="14" t="n">
        <v>10</v>
      </c>
    </row>
    <row r="44" customFormat="false" ht="12.75" hidden="false" customHeight="false" outlineLevel="0" collapsed="false">
      <c r="H44" s="14"/>
      <c r="I44" s="16"/>
      <c r="J44" s="14"/>
      <c r="L44" s="14"/>
      <c r="M44" s="0" t="s">
        <v>12</v>
      </c>
      <c r="N44" s="14"/>
      <c r="P44" s="11"/>
      <c r="R44" s="14"/>
      <c r="T44" s="14"/>
    </row>
    <row r="45" customFormat="false" ht="12.75" hidden="false" customHeight="false" outlineLevel="0" collapsed="false">
      <c r="B45" s="0" t="s">
        <v>30</v>
      </c>
      <c r="H45" s="14" t="n">
        <v>11.4</v>
      </c>
      <c r="I45" s="16"/>
      <c r="J45" s="15" t="s">
        <v>12</v>
      </c>
      <c r="L45" s="26" t="n">
        <v>7.3</v>
      </c>
      <c r="N45" s="15"/>
      <c r="P45" s="11" t="n">
        <v>2.3</v>
      </c>
      <c r="R45" s="25" t="n">
        <f aca="false">G45-P45</f>
        <v>-2.3</v>
      </c>
      <c r="T45" s="14" t="n">
        <v>15</v>
      </c>
    </row>
    <row r="46" customFormat="false" ht="12.75" hidden="false" customHeight="false" outlineLevel="0" collapsed="false">
      <c r="H46" s="14"/>
      <c r="I46" s="16"/>
      <c r="J46" s="14"/>
      <c r="L46" s="14"/>
      <c r="N46" s="14"/>
      <c r="P46" s="11"/>
      <c r="R46" s="14"/>
      <c r="T46" s="14"/>
    </row>
    <row r="47" customFormat="false" ht="12.75" hidden="false" customHeight="false" outlineLevel="0" collapsed="false">
      <c r="B47" s="0" t="s">
        <v>31</v>
      </c>
      <c r="H47" s="14" t="n">
        <v>1.2</v>
      </c>
      <c r="I47" s="16"/>
      <c r="J47" s="15" t="n">
        <v>0</v>
      </c>
      <c r="L47" s="14" t="n">
        <v>0.7</v>
      </c>
      <c r="M47" s="0" t="s">
        <v>12</v>
      </c>
      <c r="N47" s="14" t="n">
        <v>26</v>
      </c>
      <c r="P47" s="11" t="n">
        <v>2.2</v>
      </c>
      <c r="R47" s="25" t="n">
        <f aca="false">G47-P47</f>
        <v>-2.2</v>
      </c>
      <c r="T47" s="14" t="n">
        <v>11</v>
      </c>
    </row>
    <row r="48" customFormat="false" ht="12.75" hidden="false" customHeight="false" outlineLevel="0" collapsed="false">
      <c r="H48" s="14"/>
      <c r="I48" s="16"/>
      <c r="J48" s="14"/>
      <c r="L48" s="14"/>
      <c r="N48" s="14"/>
      <c r="P48" s="11"/>
      <c r="R48" s="25"/>
      <c r="T48" s="14"/>
    </row>
    <row r="49" customFormat="false" ht="12.75" hidden="true" customHeight="false" outlineLevel="0" collapsed="false">
      <c r="B49" s="0" t="s">
        <v>32</v>
      </c>
      <c r="H49" s="14" t="n">
        <v>1.1</v>
      </c>
      <c r="I49" s="16"/>
      <c r="J49" s="15" t="n">
        <v>0</v>
      </c>
      <c r="L49" s="14" t="n">
        <v>0.7</v>
      </c>
      <c r="N49" s="14" t="n">
        <v>27</v>
      </c>
      <c r="P49" s="11" t="n">
        <v>0</v>
      </c>
      <c r="R49" s="25" t="n">
        <f aca="false">G49-P49</f>
        <v>0</v>
      </c>
      <c r="T49" s="14" t="n">
        <v>0</v>
      </c>
    </row>
    <row r="50" customFormat="false" ht="12.75" hidden="true" customHeight="false" outlineLevel="0" collapsed="false">
      <c r="H50" s="14"/>
      <c r="I50" s="16"/>
      <c r="J50" s="14" t="s">
        <v>12</v>
      </c>
      <c r="L50" s="14"/>
      <c r="N50" s="14" t="s">
        <v>12</v>
      </c>
      <c r="P50" s="11"/>
      <c r="R50" s="14"/>
      <c r="T50" s="14" t="s">
        <v>12</v>
      </c>
    </row>
    <row r="51" customFormat="false" ht="12.75" hidden="false" customHeight="false" outlineLevel="0" collapsed="false">
      <c r="B51" s="0" t="s">
        <v>33</v>
      </c>
      <c r="H51" s="14"/>
      <c r="I51" s="16"/>
      <c r="J51" s="15" t="s">
        <v>12</v>
      </c>
      <c r="L51" s="14"/>
      <c r="M51" s="0" t="s">
        <v>12</v>
      </c>
      <c r="N51" s="14"/>
      <c r="P51" s="11"/>
      <c r="R51" s="25"/>
      <c r="T51" s="14"/>
    </row>
    <row r="52" customFormat="false" ht="12.75" hidden="false" customHeight="false" outlineLevel="0" collapsed="false">
      <c r="C52" s="0" t="s">
        <v>34</v>
      </c>
      <c r="H52" s="14" t="n">
        <v>10.2</v>
      </c>
      <c r="I52" s="16"/>
      <c r="J52" s="13" t="s">
        <v>12</v>
      </c>
      <c r="L52" s="26" t="n">
        <v>7.6</v>
      </c>
      <c r="N52" s="11"/>
      <c r="P52" s="11" t="n">
        <f aca="false">(T52/$T$62)*$P$62</f>
        <v>5.35652173913044</v>
      </c>
      <c r="R52" s="25" t="n">
        <f aca="false">G52-P52</f>
        <v>-5.35652173913044</v>
      </c>
      <c r="T52" s="14" t="n">
        <v>32</v>
      </c>
      <c r="U52" s="0" t="n">
        <v>5</v>
      </c>
      <c r="V52" s="0" t="n">
        <v>0.5</v>
      </c>
    </row>
    <row r="53" customFormat="false" ht="12.75" hidden="false" customHeight="false" outlineLevel="0" collapsed="false">
      <c r="C53" s="0" t="s">
        <v>35</v>
      </c>
      <c r="H53" s="14" t="n">
        <v>8.6</v>
      </c>
      <c r="I53" s="16"/>
      <c r="J53" s="13" t="s">
        <v>12</v>
      </c>
      <c r="L53" s="26" t="n">
        <v>6</v>
      </c>
      <c r="N53" s="11"/>
      <c r="P53" s="11" t="n">
        <f aca="false">(T53/$T$62)*$P$62</f>
        <v>6.52826086956522</v>
      </c>
      <c r="R53" s="25" t="n">
        <f aca="false">G53-P53</f>
        <v>-6.52826086956522</v>
      </c>
      <c r="T53" s="14" t="n">
        <v>39</v>
      </c>
      <c r="U53" s="0" t="n">
        <v>4</v>
      </c>
      <c r="V53" s="0" t="n">
        <v>0.5</v>
      </c>
    </row>
    <row r="54" customFormat="false" ht="12.75" hidden="false" customHeight="false" outlineLevel="0" collapsed="false">
      <c r="C54" s="0" t="s">
        <v>36</v>
      </c>
      <c r="H54" s="14" t="n">
        <v>5.9</v>
      </c>
      <c r="I54" s="16"/>
      <c r="J54" s="13" t="s">
        <v>12</v>
      </c>
      <c r="L54" s="26" t="n">
        <v>4</v>
      </c>
      <c r="N54" s="11"/>
      <c r="P54" s="11" t="n">
        <f aca="false">(T54/$T$62)*$P$62</f>
        <v>4.85434782608696</v>
      </c>
      <c r="R54" s="25" t="n">
        <f aca="false">G54-P54</f>
        <v>-4.85434782608696</v>
      </c>
      <c r="T54" s="14" t="n">
        <f aca="false">21+8</f>
        <v>29</v>
      </c>
      <c r="U54" s="0" t="n">
        <v>4</v>
      </c>
      <c r="V54" s="0" t="n">
        <v>0.5</v>
      </c>
    </row>
    <row r="55" customFormat="false" ht="12.75" hidden="false" customHeight="false" outlineLevel="0" collapsed="false">
      <c r="C55" s="0" t="s">
        <v>37</v>
      </c>
      <c r="H55" s="14" t="n">
        <v>3.1</v>
      </c>
      <c r="I55" s="16"/>
      <c r="J55" s="15" t="s">
        <v>12</v>
      </c>
      <c r="L55" s="14" t="n">
        <v>2.7</v>
      </c>
      <c r="N55" s="11"/>
      <c r="P55" s="11" t="n">
        <f aca="false">(T55/$T$62)*$P$62</f>
        <v>1.00434782608696</v>
      </c>
      <c r="R55" s="25" t="n">
        <f aca="false">G55-P55</f>
        <v>-1.00434782608696</v>
      </c>
      <c r="T55" s="14" t="n">
        <v>6</v>
      </c>
      <c r="U55" s="0" t="n">
        <v>4</v>
      </c>
      <c r="V55" s="0" t="n">
        <v>0.5</v>
      </c>
    </row>
    <row r="56" customFormat="false" ht="12.75" hidden="false" customHeight="false" outlineLevel="0" collapsed="false">
      <c r="C56" s="0" t="s">
        <v>38</v>
      </c>
      <c r="H56" s="14" t="n">
        <v>2.7</v>
      </c>
      <c r="I56" s="16"/>
      <c r="J56" s="15" t="s">
        <v>12</v>
      </c>
      <c r="L56" s="14" t="n">
        <v>2.1</v>
      </c>
      <c r="M56" s="28"/>
      <c r="N56" s="11"/>
      <c r="O56" s="28"/>
      <c r="P56" s="11" t="n">
        <f aca="false">(T56/$T$62)*$P$62</f>
        <v>2.34347826086957</v>
      </c>
      <c r="R56" s="25" t="n">
        <f aca="false">G56-P56</f>
        <v>-2.34347826086957</v>
      </c>
      <c r="T56" s="14" t="n">
        <v>14</v>
      </c>
      <c r="U56" s="0" t="n">
        <v>4</v>
      </c>
      <c r="V56" s="0" t="n">
        <v>0.5</v>
      </c>
    </row>
    <row r="57" customFormat="false" ht="12.75" hidden="false" customHeight="false" outlineLevel="0" collapsed="false">
      <c r="C57" s="0" t="s">
        <v>39</v>
      </c>
      <c r="H57" s="14" t="n">
        <v>2.7</v>
      </c>
      <c r="I57" s="16"/>
      <c r="J57" s="15" t="s">
        <v>12</v>
      </c>
      <c r="L57" s="14" t="n">
        <v>2.1</v>
      </c>
      <c r="N57" s="11"/>
      <c r="P57" s="11" t="n">
        <f aca="false">(T57/$T$62)*$P$62</f>
        <v>1.84130434782609</v>
      </c>
      <c r="R57" s="25" t="n">
        <f aca="false">G57-P57</f>
        <v>-1.84130434782609</v>
      </c>
      <c r="T57" s="14" t="n">
        <v>11</v>
      </c>
      <c r="U57" s="0" t="n">
        <v>4</v>
      </c>
      <c r="V57" s="0" t="n">
        <v>0.5</v>
      </c>
    </row>
    <row r="58" customFormat="false" ht="12.75" hidden="false" customHeight="false" outlineLevel="0" collapsed="false">
      <c r="C58" s="0" t="s">
        <v>40</v>
      </c>
      <c r="H58" s="14" t="n">
        <v>2.7</v>
      </c>
      <c r="I58" s="16"/>
      <c r="J58" s="15" t="s">
        <v>12</v>
      </c>
      <c r="L58" s="14" t="n">
        <v>2.5</v>
      </c>
      <c r="N58" s="11"/>
      <c r="P58" s="11" t="n">
        <f aca="false">(T58/$T$62)*$P$62</f>
        <v>1.33913043478261</v>
      </c>
      <c r="R58" s="25" t="n">
        <f aca="false">G58-P58</f>
        <v>-1.33913043478261</v>
      </c>
      <c r="T58" s="14" t="n">
        <v>8</v>
      </c>
      <c r="U58" s="0" t="n">
        <v>5</v>
      </c>
      <c r="V58" s="0" t="n">
        <v>0.5</v>
      </c>
    </row>
    <row r="59" customFormat="false" ht="12.75" hidden="false" customHeight="false" outlineLevel="0" collapsed="false">
      <c r="C59" s="0" t="s">
        <v>41</v>
      </c>
      <c r="H59" s="17" t="n">
        <v>3.3</v>
      </c>
      <c r="I59" s="16"/>
      <c r="J59" s="29" t="s">
        <v>12</v>
      </c>
      <c r="L59" s="17" t="n">
        <v>2.9</v>
      </c>
      <c r="N59" s="18"/>
      <c r="P59" s="11" t="n">
        <f aca="false">(T59/$T$62)*$P$62</f>
        <v>2.34347826086957</v>
      </c>
      <c r="R59" s="25" t="n">
        <f aca="false">G59-P59</f>
        <v>-2.34347826086957</v>
      </c>
      <c r="T59" s="14" t="n">
        <v>14</v>
      </c>
      <c r="U59" s="30" t="n">
        <v>6</v>
      </c>
      <c r="V59" s="0" t="n">
        <v>0.05</v>
      </c>
    </row>
    <row r="60" customFormat="false" ht="12.75" hidden="false" customHeight="false" outlineLevel="0" collapsed="false">
      <c r="C60" s="0" t="s">
        <v>42</v>
      </c>
      <c r="H60" s="14"/>
      <c r="I60" s="16"/>
      <c r="J60" s="15"/>
      <c r="L60" s="14"/>
      <c r="N60" s="11"/>
      <c r="P60" s="11" t="n">
        <f aca="false">(T60/$T$62)*$P$62</f>
        <v>4.85434782608696</v>
      </c>
      <c r="R60" s="25" t="n">
        <f aca="false">G60-P60</f>
        <v>-4.85434782608696</v>
      </c>
      <c r="T60" s="14" t="n">
        <v>29</v>
      </c>
      <c r="U60" s="16"/>
    </row>
    <row r="61" customFormat="false" ht="12.75" hidden="false" customHeight="false" outlineLevel="0" collapsed="false">
      <c r="C61" s="0" t="s">
        <v>43</v>
      </c>
      <c r="H61" s="14"/>
      <c r="I61" s="16"/>
      <c r="J61" s="15"/>
      <c r="L61" s="14"/>
      <c r="N61" s="11"/>
      <c r="P61" s="18" t="n">
        <f aca="false">(T61/$T$62)*$P$62+0.1</f>
        <v>0.434782608695652</v>
      </c>
      <c r="R61" s="20" t="n">
        <f aca="false">G61-P61+0.06</f>
        <v>-0.374782608695652</v>
      </c>
      <c r="T61" s="17" t="n">
        <v>2</v>
      </c>
      <c r="U61" s="16"/>
    </row>
    <row r="62" customFormat="false" ht="12.75" hidden="false" customHeight="false" outlineLevel="0" collapsed="false">
      <c r="H62" s="31" t="n">
        <f aca="false">SUM(H52:H59)</f>
        <v>39.2</v>
      </c>
      <c r="I62" s="32"/>
      <c r="J62" s="33" t="n">
        <v>452</v>
      </c>
      <c r="L62" s="31" t="n">
        <f aca="false">SUM(L52:L59)</f>
        <v>29.9</v>
      </c>
      <c r="N62" s="33"/>
      <c r="P62" s="31" t="n">
        <v>30.8</v>
      </c>
      <c r="R62" s="25" t="n">
        <f aca="false">SUM(R52:R61)</f>
        <v>-30.84</v>
      </c>
      <c r="T62" s="33" t="n">
        <f aca="false">SUM(T52:T61)</f>
        <v>184</v>
      </c>
      <c r="U62" s="0" t="n">
        <v>178</v>
      </c>
      <c r="V62" s="0" t="n">
        <f aca="false">SUM(V52:V59)</f>
        <v>3.55</v>
      </c>
      <c r="W62" s="0" t="s">
        <v>44</v>
      </c>
    </row>
    <row r="63" customFormat="false" ht="12.75" hidden="false" customHeight="false" outlineLevel="0" collapsed="false">
      <c r="H63" s="14"/>
      <c r="I63" s="16"/>
      <c r="J63" s="14"/>
      <c r="L63" s="14"/>
      <c r="N63" s="14"/>
      <c r="P63" s="14"/>
      <c r="R63" s="14"/>
      <c r="T63" s="14"/>
    </row>
    <row r="64" customFormat="false" ht="12.75" hidden="false" customHeight="false" outlineLevel="0" collapsed="false">
      <c r="B64" s="0" t="s">
        <v>45</v>
      </c>
      <c r="H64" s="14" t="n">
        <v>10.7</v>
      </c>
      <c r="I64" s="16"/>
      <c r="J64" s="13" t="n">
        <v>39</v>
      </c>
      <c r="L64" s="14" t="n">
        <v>4.1</v>
      </c>
      <c r="M64" s="0" t="s">
        <v>12</v>
      </c>
      <c r="N64" s="33" t="n">
        <v>105</v>
      </c>
      <c r="P64" s="11" t="n">
        <v>1.6</v>
      </c>
      <c r="R64" s="25" t="n">
        <f aca="false">G64-P64</f>
        <v>-1.6</v>
      </c>
      <c r="T64" s="33" t="n">
        <v>14</v>
      </c>
    </row>
    <row r="65" customFormat="false" ht="12.75" hidden="false" customHeight="false" outlineLevel="0" collapsed="false">
      <c r="H65" s="14"/>
      <c r="I65" s="16"/>
      <c r="J65" s="14"/>
      <c r="L65" s="14"/>
      <c r="N65" s="14"/>
      <c r="P65" s="14"/>
      <c r="R65" s="14"/>
      <c r="T65" s="14"/>
    </row>
    <row r="66" customFormat="false" ht="12.75" hidden="false" customHeight="false" outlineLevel="0" collapsed="false">
      <c r="B66" s="0" t="s">
        <v>46</v>
      </c>
      <c r="H66" s="14" t="n">
        <v>27.5</v>
      </c>
      <c r="I66" s="16"/>
      <c r="J66" s="13" t="n">
        <v>175</v>
      </c>
      <c r="L66" s="26" t="n">
        <v>29</v>
      </c>
      <c r="M66" s="0" t="s">
        <v>12</v>
      </c>
      <c r="N66" s="33"/>
      <c r="P66" s="11" t="n">
        <v>36</v>
      </c>
      <c r="R66" s="25" t="n">
        <f aca="false">G66-P66</f>
        <v>-36</v>
      </c>
      <c r="T66" s="33" t="n">
        <v>140</v>
      </c>
      <c r="U66" s="0" t="s">
        <v>12</v>
      </c>
      <c r="V66" s="0" t="s">
        <v>12</v>
      </c>
    </row>
    <row r="67" customFormat="false" ht="12.75" hidden="false" customHeight="false" outlineLevel="0" collapsed="false">
      <c r="B67" s="0" t="s">
        <v>47</v>
      </c>
      <c r="H67" s="14" t="n">
        <v>48.9</v>
      </c>
      <c r="I67" s="16"/>
      <c r="J67" s="15" t="s">
        <v>12</v>
      </c>
      <c r="L67" s="26" t="n">
        <v>55</v>
      </c>
      <c r="N67" s="33"/>
      <c r="P67" s="11" t="n">
        <v>50.1</v>
      </c>
      <c r="R67" s="25" t="n">
        <f aca="false">G67-P67</f>
        <v>-50.1</v>
      </c>
      <c r="T67" s="33" t="n">
        <v>59</v>
      </c>
    </row>
    <row r="68" customFormat="false" ht="12.75" hidden="true" customHeight="false" outlineLevel="0" collapsed="false">
      <c r="B68" s="0" t="s">
        <v>48</v>
      </c>
      <c r="H68" s="14" t="n">
        <v>1.1</v>
      </c>
      <c r="I68" s="16"/>
      <c r="J68" s="15" t="s">
        <v>12</v>
      </c>
      <c r="L68" s="14" t="n">
        <v>7.7</v>
      </c>
      <c r="N68" s="33"/>
      <c r="P68" s="11" t="n">
        <v>0</v>
      </c>
      <c r="R68" s="25" t="n">
        <f aca="false">G68-P68</f>
        <v>0</v>
      </c>
      <c r="T68" s="33" t="n">
        <v>0</v>
      </c>
    </row>
    <row r="69" customFormat="false" ht="12.75" hidden="false" customHeight="false" outlineLevel="0" collapsed="false">
      <c r="B69" s="0" t="s">
        <v>49</v>
      </c>
      <c r="H69" s="14" t="n">
        <v>0.8</v>
      </c>
      <c r="I69" s="16"/>
      <c r="J69" s="15" t="s">
        <v>12</v>
      </c>
      <c r="L69" s="14" t="n">
        <v>5.2</v>
      </c>
      <c r="N69" s="33"/>
      <c r="P69" s="11" t="n">
        <v>5.9</v>
      </c>
      <c r="R69" s="25" t="n">
        <f aca="false">G69-P69</f>
        <v>-5.9</v>
      </c>
      <c r="T69" s="33" t="n">
        <v>39</v>
      </c>
    </row>
    <row r="70" customFormat="false" ht="12.75" hidden="fals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false" customHeight="false" outlineLevel="0" collapsed="false">
      <c r="H71" s="14"/>
      <c r="I71" s="16"/>
      <c r="J71" s="14"/>
      <c r="L71" s="14"/>
      <c r="N71" s="14"/>
      <c r="P71" s="13"/>
      <c r="R71" s="14"/>
      <c r="T71" s="14"/>
    </row>
    <row r="72" customFormat="false" ht="12.75" hidden="false" customHeight="false" outlineLevel="0" collapsed="false">
      <c r="B72" s="0" t="s">
        <v>50</v>
      </c>
      <c r="H72" s="14" t="n">
        <v>2.8</v>
      </c>
      <c r="I72" s="16"/>
      <c r="J72" s="15" t="n">
        <v>0</v>
      </c>
      <c r="L72" s="14" t="n">
        <v>3.5</v>
      </c>
      <c r="M72" s="0" t="s">
        <v>12</v>
      </c>
      <c r="N72" s="33" t="n">
        <v>96</v>
      </c>
      <c r="P72" s="11" t="n">
        <v>4.8</v>
      </c>
      <c r="R72" s="25" t="n">
        <f aca="false">G72-P72</f>
        <v>-4.8</v>
      </c>
      <c r="T72" s="33" t="n">
        <v>33</v>
      </c>
    </row>
    <row r="73" customFormat="false" ht="12.75" hidden="false" customHeight="false" outlineLevel="0" collapsed="false">
      <c r="H73" s="14"/>
      <c r="I73" s="16"/>
      <c r="J73" s="14"/>
      <c r="L73" s="14"/>
      <c r="N73" s="14"/>
      <c r="P73" s="13"/>
      <c r="R73" s="14"/>
      <c r="T73" s="14"/>
    </row>
    <row r="74" customFormat="false" ht="12.75" hidden="false" customHeight="false" outlineLevel="0" collapsed="false">
      <c r="B74" s="0" t="s">
        <v>51</v>
      </c>
      <c r="H74" s="14" t="n">
        <v>39.3</v>
      </c>
      <c r="I74" s="16"/>
      <c r="J74" s="13" t="n">
        <v>90</v>
      </c>
      <c r="L74" s="14" t="n">
        <v>10.1</v>
      </c>
      <c r="M74" s="0" t="s">
        <v>12</v>
      </c>
      <c r="N74" s="33" t="n">
        <v>116</v>
      </c>
      <c r="P74" s="11" t="n">
        <v>9.5</v>
      </c>
      <c r="R74" s="25" t="n">
        <f aca="false">G74-P74</f>
        <v>-9.5</v>
      </c>
      <c r="T74" s="33" t="n">
        <v>21</v>
      </c>
      <c r="U74" s="0" t="s">
        <v>12</v>
      </c>
      <c r="V74" s="0" t="s">
        <v>12</v>
      </c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  <c r="V75" s="0" t="s">
        <v>12</v>
      </c>
    </row>
    <row r="76" customFormat="false" ht="12.75" hidden="false" customHeight="false" outlineLevel="0" collapsed="false">
      <c r="B76" s="0" t="s">
        <v>52</v>
      </c>
      <c r="H76" s="14"/>
      <c r="I76" s="16"/>
      <c r="J76" s="33"/>
      <c r="L76" s="14"/>
      <c r="M76" s="0" t="s">
        <v>12</v>
      </c>
      <c r="N76" s="33"/>
      <c r="P76" s="11"/>
      <c r="R76" s="25"/>
      <c r="T76" s="33"/>
    </row>
    <row r="77" customFormat="false" ht="12.75" hidden="false" customHeight="false" outlineLevel="0" collapsed="false">
      <c r="C77" s="0" t="s">
        <v>53</v>
      </c>
      <c r="H77" s="26" t="n">
        <f aca="false">15.3+0.7</f>
        <v>16</v>
      </c>
      <c r="I77" s="16"/>
      <c r="J77" s="33"/>
      <c r="L77" s="26" t="n">
        <v>6</v>
      </c>
      <c r="N77" s="33"/>
      <c r="P77" s="11" t="n">
        <v>5</v>
      </c>
      <c r="R77" s="25" t="n">
        <f aca="false">G77-P77</f>
        <v>-5</v>
      </c>
      <c r="T77" s="33"/>
    </row>
    <row r="78" customFormat="false" ht="12.75" hidden="false" customHeight="false" outlineLevel="0" collapsed="false">
      <c r="C78" s="0" t="s">
        <v>54</v>
      </c>
      <c r="H78" s="26" t="n">
        <v>1</v>
      </c>
      <c r="I78" s="27"/>
      <c r="J78" s="33"/>
      <c r="L78" s="14" t="n">
        <v>0.8</v>
      </c>
      <c r="N78" s="33"/>
      <c r="P78" s="11" t="n">
        <v>1</v>
      </c>
      <c r="R78" s="25" t="n">
        <f aca="false">G78-P78</f>
        <v>-1</v>
      </c>
      <c r="T78" s="33"/>
    </row>
    <row r="79" customFormat="false" ht="12.75" hidden="false" customHeight="false" outlineLevel="0" collapsed="false">
      <c r="C79" s="0" t="s">
        <v>44</v>
      </c>
      <c r="H79" s="26" t="n">
        <v>1</v>
      </c>
      <c r="I79" s="27"/>
      <c r="J79" s="33"/>
      <c r="L79" s="26" t="n">
        <v>0.1</v>
      </c>
      <c r="N79" s="33"/>
      <c r="P79" s="11" t="n">
        <v>1</v>
      </c>
      <c r="R79" s="25" t="n">
        <f aca="false">G79-P79</f>
        <v>-1</v>
      </c>
      <c r="T79" s="33"/>
    </row>
    <row r="80" customFormat="false" ht="12.75" hidden="false" customHeight="false" outlineLevel="0" collapsed="false">
      <c r="C80" s="0" t="s">
        <v>55</v>
      </c>
      <c r="H80" s="14" t="n">
        <v>0.4</v>
      </c>
      <c r="I80" s="16"/>
      <c r="J80" s="33"/>
      <c r="L80" s="14" t="n">
        <v>0.1</v>
      </c>
      <c r="N80" s="33"/>
      <c r="P80" s="11" t="n">
        <v>0.6</v>
      </c>
      <c r="R80" s="25" t="n">
        <f aca="false">G80-P80</f>
        <v>-0.6</v>
      </c>
      <c r="T80" s="33"/>
    </row>
    <row r="81" customFormat="false" ht="12.75" hidden="false" customHeight="false" outlineLevel="0" collapsed="false">
      <c r="H81" s="14"/>
      <c r="I81" s="16"/>
      <c r="J81" s="33"/>
      <c r="L81" s="14"/>
      <c r="N81" s="33"/>
      <c r="P81" s="11"/>
      <c r="R81" s="25"/>
      <c r="T81" s="33"/>
    </row>
    <row r="82" customFormat="false" ht="12.75" hidden="true" customHeight="false" outlineLevel="0" collapsed="false">
      <c r="B82" s="0" t="s">
        <v>56</v>
      </c>
      <c r="H82" s="14" t="n">
        <f aca="false">7.3-0.4</f>
        <v>6.9</v>
      </c>
      <c r="I82" s="16"/>
      <c r="J82" s="33"/>
      <c r="L82" s="14" t="n">
        <v>37.4</v>
      </c>
      <c r="N82" s="33"/>
      <c r="P82" s="11" t="n">
        <v>0</v>
      </c>
      <c r="R82" s="25"/>
      <c r="T82" s="33"/>
    </row>
    <row r="83" customFormat="false" ht="12.75" hidden="true" customHeight="false" outlineLevel="0" collapsed="false">
      <c r="H83" s="14"/>
      <c r="I83" s="16"/>
      <c r="J83" s="33"/>
      <c r="L83" s="14"/>
      <c r="N83" s="33"/>
      <c r="P83" s="11"/>
      <c r="R83" s="25"/>
      <c r="T83" s="33"/>
    </row>
    <row r="84" customFormat="false" ht="12.75" hidden="true" customHeight="false" outlineLevel="0" collapsed="false">
      <c r="B84" s="0" t="s">
        <v>57</v>
      </c>
      <c r="H84" s="15" t="n">
        <v>0</v>
      </c>
      <c r="I84" s="16"/>
      <c r="J84" s="33"/>
      <c r="L84" s="14" t="n">
        <v>20.9</v>
      </c>
      <c r="N84" s="33"/>
      <c r="P84" s="11"/>
      <c r="R84" s="25"/>
      <c r="T84" s="33"/>
    </row>
    <row r="85" customFormat="false" ht="12.75" hidden="true" customHeight="false" outlineLevel="0" collapsed="false">
      <c r="H85" s="14"/>
      <c r="I85" s="16"/>
      <c r="J85" s="33"/>
      <c r="L85" s="14"/>
      <c r="N85" s="33"/>
      <c r="P85" s="11"/>
      <c r="R85" s="25"/>
      <c r="T85" s="33"/>
    </row>
    <row r="86" customFormat="false" ht="12.75" hidden="false" customHeight="false" outlineLevel="0" collapsed="false">
      <c r="B86" s="0" t="s">
        <v>58</v>
      </c>
      <c r="H86" s="14" t="n">
        <v>0.1</v>
      </c>
      <c r="I86" s="16"/>
      <c r="J86" s="33" t="n">
        <v>0</v>
      </c>
      <c r="L86" s="26" t="n">
        <v>13.6</v>
      </c>
      <c r="N86" s="33" t="n">
        <f aca="false">29+29+10+37+24</f>
        <v>129</v>
      </c>
      <c r="P86" s="11" t="n">
        <f aca="false">6+1.1+1.2</f>
        <v>8.3</v>
      </c>
      <c r="R86" s="25" t="n">
        <f aca="false">G86-P86</f>
        <v>-8.3</v>
      </c>
      <c r="T86" s="33" t="n">
        <f aca="false">30+6+5</f>
        <v>41</v>
      </c>
    </row>
    <row r="87" customFormat="false" ht="12.75" hidden="false" customHeight="false" outlineLevel="0" collapsed="false">
      <c r="H87" s="14"/>
      <c r="I87" s="16"/>
      <c r="J87" s="33"/>
      <c r="L87" s="14"/>
      <c r="N87" s="33"/>
      <c r="P87" s="11"/>
      <c r="R87" s="25"/>
      <c r="T87" s="33"/>
    </row>
    <row r="88" customFormat="false" ht="12.75" hidden="false" customHeight="false" outlineLevel="0" collapsed="false">
      <c r="H88" s="14"/>
      <c r="I88" s="16"/>
      <c r="J88" s="33"/>
      <c r="L88" s="14"/>
      <c r="N88" s="33"/>
      <c r="P88" s="11"/>
      <c r="R88" s="25"/>
      <c r="T88" s="33"/>
    </row>
    <row r="89" customFormat="false" ht="12.75" hidden="false" customHeight="false" outlineLevel="0" collapsed="false">
      <c r="B89" s="0" t="s">
        <v>59</v>
      </c>
      <c r="H89" s="14"/>
      <c r="I89" s="16"/>
      <c r="J89" s="33"/>
      <c r="L89" s="11"/>
      <c r="N89" s="33"/>
      <c r="P89" s="11" t="n">
        <f aca="false">9+2.4+2</f>
        <v>13.4</v>
      </c>
      <c r="R89" s="25" t="n">
        <f aca="false">G89-P89</f>
        <v>-13.4</v>
      </c>
      <c r="T89" s="33"/>
      <c r="U89" s="0" t="s">
        <v>60</v>
      </c>
    </row>
    <row r="90" customFormat="false" ht="12.75" hidden="false" customHeight="false" outlineLevel="0" collapsed="false">
      <c r="H90" s="14"/>
      <c r="I90" s="16"/>
      <c r="J90" s="33"/>
      <c r="L90" s="14"/>
      <c r="N90" s="33"/>
      <c r="P90" s="11"/>
      <c r="R90" s="25"/>
      <c r="T90" s="33"/>
      <c r="U90" s="0" t="s">
        <v>61</v>
      </c>
    </row>
    <row r="91" customFormat="false" ht="12.75" hidden="false" customHeight="false" outlineLevel="0" collapsed="false">
      <c r="B91" s="0" t="s">
        <v>62</v>
      </c>
      <c r="H91" s="14" t="n">
        <v>130.6</v>
      </c>
      <c r="I91" s="16"/>
      <c r="J91" s="14"/>
      <c r="L91" s="11" t="n">
        <v>61.2</v>
      </c>
      <c r="N91" s="14"/>
      <c r="P91" s="11" t="n">
        <v>0</v>
      </c>
      <c r="R91" s="15" t="n">
        <v>0</v>
      </c>
      <c r="T91" s="14"/>
    </row>
    <row r="92" customFormat="false" ht="12.75" hidden="false" customHeight="false" outlineLevel="0" collapsed="false">
      <c r="H92" s="14"/>
      <c r="I92" s="16"/>
      <c r="J92" s="17"/>
      <c r="L92" s="14"/>
      <c r="N92" s="17"/>
      <c r="P92" s="11"/>
      <c r="Q92" s="16"/>
      <c r="R92" s="25"/>
      <c r="T92" s="17"/>
    </row>
    <row r="93" customFormat="false" ht="12.75" hidden="false" customHeight="false" outlineLevel="0" collapsed="false">
      <c r="D93" s="19" t="s">
        <v>63</v>
      </c>
      <c r="H93" s="34" t="n">
        <f aca="false">+H39+H41+H43+H45+H47+H49+H62+H64+H66+H67+H68+H69+H72+H74+H77+H78+H79+H80+H86+H89+H82+H91</f>
        <v>371.1</v>
      </c>
      <c r="I93" s="12"/>
      <c r="J93" s="35" t="n">
        <f aca="false">+J39+J41+J62+J64+J66+J74</f>
        <v>914</v>
      </c>
      <c r="L93" s="34" t="n">
        <f aca="false">+L39+L41+L43+L45+L47+L49+L62+L64+L66+L67+L68+L69+L72+L74+L77+L78+L79+L80+L86+L89+L82+L91+L84</f>
        <v>313.2</v>
      </c>
      <c r="N93" s="35" t="n">
        <f aca="false">+N39+N41+N43+N45+N47+N49+N62+N64+N66+N67+N68+N69+N72+N74+N77+N78+N79+N80+N86+N89+N82+N91</f>
        <v>656</v>
      </c>
      <c r="P93" s="34" t="n">
        <f aca="false">P35+P37+P39+P41+P43+P45+P47+P49+P62+P64+P66+P67+P68+P69+P72+P74+P77+P78+P79+P80+P86+P89+P82+P91</f>
        <v>191.5</v>
      </c>
      <c r="Q93" s="11" t="s">
        <v>12</v>
      </c>
      <c r="R93" s="34" t="n">
        <f aca="false">R35+R37+R39+R41+R43+R45+R47+R49+R62+R64+R66+R67+R68+R69+R72+R74+R77+R78+R79+R80+R86+R89+R82+R91</f>
        <v>-191.54</v>
      </c>
      <c r="T93" s="34" t="n">
        <f aca="false">T35+T37+T39+T41+T43+T45+T47+T49+T62+T64+T66+T67+T68+T69+T72+T74+T77+T78+T79+T80+T86+T89+T82+T91</f>
        <v>689</v>
      </c>
    </row>
    <row r="94" customFormat="false" ht="12.75" hidden="false" customHeight="false" outlineLevel="0" collapsed="false">
      <c r="E94" s="12"/>
      <c r="F94" s="16"/>
      <c r="G94" s="12"/>
      <c r="H94" s="11"/>
      <c r="I94" s="12"/>
      <c r="J94" s="36"/>
      <c r="K94" s="12"/>
      <c r="L94" s="11"/>
      <c r="N94" s="36"/>
      <c r="P94" s="36"/>
      <c r="R94" s="36"/>
      <c r="T94" s="36"/>
    </row>
    <row r="95" customFormat="false" ht="12.75" hidden="false" customHeight="false" outlineLevel="0" collapsed="false">
      <c r="E95" s="12"/>
      <c r="F95" s="16"/>
      <c r="G95" s="12"/>
      <c r="H95" s="11"/>
      <c r="I95" s="12"/>
      <c r="J95" s="11"/>
      <c r="K95" s="12"/>
      <c r="L95" s="11"/>
      <c r="N95" s="11"/>
      <c r="P95" s="11"/>
      <c r="R95" s="11"/>
      <c r="T95" s="11"/>
    </row>
    <row r="96" customFormat="false" ht="12.75" hidden="false" customHeight="false" outlineLevel="0" collapsed="false">
      <c r="D96" s="19" t="s">
        <v>64</v>
      </c>
      <c r="E96" s="22"/>
      <c r="F96" s="16"/>
      <c r="G96" s="21" t="n">
        <f aca="false">G33</f>
        <v>875</v>
      </c>
      <c r="H96" s="37" t="n">
        <f aca="false">H93+H33</f>
        <v>726</v>
      </c>
      <c r="I96" s="32"/>
      <c r="J96" s="38" t="n">
        <f aca="false">J93+J33</f>
        <v>1661</v>
      </c>
      <c r="K96" s="22"/>
      <c r="L96" s="37" t="n">
        <f aca="false">L93+L33</f>
        <v>838</v>
      </c>
      <c r="N96" s="38" t="n">
        <f aca="false">N93+N33</f>
        <v>1214</v>
      </c>
      <c r="P96" s="37" t="n">
        <f aca="false">P93+P33</f>
        <v>229.6</v>
      </c>
      <c r="R96" s="37" t="n">
        <f aca="false">G96-P96</f>
        <v>645.4</v>
      </c>
      <c r="T96" s="38" t="n">
        <f aca="false">T93+T33</f>
        <v>851</v>
      </c>
    </row>
    <row r="97" customFormat="false" ht="12.75" hidden="false" customHeight="false" outlineLevel="0" collapsed="false">
      <c r="F97" s="16"/>
      <c r="G97" s="12"/>
      <c r="H97" s="12"/>
      <c r="I97" s="12"/>
      <c r="J97" s="12"/>
      <c r="K97" s="12"/>
      <c r="L97" s="12"/>
      <c r="P97" s="12"/>
      <c r="R97" s="12"/>
      <c r="T97" s="12"/>
    </row>
    <row r="98" customFormat="false" ht="12.75" hidden="false" customHeight="false" outlineLevel="0" collapsed="false">
      <c r="B98" s="0" t="s">
        <v>65</v>
      </c>
      <c r="G98" s="16"/>
      <c r="H98" s="16"/>
      <c r="I98" s="16"/>
      <c r="J98" s="16"/>
      <c r="K98" s="16"/>
      <c r="L98" s="16"/>
      <c r="P98" s="16"/>
      <c r="Q98" s="16"/>
      <c r="R98" s="16"/>
      <c r="S98" s="16"/>
      <c r="T98" s="16"/>
    </row>
    <row r="99" customFormat="false" ht="12.75" hidden="false" customHeight="false" outlineLevel="0" collapsed="false">
      <c r="B99" s="0" t="s">
        <v>66</v>
      </c>
      <c r="G99" s="16"/>
      <c r="H99" s="16"/>
      <c r="I99" s="16"/>
      <c r="J99" s="16"/>
      <c r="K99" s="16"/>
      <c r="L99" s="16"/>
    </row>
    <row r="100" customFormat="false" ht="12.75" hidden="false" customHeight="false" outlineLevel="0" collapsed="false">
      <c r="B100" s="0" t="s">
        <v>67</v>
      </c>
      <c r="G100" s="16"/>
      <c r="H100" s="16"/>
      <c r="I100" s="16"/>
      <c r="J100" s="16"/>
      <c r="K100" s="16"/>
      <c r="L100" s="16"/>
    </row>
    <row r="101" customFormat="false" ht="12.75" hidden="false" customHeight="false" outlineLevel="0" collapsed="false">
      <c r="B101" s="0" t="s">
        <v>68</v>
      </c>
      <c r="G101" s="16"/>
      <c r="H101" s="16"/>
      <c r="I101" s="16"/>
      <c r="J101" s="16"/>
      <c r="K101" s="16"/>
      <c r="L101" s="16"/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8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1788000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2433600</v>
      </c>
      <c r="O8" s="54" t="n">
        <f aca="false">+F8/$F$29*$O$29</f>
        <v>137538.461538462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405600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13</v>
      </c>
      <c r="M11" s="78" t="n">
        <f aca="false">K11*L11</f>
        <v>411790.36470922</v>
      </c>
      <c r="O11" s="54" t="n">
        <f aca="false">+F11/$F$29*$O$29</f>
        <v>31200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82087.3032624113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149636.883177305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2845390.36470922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0.0560567376065127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13752.6546382979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781.843971631206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42.3803687943257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71863.1443971631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11.5329361702128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93438.9843971631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175.581503546099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2605390.36470922</v>
      </c>
      <c r="H23" s="83" t="n">
        <f aca="false">SUM(H8:H22)</f>
        <v>1</v>
      </c>
      <c r="J23" s="0" t="s">
        <v>122</v>
      </c>
      <c r="K23" s="39" t="n">
        <v>120000</v>
      </c>
      <c r="L23" s="0" t="n">
        <v>4</v>
      </c>
      <c r="M23" s="39" t="n">
        <f aca="false">K23*L23</f>
        <v>480000</v>
      </c>
      <c r="O23" s="82" t="n">
        <f aca="false">SUM(O8:O22)</f>
        <v>200414.643439171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7</v>
      </c>
      <c r="M24" s="39" t="n">
        <f aca="false">K24*L24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13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1</v>
      </c>
      <c r="M26" s="39" t="n">
        <f aca="false">K26*L26</f>
        <v>216000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13</v>
      </c>
      <c r="M28" s="39" t="n">
        <f aca="false">SUM(M16:M27)</f>
        <v>2028000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13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13</v>
      </c>
      <c r="M34" s="69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1758240</v>
      </c>
      <c r="O8" s="54" t="n">
        <f aca="false">+F8/$F$29*$O$29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86188.2352941177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293040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17</v>
      </c>
      <c r="M11" s="78" t="n">
        <f aca="false">K11*L11</f>
        <v>538495.092312057</v>
      </c>
      <c r="O11" s="54" t="n">
        <f aca="false">+F11/$F$29*$O$29</f>
        <v>17237.6470588235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107344.935035461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195679.001078014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2296735.09231206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0.0733049645623628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17984.2406808511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1022.41134751773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55.4204822695029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93974.8811347518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15.0815319148936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122189.441134752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229.606581560284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2296735.09231206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135102.06425365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0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17</v>
      </c>
      <c r="M28" s="39" t="n">
        <f aca="false">SUM(M16:M27)</f>
        <v>1465200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17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17</v>
      </c>
      <c r="M34" s="69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105600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126720</v>
      </c>
      <c r="O8" s="54" t="n">
        <f aca="false">+F8/$F$29*$O$29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21120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2</v>
      </c>
      <c r="M11" s="78" t="n">
        <f aca="false">K11*L11</f>
        <v>63352.3638014184</v>
      </c>
      <c r="O11" s="54" t="n">
        <f aca="false">+F11/$F$29*$O$29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12628.8158865248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23021.0589503546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190072.363801418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0.00862411347792504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2115.7930212766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120.283687943262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6.52005673758857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11055.8683687943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1.77429787234043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14375.2283687943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27.0125390070922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190072.363801418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95036.1819007092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2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2</v>
      </c>
      <c r="M28" s="39" t="n">
        <f aca="false">SUM(M16:M27)</f>
        <v>105600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2</v>
      </c>
      <c r="M34" s="69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85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94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2517000</v>
      </c>
      <c r="H8" s="54"/>
      <c r="I8" s="77" t="n">
        <f aca="false">+G8/$G$23</f>
        <v>0.641511980219349</v>
      </c>
      <c r="K8" s="74" t="s">
        <v>85</v>
      </c>
      <c r="L8" s="39" t="n">
        <v>0</v>
      </c>
      <c r="M8" s="16" t="n">
        <v>64</v>
      </c>
      <c r="N8" s="78" t="n">
        <f aca="false">N28</f>
        <v>3020400</v>
      </c>
      <c r="O8" s="54" t="n">
        <f aca="false">+G8/$G$29*$O$29</f>
        <v>132473.684210526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503400</v>
      </c>
      <c r="H11" s="54"/>
      <c r="I11" s="77" t="n">
        <f aca="false">+G11/$G$23</f>
        <v>0.12830239604387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19</v>
      </c>
      <c r="N11" s="78" t="n">
        <f aca="false">L11*M11</f>
        <v>903143.250337079</v>
      </c>
      <c r="O11" s="54" t="n">
        <f aca="false">+G11/$G$29*$O$29</f>
        <v>26494.7368421053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224795.252494382</v>
      </c>
      <c r="H12" s="54"/>
      <c r="I12" s="77" t="n">
        <f aca="false">+G12/$G$23</f>
        <v>0.0572939402350336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245855.320449438</v>
      </c>
      <c r="H13" s="54"/>
      <c r="I13" s="77" t="n">
        <f aca="false">+G13/$G$23</f>
        <v>0.0626615548148517</v>
      </c>
      <c r="K13" s="79" t="s">
        <v>94</v>
      </c>
      <c r="L13" s="80"/>
      <c r="M13" s="80"/>
      <c r="N13" s="81" t="n">
        <f aca="false">N8+N11</f>
        <v>3923543.25033708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0.0819775280071778</v>
      </c>
      <c r="H14" s="54"/>
      <c r="I14" s="77" t="n">
        <f aca="false">+G14/$G$23</f>
        <v>2.08937490366992E-008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44025.3961348315</v>
      </c>
      <c r="H15" s="54"/>
      <c r="I15" s="77" t="n">
        <f aca="false">+G15/$G$23</f>
        <v>0.0112208260049253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3859.77528089888</v>
      </c>
      <c r="H17" s="54"/>
      <c r="I17" s="77" t="n">
        <f aca="false">+G17/$G$23</f>
        <v>0.000983747351470454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111847.317932584</v>
      </c>
      <c r="H18" s="54"/>
      <c r="I18" s="77" t="n">
        <f aca="false">+G18/$G$23</f>
        <v>0.0285067121212377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53232.5758202247</v>
      </c>
      <c r="H19" s="54"/>
      <c r="I19" s="77" t="n">
        <f aca="false">+G19/$G$23</f>
        <v>0.0135674752191534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39.6737078651685</v>
      </c>
      <c r="H20" s="54"/>
      <c r="I20" s="77" t="n">
        <f aca="false">+G20/$G$23</f>
        <v>1.01117039710879E-005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193627.481707865</v>
      </c>
      <c r="H21" s="54"/>
      <c r="I21" s="77" t="n">
        <f aca="false">+G21/$G$23</f>
        <v>0.0493501586075878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25860.3748314607</v>
      </c>
      <c r="H22" s="54"/>
      <c r="I22" s="77" t="n">
        <f aca="false">+G22/$G$23</f>
        <v>0.00659107678480133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3923543.25033708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3</v>
      </c>
      <c r="N23" s="39" t="n">
        <f aca="false">L23*M23</f>
        <v>360000</v>
      </c>
      <c r="O23" s="63" t="n">
        <f aca="false">SUM(O8:O22)</f>
        <v>206502.27633353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7</v>
      </c>
      <c r="N24" s="39" t="n">
        <f aca="false">L24*M24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19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19</v>
      </c>
      <c r="N28" s="39" t="n">
        <f aca="false">SUM(N16:N27)*1.2</f>
        <v>3020400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19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19</v>
      </c>
      <c r="N34" s="69" t="n">
        <f aca="false">+L34*M34</f>
        <v>903143.250337079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1569600</v>
      </c>
      <c r="H8" s="54"/>
      <c r="I8" s="77" t="n">
        <f aca="false">+G8/$G$23</f>
        <v>0.665406579012921</v>
      </c>
      <c r="K8" s="74" t="s">
        <v>85</v>
      </c>
      <c r="L8" s="39" t="n">
        <v>0</v>
      </c>
      <c r="M8" s="16" t="n">
        <v>64</v>
      </c>
      <c r="N8" s="78" t="n">
        <f aca="false">N28</f>
        <v>1883520</v>
      </c>
      <c r="O8" s="54" t="n">
        <f aca="false">+G8/$G$29*$O$29</f>
        <v>156960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313920</v>
      </c>
      <c r="H11" s="54"/>
      <c r="I11" s="77" t="n">
        <f aca="false">+G11/$G$23</f>
        <v>0.133081315802584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10</v>
      </c>
      <c r="N11" s="78" t="n">
        <f aca="false">L11*M11</f>
        <v>475338.552808989</v>
      </c>
      <c r="O11" s="54" t="n">
        <f aca="false">+G11/$G$29*$O$29</f>
        <v>31392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118313.290786517</v>
      </c>
      <c r="H12" s="54"/>
      <c r="I12" s="77" t="n">
        <f aca="false">+G12/$G$23</f>
        <v>0.0501570094763107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129397.537078652</v>
      </c>
      <c r="H13" s="54"/>
      <c r="I13" s="77" t="n">
        <f aca="false">+G13/$G$23</f>
        <v>0.0548559967381519</v>
      </c>
      <c r="K13" s="79" t="s">
        <v>94</v>
      </c>
      <c r="L13" s="80"/>
      <c r="M13" s="80"/>
      <c r="N13" s="81" t="n">
        <f aca="false">N8+N11</f>
        <v>2358858.55280899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0.0431460673721988</v>
      </c>
      <c r="H14" s="54"/>
      <c r="I14" s="77" t="n">
        <f aca="false">+G14/$G$23</f>
        <v>1.8291078674819E-008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23171.2611235955</v>
      </c>
      <c r="H15" s="54"/>
      <c r="I15" s="77" t="n">
        <f aca="false">+G15/$G$23</f>
        <v>0.00982308205636263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2031.4606741573</v>
      </c>
      <c r="H17" s="54"/>
      <c r="I17" s="77" t="n">
        <f aca="false">+G17/$G$23</f>
        <v>0.000861204955141625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58867.0094382023</v>
      </c>
      <c r="H18" s="54"/>
      <c r="I18" s="77" t="n">
        <f aca="false">+G18/$G$23</f>
        <v>0.0249557182511439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28017.1451685393</v>
      </c>
      <c r="H19" s="54"/>
      <c r="I19" s="77" t="n">
        <f aca="false">+G19/$G$23</f>
        <v>0.0118774163610513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20.8808988764045</v>
      </c>
      <c r="H20" s="54"/>
      <c r="I20" s="77" t="n">
        <f aca="false">+G20/$G$23</f>
        <v>8.85211995926547E-006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101909.200898876</v>
      </c>
      <c r="H21" s="54"/>
      <c r="I21" s="77" t="n">
        <f aca="false">+G21/$G$23</f>
        <v>0.0432027604103351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13610.7235955056</v>
      </c>
      <c r="H22" s="54"/>
      <c r="I22" s="77" t="n">
        <f aca="false">+G22/$G$23</f>
        <v>0.00577004652495912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2358858.55280899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2</v>
      </c>
      <c r="N23" s="39" t="n">
        <f aca="false">L23*M23</f>
        <v>240000</v>
      </c>
      <c r="O23" s="63" t="n">
        <f aca="false">SUM(O8:O22)</f>
        <v>235885.855280899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4</v>
      </c>
      <c r="N24" s="39" t="n">
        <f aca="false">L24*M24</f>
        <v>624000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10</v>
      </c>
      <c r="N28" s="39" t="n">
        <f aca="false">SUM(N16:N27)*1.2</f>
        <v>1883520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10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10</v>
      </c>
      <c r="N34" s="69" t="n">
        <f aca="false">+L34*M34</f>
        <v>475338.552808989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0</v>
      </c>
      <c r="H8" s="54"/>
      <c r="I8" s="77" t="n">
        <f aca="false">+G8/$G$23</f>
        <v>0</v>
      </c>
      <c r="K8" s="74" t="s">
        <v>85</v>
      </c>
      <c r="L8" s="39" t="n">
        <v>0</v>
      </c>
      <c r="M8" s="16" t="n">
        <v>64</v>
      </c>
      <c r="N8" s="78" t="n">
        <f aca="false">N28</f>
        <v>671040</v>
      </c>
      <c r="O8" s="54" t="n">
        <f aca="false">+G8/$G$29*$O$29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0.531907384123141</v>
      </c>
      <c r="K10" s="74"/>
      <c r="L10" s="16"/>
      <c r="M10" s="16"/>
      <c r="N10" s="75"/>
      <c r="O10" s="54" t="n">
        <f aca="false">+G10/$G$29*$O$29</f>
        <v>69900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111840</v>
      </c>
      <c r="H11" s="54"/>
      <c r="I11" s="77" t="n">
        <f aca="false">+G11/$G$23</f>
        <v>0.106381476824628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8</v>
      </c>
      <c r="N11" s="78" t="n">
        <f aca="false">L11*M11</f>
        <v>380270.842247191</v>
      </c>
      <c r="O11" s="54" t="n">
        <f aca="false">+G11/$G$29*$O$29</f>
        <v>13980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94650.6326292135</v>
      </c>
      <c r="H12" s="54"/>
      <c r="I12" s="77" t="n">
        <f aca="false">+G12/$G$23</f>
        <v>0.0900310629603101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103518.029662921</v>
      </c>
      <c r="H13" s="54"/>
      <c r="I13" s="77" t="n">
        <f aca="false">+G13/$G$23</f>
        <v>0.0984656730464704</v>
      </c>
      <c r="K13" s="79" t="s">
        <v>94</v>
      </c>
      <c r="L13" s="80"/>
      <c r="M13" s="80"/>
      <c r="N13" s="81" t="n">
        <f aca="false">N8+N11</f>
        <v>1051310.84224719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0.0345168538977591</v>
      </c>
      <c r="H14" s="54"/>
      <c r="I14" s="77" t="n">
        <f aca="false">+G14/$G$23</f>
        <v>3.28322057670202E-008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18537.0088988764</v>
      </c>
      <c r="H15" s="54"/>
      <c r="I15" s="77" t="n">
        <f aca="false">+G15/$G$23</f>
        <v>0.0176322816753733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1625.16853932584</v>
      </c>
      <c r="H17" s="54"/>
      <c r="I17" s="77" t="n">
        <f aca="false">+G17/$G$23</f>
        <v>0.00154584968975686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47093.6075505618</v>
      </c>
      <c r="H18" s="54"/>
      <c r="I18" s="77" t="n">
        <f aca="false">+G18/$G$23</f>
        <v>0.0447951316186358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22413.7161348315</v>
      </c>
      <c r="H19" s="54"/>
      <c r="I19" s="77" t="n">
        <f aca="false">+G19/$G$23</f>
        <v>0.0213197802534994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16.7047191011236</v>
      </c>
      <c r="H20" s="54"/>
      <c r="I20" s="77" t="n">
        <f aca="false">+G20/$G$23</f>
        <v>1.58894195986955E-005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81527.3607191012</v>
      </c>
      <c r="H21" s="54"/>
      <c r="I21" s="77" t="n">
        <f aca="false">+G21/$G$23</f>
        <v>0.0775482925153091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10888.5788764045</v>
      </c>
      <c r="H22" s="54"/>
      <c r="I22" s="77" t="n">
        <f aca="false">+G22/$G$23</f>
        <v>0.0103571450410708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1051310.84224719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131413.855280899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39" t="n">
        <f aca="false">SUM(N16:N27)*1.2</f>
        <v>671040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8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8</v>
      </c>
      <c r="N34" s="69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4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150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264000</v>
      </c>
      <c r="H8" s="54"/>
      <c r="I8" s="77" t="n">
        <f aca="false">+G8/$G$23</f>
        <v>0.476130980082308</v>
      </c>
      <c r="K8" s="74" t="s">
        <v>85</v>
      </c>
      <c r="L8" s="39" t="n">
        <v>0</v>
      </c>
      <c r="M8" s="16" t="n">
        <v>64</v>
      </c>
      <c r="N8" s="78" t="n">
        <f aca="false">N28</f>
        <v>316800</v>
      </c>
      <c r="O8" s="54" t="n">
        <f aca="false">+G8/$G$29*$O$29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52800</v>
      </c>
      <c r="H11" s="54"/>
      <c r="I11" s="77" t="n">
        <f aca="false">+G11/$G$23</f>
        <v>0.0952261960164616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5</v>
      </c>
      <c r="N11" s="78" t="n">
        <f aca="false">L11*M11</f>
        <v>237669.276404494</v>
      </c>
      <c r="O11" s="54" t="n">
        <f aca="false">+G11/$G$29*$O$29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59156.6453932584</v>
      </c>
      <c r="H12" s="54"/>
      <c r="I12" s="77" t="n">
        <f aca="false">+G12/$G$23</f>
        <v>0.106690574051037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64698.7685393258</v>
      </c>
      <c r="H13" s="54"/>
      <c r="I13" s="77" t="n">
        <f aca="false">+G13/$G$23</f>
        <v>0.116685939677074</v>
      </c>
      <c r="K13" s="79" t="s">
        <v>94</v>
      </c>
      <c r="L13" s="80"/>
      <c r="M13" s="80"/>
      <c r="N13" s="81" t="n">
        <f aca="false">N8+N11</f>
        <v>554469.276404494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0.0215730336860994</v>
      </c>
      <c r="H14" s="54"/>
      <c r="I14" s="77" t="n">
        <f aca="false">+G14/$G$23</f>
        <v>3.89075366375423E-008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11585.6305617978</v>
      </c>
      <c r="H15" s="54"/>
      <c r="I15" s="77" t="n">
        <f aca="false">+G15/$G$23</f>
        <v>0.0208949910388648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1015.73033707865</v>
      </c>
      <c r="H17" s="54"/>
      <c r="I17" s="77" t="n">
        <f aca="false">+G17/$G$23</f>
        <v>0.00183189651853254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29433.5047191011</v>
      </c>
      <c r="H18" s="54"/>
      <c r="I18" s="77" t="n">
        <f aca="false">+G18/$G$23</f>
        <v>0.0530841039741017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14008.5725842697</v>
      </c>
      <c r="H19" s="54"/>
      <c r="I19" s="77" t="n">
        <f aca="false">+G19/$G$23</f>
        <v>0.0252648310382669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10.4404494382022</v>
      </c>
      <c r="H20" s="54"/>
      <c r="I20" s="77" t="n">
        <f aca="false">+G20/$G$23</f>
        <v>1.88296266042084E-005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50954.6004494382</v>
      </c>
      <c r="H21" s="54"/>
      <c r="I21" s="77" t="n">
        <f aca="false">+G21/$G$23</f>
        <v>0.0918979691352024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6805.36179775281</v>
      </c>
      <c r="H22" s="54"/>
      <c r="I22" s="77" t="n">
        <f aca="false">+G22/$G$23</f>
        <v>0.0122736499340104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554469.276404494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110893.855280899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5</v>
      </c>
      <c r="N28" s="39" t="n">
        <f aca="false">SUM(N16:N27)*1.2</f>
        <v>316800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5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5</v>
      </c>
      <c r="N34" s="69" t="n">
        <f aca="false">+L34*M34</f>
        <v>237669.276404494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151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85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94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122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163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990504</v>
      </c>
      <c r="H8" s="74" t="s">
        <v>85</v>
      </c>
      <c r="I8" s="39" t="n">
        <v>0</v>
      </c>
      <c r="J8" s="16"/>
      <c r="K8" s="78" t="n">
        <f aca="false">K28</f>
        <v>1128000</v>
      </c>
      <c r="O8" s="54" t="n">
        <f aca="false">+G8/$G$29*$O$29</f>
        <v>141500.571428571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307603.492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7</v>
      </c>
      <c r="K11" s="78" t="n">
        <f aca="false">I11*J11</f>
        <v>218774.55488</v>
      </c>
      <c r="O11" s="54" t="n">
        <f aca="false">+G11/$G$29*$O$29</f>
        <v>43943.356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15079.70912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66723.29216</v>
      </c>
      <c r="H13" s="79" t="s">
        <v>94</v>
      </c>
      <c r="I13" s="58"/>
      <c r="J13" s="80"/>
      <c r="K13" s="81" t="n">
        <f aca="false">K8+K11</f>
        <v>1346774.55488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113285.75552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1439.74208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421.93088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4302.68608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11725.24416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4428.29408000001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632.613440000002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1367.9008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1516882.04688</v>
      </c>
      <c r="H23" s="0" t="s">
        <v>122</v>
      </c>
      <c r="I23" s="39" t="n">
        <v>120000</v>
      </c>
      <c r="J23" s="0" t="n">
        <v>3</v>
      </c>
      <c r="K23" s="0" t="n">
        <f aca="false">I23*J23</f>
        <v>360000</v>
      </c>
      <c r="O23" s="63" t="n">
        <f aca="false">SUM(O8:O22)</f>
        <v>216697.435268571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7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1</v>
      </c>
      <c r="K26" s="0" t="n">
        <f aca="false">I26*J26</f>
        <v>216000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7</v>
      </c>
      <c r="K34" s="69" t="n">
        <f aca="false">+I34*J34</f>
        <v>218774.55488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69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70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71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19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55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21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16"/>
    </row>
    <row r="20" customFormat="false" ht="12.75" hidden="true" customHeight="false" outlineLevel="0" collapsed="false">
      <c r="B20" s="0" t="s">
        <v>22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72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24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27</v>
      </c>
      <c r="H26" s="26" t="n">
        <v>14</v>
      </c>
      <c r="I26" s="27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5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5"/>
      <c r="T27" s="14"/>
    </row>
    <row r="28" customFormat="false" ht="12.75" hidden="false" customHeight="false" outlineLevel="0" collapsed="false">
      <c r="B28" s="0" t="s">
        <v>28</v>
      </c>
      <c r="E28" s="0" t="s">
        <v>12</v>
      </c>
      <c r="H28" s="14" t="n">
        <v>5.7</v>
      </c>
      <c r="I28" s="16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12</v>
      </c>
      <c r="N29" s="14"/>
      <c r="P29" s="11"/>
      <c r="R29" s="25"/>
      <c r="T29" s="14"/>
    </row>
    <row r="30" customFormat="false" ht="12.75" hidden="false" customHeight="false" outlineLevel="0" collapsed="false">
      <c r="B30" s="0" t="s">
        <v>29</v>
      </c>
      <c r="H30" s="14" t="n">
        <v>11.4</v>
      </c>
      <c r="I30" s="16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30</v>
      </c>
      <c r="H32" s="14" t="n">
        <v>11.4</v>
      </c>
      <c r="I32" s="16"/>
      <c r="J32" s="15" t="s">
        <v>12</v>
      </c>
      <c r="L32" s="26" t="n">
        <v>7.3</v>
      </c>
      <c r="N32" s="15"/>
      <c r="P32" s="11" t="n">
        <v>2.3</v>
      </c>
      <c r="R32" s="2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31</v>
      </c>
      <c r="H34" s="14" t="n">
        <v>1.2</v>
      </c>
      <c r="I34" s="16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5"/>
      <c r="T35" s="14"/>
    </row>
    <row r="36" customFormat="false" ht="12.75" hidden="true" customHeight="false" outlineLevel="0" collapsed="false">
      <c r="B36" s="0" t="s">
        <v>32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33</v>
      </c>
      <c r="H38" s="14"/>
      <c r="I38" s="16"/>
      <c r="J38" s="15" t="s">
        <v>12</v>
      </c>
      <c r="L38" s="14"/>
      <c r="M38" s="0" t="s">
        <v>12</v>
      </c>
      <c r="N38" s="14"/>
      <c r="P38" s="11"/>
      <c r="R38" s="25"/>
      <c r="T38" s="14"/>
    </row>
    <row r="39" customFormat="false" ht="12.75" hidden="false" customHeight="false" outlineLevel="0" collapsed="false">
      <c r="C39" s="0" t="s">
        <v>34</v>
      </c>
      <c r="H39" s="14" t="n">
        <v>10.2</v>
      </c>
      <c r="I39" s="16"/>
      <c r="J39" s="13" t="s">
        <v>12</v>
      </c>
      <c r="L39" s="26" t="n">
        <v>7.6</v>
      </c>
      <c r="N39" s="11"/>
      <c r="P39" s="11" t="n">
        <f aca="false">(T39/$T$49)*$P$49</f>
        <v>5.35652173913044</v>
      </c>
      <c r="R39" s="2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35</v>
      </c>
      <c r="H40" s="14" t="n">
        <v>8.6</v>
      </c>
      <c r="I40" s="16"/>
      <c r="J40" s="13" t="s">
        <v>12</v>
      </c>
      <c r="L40" s="26" t="n">
        <v>6</v>
      </c>
      <c r="N40" s="11"/>
      <c r="P40" s="11" t="n">
        <f aca="false">(T40/$T$49)*$P$49</f>
        <v>6.52826086956522</v>
      </c>
      <c r="R40" s="2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36</v>
      </c>
      <c r="H41" s="14" t="n">
        <v>5.9</v>
      </c>
      <c r="I41" s="16"/>
      <c r="J41" s="13" t="s">
        <v>12</v>
      </c>
      <c r="L41" s="26" t="n">
        <v>4</v>
      </c>
      <c r="N41" s="11"/>
      <c r="P41" s="11" t="n">
        <f aca="false">(T41/$T$49)*$P$49</f>
        <v>4.85434782608696</v>
      </c>
      <c r="R41" s="2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37</v>
      </c>
      <c r="H42" s="14" t="n">
        <v>3.1</v>
      </c>
      <c r="I42" s="16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38</v>
      </c>
      <c r="H43" s="14" t="n">
        <v>2.7</v>
      </c>
      <c r="I43" s="16"/>
      <c r="J43" s="15" t="s">
        <v>12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39</v>
      </c>
      <c r="H44" s="14" t="n">
        <v>2.7</v>
      </c>
      <c r="I44" s="16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40</v>
      </c>
      <c r="H45" s="14" t="n">
        <v>2.7</v>
      </c>
      <c r="I45" s="16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41</v>
      </c>
      <c r="H46" s="17" t="n">
        <v>3.3</v>
      </c>
      <c r="I46" s="16"/>
      <c r="J46" s="29" t="s">
        <v>12</v>
      </c>
      <c r="L46" s="17" t="n">
        <v>2.9</v>
      </c>
      <c r="N46" s="18"/>
      <c r="P46" s="11" t="n">
        <f aca="false">(T46/$T$49)*$P$49</f>
        <v>2.34347826086957</v>
      </c>
      <c r="R46" s="25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42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5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43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5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44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45</v>
      </c>
      <c r="H51" s="14" t="n">
        <v>10.7</v>
      </c>
      <c r="I51" s="16"/>
      <c r="J51" s="13" t="n">
        <v>39</v>
      </c>
      <c r="L51" s="14" t="n">
        <v>4.1</v>
      </c>
      <c r="M51" s="0" t="s">
        <v>12</v>
      </c>
      <c r="N51" s="33" t="n">
        <v>105</v>
      </c>
      <c r="P51" s="11" t="n">
        <v>1.6</v>
      </c>
      <c r="R51" s="25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46</v>
      </c>
      <c r="H53" s="14" t="n">
        <v>27.5</v>
      </c>
      <c r="I53" s="16"/>
      <c r="J53" s="13" t="n">
        <v>175</v>
      </c>
      <c r="L53" s="26" t="n">
        <v>29</v>
      </c>
      <c r="M53" s="0" t="s">
        <v>12</v>
      </c>
      <c r="N53" s="33"/>
      <c r="P53" s="11" t="n">
        <v>36</v>
      </c>
      <c r="R53" s="25" t="n">
        <f aca="false">G53-P53</f>
        <v>-36</v>
      </c>
      <c r="T53" s="33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47</v>
      </c>
      <c r="H54" s="14" t="n">
        <v>48.9</v>
      </c>
      <c r="I54" s="16"/>
      <c r="J54" s="15" t="s">
        <v>12</v>
      </c>
      <c r="L54" s="26" t="n">
        <v>55</v>
      </c>
      <c r="N54" s="33"/>
      <c r="P54" s="11" t="n">
        <v>50.1</v>
      </c>
      <c r="R54" s="25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48</v>
      </c>
      <c r="H55" s="14" t="n">
        <v>1.1</v>
      </c>
      <c r="I55" s="16"/>
      <c r="J55" s="15" t="s">
        <v>12</v>
      </c>
      <c r="L55" s="14" t="n">
        <v>7.7</v>
      </c>
      <c r="N55" s="33"/>
      <c r="P55" s="11" t="n">
        <v>0</v>
      </c>
      <c r="R55" s="25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49</v>
      </c>
      <c r="H56" s="14" t="n">
        <v>0.8</v>
      </c>
      <c r="I56" s="16"/>
      <c r="J56" s="15" t="s">
        <v>12</v>
      </c>
      <c r="L56" s="14" t="n">
        <v>5.2</v>
      </c>
      <c r="N56" s="33"/>
      <c r="P56" s="11" t="n">
        <v>5.9</v>
      </c>
      <c r="R56" s="25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5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50</v>
      </c>
      <c r="H59" s="14" t="n">
        <v>2.8</v>
      </c>
      <c r="I59" s="16"/>
      <c r="J59" s="15" t="n">
        <v>0</v>
      </c>
      <c r="L59" s="14" t="n">
        <v>3.5</v>
      </c>
      <c r="M59" s="0" t="s">
        <v>12</v>
      </c>
      <c r="N59" s="33" t="n">
        <v>96</v>
      </c>
      <c r="P59" s="11" t="n">
        <v>4.8</v>
      </c>
      <c r="R59" s="25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51</v>
      </c>
      <c r="H61" s="14" t="n">
        <v>39.3</v>
      </c>
      <c r="I61" s="16"/>
      <c r="J61" s="13" t="n">
        <v>90</v>
      </c>
      <c r="L61" s="14" t="n">
        <v>10.1</v>
      </c>
      <c r="M61" s="0" t="s">
        <v>12</v>
      </c>
      <c r="N61" s="33" t="n">
        <v>116</v>
      </c>
      <c r="P61" s="11" t="n">
        <v>9.5</v>
      </c>
      <c r="R61" s="25" t="n">
        <f aca="false">G61-P61</f>
        <v>-9.5</v>
      </c>
      <c r="T61" s="33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5"/>
      <c r="T62" s="33"/>
      <c r="V62" s="0" t="s">
        <v>12</v>
      </c>
    </row>
    <row r="63" customFormat="false" ht="12.75" hidden="false" customHeight="false" outlineLevel="0" collapsed="false">
      <c r="B63" s="0" t="s">
        <v>52</v>
      </c>
      <c r="H63" s="14"/>
      <c r="I63" s="16"/>
      <c r="J63" s="33"/>
      <c r="L63" s="14"/>
      <c r="M63" s="0" t="s">
        <v>12</v>
      </c>
      <c r="N63" s="33"/>
      <c r="P63" s="11"/>
      <c r="R63" s="25"/>
      <c r="T63" s="33"/>
    </row>
    <row r="64" customFormat="false" ht="12.75" hidden="false" customHeight="false" outlineLevel="0" collapsed="false">
      <c r="C64" s="0" t="s">
        <v>53</v>
      </c>
      <c r="H64" s="26" t="n">
        <f aca="false">15.3+0.7</f>
        <v>16</v>
      </c>
      <c r="I64" s="16"/>
      <c r="J64" s="33"/>
      <c r="L64" s="26" t="n">
        <v>6</v>
      </c>
      <c r="N64" s="33"/>
      <c r="P64" s="11" t="n">
        <v>5</v>
      </c>
      <c r="R64" s="25" t="n">
        <f aca="false">G64-P64</f>
        <v>-5</v>
      </c>
      <c r="T64" s="33"/>
    </row>
    <row r="65" customFormat="false" ht="12.75" hidden="false" customHeight="false" outlineLevel="0" collapsed="false">
      <c r="C65" s="0" t="s">
        <v>54</v>
      </c>
      <c r="H65" s="26" t="n">
        <v>1</v>
      </c>
      <c r="I65" s="27"/>
      <c r="J65" s="33"/>
      <c r="L65" s="14" t="n">
        <v>0.8</v>
      </c>
      <c r="N65" s="33"/>
      <c r="P65" s="11" t="n">
        <v>1</v>
      </c>
      <c r="R65" s="25" t="n">
        <f aca="false">G65-P65</f>
        <v>-1</v>
      </c>
      <c r="T65" s="33"/>
    </row>
    <row r="66" customFormat="false" ht="12.75" hidden="false" customHeight="false" outlineLevel="0" collapsed="false">
      <c r="C66" s="0" t="s">
        <v>44</v>
      </c>
      <c r="H66" s="26" t="n">
        <v>1</v>
      </c>
      <c r="I66" s="27"/>
      <c r="J66" s="33"/>
      <c r="L66" s="26" t="n">
        <v>0.1</v>
      </c>
      <c r="N66" s="33"/>
      <c r="P66" s="11" t="n">
        <v>1</v>
      </c>
      <c r="R66" s="25" t="n">
        <f aca="false">G66-P66</f>
        <v>-1</v>
      </c>
      <c r="T66" s="33"/>
    </row>
    <row r="67" customFormat="false" ht="12.75" hidden="false" customHeight="false" outlineLevel="0" collapsed="false">
      <c r="C67" s="0" t="s">
        <v>55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5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5"/>
      <c r="T68" s="33"/>
    </row>
    <row r="69" customFormat="false" ht="12.75" hidden="true" customHeight="false" outlineLevel="0" collapsed="false">
      <c r="B69" s="0" t="s">
        <v>56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5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true" customHeight="false" outlineLevel="0" collapsed="false">
      <c r="B71" s="0" t="s">
        <v>57</v>
      </c>
      <c r="H71" s="15" t="n">
        <v>0</v>
      </c>
      <c r="I71" s="16"/>
      <c r="J71" s="33"/>
      <c r="L71" s="14" t="n">
        <v>20.9</v>
      </c>
      <c r="N71" s="33"/>
      <c r="P71" s="11"/>
      <c r="R71" s="25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5"/>
      <c r="T72" s="33"/>
    </row>
    <row r="73" customFormat="false" ht="12.75" hidden="false" customHeight="false" outlineLevel="0" collapsed="false">
      <c r="B73" s="0" t="s">
        <v>58</v>
      </c>
      <c r="H73" s="14" t="n">
        <v>0.1</v>
      </c>
      <c r="I73" s="16"/>
      <c r="J73" s="33" t="n">
        <v>0</v>
      </c>
      <c r="L73" s="26" t="n">
        <v>13.6</v>
      </c>
      <c r="N73" s="33" t="n">
        <f aca="false">29+29+10+37+24</f>
        <v>129</v>
      </c>
      <c r="P73" s="11" t="n">
        <f aca="false">4.3+1.1+1</f>
        <v>6.4</v>
      </c>
      <c r="R73" s="25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5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</row>
    <row r="76" customFormat="false" ht="12.75" hidden="false" customHeight="false" outlineLevel="0" collapsed="false">
      <c r="B76" s="0" t="s">
        <v>59</v>
      </c>
      <c r="H76" s="14"/>
      <c r="I76" s="16"/>
      <c r="J76" s="33"/>
      <c r="L76" s="11"/>
      <c r="N76" s="33"/>
      <c r="P76" s="11" t="n">
        <f aca="false">9+2.4+2</f>
        <v>13.4</v>
      </c>
      <c r="R76" s="25" t="n">
        <f aca="false">G76-P76</f>
        <v>-13.4</v>
      </c>
      <c r="T76" s="33"/>
      <c r="U76" s="0" t="s">
        <v>60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5"/>
      <c r="T77" s="33"/>
      <c r="U77" s="0" t="s">
        <v>61</v>
      </c>
    </row>
    <row r="78" customFormat="false" ht="12.75" hidden="false" customHeight="false" outlineLevel="0" collapsed="false">
      <c r="B78" s="0" t="s">
        <v>62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5"/>
      <c r="T79" s="17"/>
    </row>
    <row r="80" customFormat="false" ht="12.75" hidden="false" customHeight="false" outlineLevel="0" collapsed="false">
      <c r="D80" s="19" t="s">
        <v>63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12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64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65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66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67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68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164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1206504</v>
      </c>
      <c r="H8" s="74" t="s">
        <v>85</v>
      </c>
      <c r="I8" s="39" t="n">
        <v>0</v>
      </c>
      <c r="J8" s="16"/>
      <c r="K8" s="78" t="n">
        <f aca="false">K28</f>
        <v>1344000</v>
      </c>
      <c r="O8" s="54" t="n">
        <f aca="false">+G8/$G$29*$O$29</f>
        <v>134056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374671.492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9</v>
      </c>
      <c r="K11" s="78" t="n">
        <f aca="false">I11*J11</f>
        <v>281281.57056</v>
      </c>
      <c r="O11" s="54" t="n">
        <f aca="false">+G11/$G$29*$O$29</f>
        <v>41630.1657777778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19388.19744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85787.08992</v>
      </c>
      <c r="H13" s="79" t="s">
        <v>94</v>
      </c>
      <c r="I13" s="58"/>
      <c r="J13" s="80"/>
      <c r="K13" s="81" t="n">
        <f aca="false">K8+K11</f>
        <v>1625281.57056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145653.11424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1851.09696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542.48256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5532.02496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15075.31392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5693.52096000001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1758.7296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1862457.06256</v>
      </c>
      <c r="H23" s="0" t="s">
        <v>122</v>
      </c>
      <c r="I23" s="39" t="n">
        <v>120000</v>
      </c>
      <c r="J23" s="0" t="n">
        <v>5</v>
      </c>
      <c r="K23" s="0" t="n">
        <f aca="false">I23*J23</f>
        <v>600000</v>
      </c>
      <c r="O23" s="63" t="n">
        <f aca="false">SUM(O8:O22)</f>
        <v>206939.673617778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9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2</v>
      </c>
      <c r="K26" s="0" t="n">
        <f aca="false">I26*J26</f>
        <v>432000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9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9</v>
      </c>
      <c r="K34" s="69" t="n">
        <f aca="false">+I34*J34</f>
        <v>281281.57056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165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v>0</v>
      </c>
      <c r="H8" s="74" t="s">
        <v>85</v>
      </c>
      <c r="I8" s="39" t="n">
        <v>0</v>
      </c>
      <c r="J8" s="16"/>
      <c r="K8" s="78" t="n">
        <f aca="false">K28</f>
        <v>946080</v>
      </c>
      <c r="O8" s="54" t="n">
        <f aca="false">+G8/$G$29*$O$29</f>
        <v>0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71672.7272727273</v>
      </c>
      <c r="AK10" s="89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G10*0.3105</f>
        <v>244798.2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11</v>
      </c>
      <c r="K11" s="78" t="n">
        <f aca="false">I11*J11</f>
        <v>343788.58624</v>
      </c>
      <c r="O11" s="54" t="n">
        <f aca="false">+G11/$G$29*$O$29</f>
        <v>22254.3818181818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23696.68576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104850.88768</v>
      </c>
      <c r="H13" s="79" t="s">
        <v>94</v>
      </c>
      <c r="I13" s="58"/>
      <c r="J13" s="80"/>
      <c r="K13" s="81" t="n">
        <f aca="false">K8+K11</f>
        <v>1289868.58624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178020.47296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2262.45184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663.03424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6761.36384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18425.38368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6958.74784000002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2149.5584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1376986.78624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n">
        <f aca="false">SUM(O8:O22)</f>
        <v>125180.616930909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11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11</v>
      </c>
      <c r="K34" s="69" t="n">
        <f aca="false">+I34*J34</f>
        <v>343788.58624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166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0</v>
      </c>
      <c r="H8" s="74" t="s">
        <v>85</v>
      </c>
      <c r="I8" s="39" t="n">
        <v>0</v>
      </c>
      <c r="J8" s="16"/>
      <c r="K8" s="78" t="n">
        <f aca="false">K28</f>
        <v>0</v>
      </c>
      <c r="O8" s="54" t="e">
        <f aca="false">+G8/$G$29*$O$29</f>
        <v>#DIV/0!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e">
        <f aca="false">+G9/$G$29*$O$29</f>
        <v>#DIV/0!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e">
        <f aca="false">+G10/$G$29*$O$29</f>
        <v>#DIV/0!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0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0</v>
      </c>
      <c r="K11" s="78" t="n">
        <f aca="false">I11*J11</f>
        <v>0</v>
      </c>
      <c r="O11" s="54" t="e">
        <f aca="false">+G11/$G$29*$O$29</f>
        <v>#DIV/0!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0</v>
      </c>
      <c r="H12" s="74"/>
      <c r="J12" s="16"/>
      <c r="K12" s="75"/>
      <c r="O12" s="54" t="e">
        <f aca="false">+G12/$G$29*$O$29</f>
        <v>#DIV/0!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0</v>
      </c>
      <c r="H13" s="79" t="s">
        <v>94</v>
      </c>
      <c r="I13" s="58"/>
      <c r="J13" s="80"/>
      <c r="K13" s="81" t="n">
        <f aca="false">K8+K11</f>
        <v>0</v>
      </c>
      <c r="O13" s="54" t="e">
        <f aca="false">+G13/$G$29*$O$29</f>
        <v>#DIV/0!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0</v>
      </c>
      <c r="O14" s="54" t="e">
        <f aca="false">+G14/$G$29*$O$29</f>
        <v>#DIV/0!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0</v>
      </c>
      <c r="O15" s="54" t="e">
        <f aca="false">+G15/$G$29*$O$29</f>
        <v>#DIV/0!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e">
        <f aca="false">+G16/$G$29*$O$29</f>
        <v>#DIV/0!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0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e">
        <f aca="false">+G17/$G$29*$O$29</f>
        <v>#DIV/0!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0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e">
        <f aca="false">+G18/$G$29*$O$29</f>
        <v>#DIV/0!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0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e">
        <f aca="false">+G19/$G$29*$O$29</f>
        <v>#DIV/0!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e">
        <f aca="false">+G20/$G$29*$O$29</f>
        <v>#DIV/0!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0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e">
        <f aca="false">+G21/$G$29*$O$29</f>
        <v>#DIV/0!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0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e">
        <f aca="false">+G22/$G$29*$O$29</f>
        <v>#DIV/0!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0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e">
        <f aca="false">SUM(O8:O22)</f>
        <v>#DIV/0!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0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0</v>
      </c>
      <c r="K34" s="69" t="n">
        <f aca="false">+I34*J34</f>
        <v>0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57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94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104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170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153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9</v>
      </c>
      <c r="C25" s="94"/>
      <c r="E25" s="94" t="n">
        <v>5</v>
      </c>
      <c r="F25" s="95" t="n">
        <v>6</v>
      </c>
      <c r="I25" s="19" t="s">
        <v>129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I27" s="68" t="s">
        <v>130</v>
      </c>
      <c r="J27" s="69" t="s">
        <v>131</v>
      </c>
      <c r="K27" s="69" t="s">
        <v>132</v>
      </c>
      <c r="L27" s="69" t="s">
        <v>75</v>
      </c>
      <c r="M27" s="69" t="s">
        <v>133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6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5</v>
      </c>
      <c r="F29" s="94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179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85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700000</v>
      </c>
      <c r="J14" s="79" t="s">
        <v>94</v>
      </c>
      <c r="K14" s="58"/>
      <c r="L14" s="58"/>
      <c r="M14" s="59" t="n">
        <f aca="false">SUM(M9:M12)</f>
        <v>6773780.14563107</v>
      </c>
      <c r="N14" s="16"/>
      <c r="O14" s="79" t="s">
        <v>94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7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182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182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107</v>
      </c>
      <c r="K19" s="39" t="n">
        <v>49200</v>
      </c>
      <c r="L19" s="0" t="n">
        <v>2</v>
      </c>
      <c r="M19" s="39" t="n">
        <f aca="false">K19*L19</f>
        <v>98400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2</v>
      </c>
      <c r="M20" s="39" t="n">
        <f aca="false">K20*L20</f>
        <v>115200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110</v>
      </c>
      <c r="K21" s="39" t="n">
        <v>62400</v>
      </c>
      <c r="L21" s="0" t="n">
        <v>7</v>
      </c>
      <c r="M21" s="39" t="n">
        <f aca="false">K21*L21</f>
        <v>436800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184</v>
      </c>
      <c r="K22" s="39" t="n">
        <v>74400</v>
      </c>
      <c r="L22" s="0" t="n">
        <v>11</v>
      </c>
      <c r="M22" s="39" t="n">
        <f aca="false">K22*L22</f>
        <v>818400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185</v>
      </c>
      <c r="K23" s="39" t="n">
        <v>90000</v>
      </c>
      <c r="L23" s="0" t="n">
        <v>9</v>
      </c>
      <c r="M23" s="39" t="n">
        <f aca="false">K23*L23</f>
        <v>810000</v>
      </c>
      <c r="O23" s="0" t="s">
        <v>185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SUM(L17:L19,L21:L27)</f>
        <v>43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4</v>
      </c>
      <c r="M26" s="39" t="n">
        <f aca="false">K26*L26</f>
        <v>864000</v>
      </c>
      <c r="O26" s="0" t="s">
        <v>188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2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8" t="s">
        <v>5</v>
      </c>
      <c r="C3" s="98"/>
      <c r="D3" s="98"/>
      <c r="E3" s="98"/>
      <c r="F3" s="98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79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85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57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94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104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122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94"/>
      <c r="E25" s="94" t="n">
        <v>16</v>
      </c>
      <c r="F25" s="94" t="n">
        <v>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16</v>
      </c>
      <c r="F29" s="94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129</v>
      </c>
      <c r="J31" s="39"/>
      <c r="M31" s="0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6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96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85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330000</v>
      </c>
      <c r="J14" s="79" t="s">
        <v>94</v>
      </c>
      <c r="K14" s="58"/>
      <c r="L14" s="58"/>
      <c r="M14" s="59" t="n">
        <f aca="false">SUM(M9:M12)</f>
        <v>6675923.61553398</v>
      </c>
      <c r="N14" s="16"/>
      <c r="O14" s="79" t="s">
        <v>94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7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182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182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107</v>
      </c>
      <c r="K19" s="39" t="n">
        <v>49200</v>
      </c>
      <c r="L19" s="0" t="n">
        <v>1</v>
      </c>
      <c r="M19" s="39" t="n">
        <f aca="false">K19*L19</f>
        <v>49200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3</v>
      </c>
      <c r="M20" s="39" t="n">
        <f aca="false">K20*L20</f>
        <v>172800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110</v>
      </c>
      <c r="K21" s="39" t="n">
        <v>62400</v>
      </c>
      <c r="L21" s="0" t="n">
        <v>12</v>
      </c>
      <c r="M21" s="39" t="n">
        <f aca="false">K21*L21</f>
        <v>748800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184</v>
      </c>
      <c r="K22" s="39" t="n">
        <v>74400</v>
      </c>
      <c r="L22" s="0" t="n">
        <v>8</v>
      </c>
      <c r="M22" s="39" t="n">
        <f aca="false">K22*L22</f>
        <v>595200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185</v>
      </c>
      <c r="K23" s="39" t="n">
        <v>90000</v>
      </c>
      <c r="L23" s="0" t="n">
        <v>10</v>
      </c>
      <c r="M23" s="39" t="n">
        <f aca="false">K23*L23</f>
        <v>900000</v>
      </c>
      <c r="O23" s="0" t="s">
        <v>185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+Q28</f>
        <v>6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3</v>
      </c>
      <c r="M26" s="39" t="n">
        <f aca="false">K26*L26</f>
        <v>648000</v>
      </c>
      <c r="O26" s="0" t="s">
        <v>188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0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19"/>
      <c r="J7" s="74"/>
      <c r="K7" s="39"/>
      <c r="L7" s="39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57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94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3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107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113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9</v>
      </c>
      <c r="C25" s="54"/>
      <c r="E25" s="66" t="n">
        <v>111</v>
      </c>
      <c r="F25" s="54"/>
      <c r="G25" s="66" t="n">
        <v>12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54"/>
      <c r="G27" s="66" t="n">
        <v>0</v>
      </c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190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'[10]Team Report'!BA43</f>
        <v>42687168.7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201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17" min="17" style="0" width="9.14"/>
    <col collapsed="false" customWidth="false" hidden="true" outlineLevel="0" max="71" min="18" style="0" width="9.06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9"/>
      <c r="K4" s="100"/>
      <c r="L4" s="101"/>
      <c r="M4" s="100"/>
      <c r="N4" s="100"/>
      <c r="O4" s="100"/>
      <c r="P4" s="102"/>
    </row>
    <row r="5" customFormat="false" ht="12.75" hidden="false" customHeight="false" outlineLevel="0" collapsed="false">
      <c r="J5" s="103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J6" s="103"/>
      <c r="K6" s="16"/>
      <c r="L6" s="39" t="s">
        <v>74</v>
      </c>
      <c r="M6" s="16"/>
      <c r="N6" s="16" t="s">
        <v>75</v>
      </c>
      <c r="O6" s="16"/>
      <c r="P6" s="28" t="s">
        <v>202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104"/>
      <c r="K7" s="39"/>
      <c r="M7" s="39"/>
      <c r="N7" s="39"/>
      <c r="O7" s="39"/>
      <c r="P7" s="105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3" t="s">
        <v>85</v>
      </c>
      <c r="K8" s="39"/>
      <c r="L8" s="39" t="n">
        <v>0</v>
      </c>
      <c r="M8" s="39"/>
      <c r="N8" s="39" t="n">
        <v>4</v>
      </c>
      <c r="O8" s="39"/>
      <c r="P8" s="105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((C9/9)*12)*1.2</f>
        <v>0</v>
      </c>
      <c r="F9" s="54"/>
      <c r="J9" s="103"/>
      <c r="K9" s="39"/>
      <c r="M9" s="39"/>
      <c r="N9" s="39"/>
      <c r="O9" s="39"/>
      <c r="P9" s="105"/>
      <c r="Q9" s="54" t="n">
        <f aca="false">+F9/$F$29*$Q$29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((C10/9)*12)*1.2</f>
        <v>0</v>
      </c>
      <c r="F10" s="54"/>
      <c r="J10" s="103" t="s">
        <v>57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5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3"/>
      <c r="K11" s="39"/>
      <c r="M11" s="39"/>
      <c r="N11" s="39"/>
      <c r="O11" s="39"/>
      <c r="P11" s="105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3"/>
      <c r="K12" s="39"/>
      <c r="M12" s="39"/>
      <c r="N12" s="39"/>
      <c r="O12" s="39"/>
      <c r="P12" s="105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6"/>
      <c r="K13" s="107"/>
      <c r="L13" s="107"/>
      <c r="M13" s="107"/>
      <c r="N13" s="107"/>
      <c r="O13" s="107"/>
      <c r="P13" s="108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140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182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107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183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110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203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185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186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187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9</v>
      </c>
      <c r="C25" s="54"/>
      <c r="E25" s="66" t="n">
        <v>27</v>
      </c>
      <c r="F25" s="66" t="n">
        <v>4</v>
      </c>
      <c r="J25" s="0" t="s">
        <v>188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189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190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129</v>
      </c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96</v>
      </c>
      <c r="C39" s="54" t="n">
        <v>195340</v>
      </c>
      <c r="E39" s="54"/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N39" s="69" t="s">
        <v>133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6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204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29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74</v>
      </c>
      <c r="K5" s="16" t="s">
        <v>75</v>
      </c>
      <c r="L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J7" s="16"/>
      <c r="K7" s="16"/>
      <c r="L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85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57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94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140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104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205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110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113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116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119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122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123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G25" s="94" t="n">
        <f aca="false">+K28</f>
        <v>10</v>
      </c>
      <c r="I25" s="0" t="s">
        <v>124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125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4"/>
      <c r="I27" s="0" t="s">
        <v>127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G29" s="94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190</v>
      </c>
      <c r="L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'[12]Team Report'!BA39</f>
        <v>0</v>
      </c>
      <c r="E34" s="54" t="n">
        <f aca="false">(C34/9)*12</f>
        <v>0</v>
      </c>
      <c r="I34" s="19" t="s">
        <v>129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206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6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73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85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94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113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122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207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90" t="s">
        <v>30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74</v>
      </c>
      <c r="K6" s="69" t="s">
        <v>75</v>
      </c>
      <c r="L6" s="91" t="s">
        <v>167</v>
      </c>
      <c r="M6" s="16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M7" s="16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57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94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7"/>
      <c r="O15" s="54" t="n">
        <f aca="false">+G15/$G$30*$O$30</f>
        <v>1553.82344827586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140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182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209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107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183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110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184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185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</row>
    <row r="25" customFormat="false" ht="12.75" hidden="false" customHeight="false" outlineLevel="0" collapsed="false">
      <c r="I25" s="0" t="s">
        <v>186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9</v>
      </c>
      <c r="C26" s="94"/>
      <c r="E26" s="94" t="n">
        <v>58</v>
      </c>
      <c r="G26" s="94" t="n">
        <f aca="false">SUM(K17:K20,K22:K28)</f>
        <v>14</v>
      </c>
      <c r="I26" s="0" t="s">
        <v>187</v>
      </c>
      <c r="J26" s="39" t="n">
        <v>184800</v>
      </c>
      <c r="K26" s="0" t="n">
        <v>2</v>
      </c>
      <c r="L26" s="39" t="n">
        <f aca="false">J26*K26</f>
        <v>369600</v>
      </c>
      <c r="O26" s="94" t="n">
        <v>1</v>
      </c>
    </row>
    <row r="27" customFormat="false" ht="12.75" hidden="false" customHeight="false" outlineLevel="0" collapsed="false">
      <c r="I27" s="0" t="s">
        <v>188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126</v>
      </c>
      <c r="C28" s="94"/>
      <c r="E28" s="94" t="n">
        <v>0</v>
      </c>
      <c r="G28" s="94" t="n">
        <f aca="false">SUM(K21)</f>
        <v>1</v>
      </c>
      <c r="I28" s="0" t="s">
        <v>210</v>
      </c>
      <c r="J28" s="39" t="n">
        <v>476400</v>
      </c>
      <c r="K28" s="0" t="n">
        <v>0</v>
      </c>
      <c r="L28" s="39" t="n">
        <f aca="false">J28*K28</f>
        <v>0</v>
      </c>
      <c r="O28" s="94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128</v>
      </c>
      <c r="C30" s="94"/>
      <c r="E30" s="94" t="n">
        <f aca="false">SUM(E26:E29)</f>
        <v>58</v>
      </c>
      <c r="G30" s="94" t="n">
        <f aca="false">SUM(G26:G29)</f>
        <v>15</v>
      </c>
      <c r="O30" s="94" t="n">
        <f aca="false">SUM(O26:O29)</f>
        <v>2</v>
      </c>
    </row>
    <row r="31" customFormat="false" ht="12.75" hidden="false" customHeight="false" outlineLevel="0" collapsed="false">
      <c r="B31" s="62"/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'[8]Team Report'!BA45</f>
        <v>0</v>
      </c>
      <c r="E39" s="54" t="n">
        <f aca="false">(C39/9)*12</f>
        <v>0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6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94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2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32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1519200</v>
      </c>
      <c r="I8" s="74"/>
      <c r="L8" s="49"/>
      <c r="O8" s="54" t="n">
        <f aca="false">+F8/$F$29*$O$29</f>
        <v>138109.090909091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11</v>
      </c>
      <c r="L9" s="49" t="n">
        <f aca="false">L33</f>
        <v>1823040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303840</v>
      </c>
      <c r="I11" s="74"/>
      <c r="L11" s="49"/>
      <c r="O11" s="54" t="n">
        <f aca="false">+F11/$F$29*$O$29</f>
        <v>27621.8181818182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62478.1071020408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11</v>
      </c>
      <c r="L12" s="49" t="n">
        <f aca="false">J12*K12</f>
        <v>365967.859265306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105590.205061225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24238.2710204082</v>
      </c>
      <c r="I14" s="79" t="s">
        <v>94</v>
      </c>
      <c r="J14" s="58"/>
      <c r="K14" s="58"/>
      <c r="L14" s="59" t="n">
        <f aca="false">SUM(L9:L12)</f>
        <v>2189007.85926531</v>
      </c>
      <c r="N14" s="0" t="n">
        <v>1699109</v>
      </c>
      <c r="O14" s="54" t="n">
        <f aca="false">+F14/$F$29*$O$29</f>
        <v>2203.47918367347</v>
      </c>
      <c r="P14" s="60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17424.6896326531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897.959183673469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46541.914122449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3.60261224489796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108514.947918367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278.162612244898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2189007.85926531</v>
      </c>
      <c r="I23" s="0" t="s">
        <v>203</v>
      </c>
      <c r="J23" s="39" t="n">
        <v>74400</v>
      </c>
      <c r="K23" s="39" t="n">
        <v>1</v>
      </c>
      <c r="L23" s="39" t="n">
        <f aca="false">J23*K23</f>
        <v>74400</v>
      </c>
      <c r="O23" s="82" t="n">
        <f aca="false">SUM(O8:O22)</f>
        <v>199000.714478664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11</v>
      </c>
      <c r="I25" s="0" t="s">
        <v>186</v>
      </c>
      <c r="J25" s="39" t="n">
        <v>120000</v>
      </c>
      <c r="K25" s="39" t="n">
        <v>5</v>
      </c>
      <c r="L25" s="39" t="n">
        <f aca="false">J25*K25</f>
        <v>600000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187</v>
      </c>
      <c r="J26" s="39" t="n">
        <v>178800</v>
      </c>
      <c r="K26" s="39" t="n">
        <v>1</v>
      </c>
      <c r="L26" s="39" t="n">
        <f aca="false">J26*K26</f>
        <v>178800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v>1</v>
      </c>
      <c r="L28" s="39" t="n">
        <f aca="false">J28*K28</f>
        <v>312000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11</v>
      </c>
      <c r="G29" s="39"/>
      <c r="K29" s="39" t="n">
        <f aca="false">SUM(K17:K28)</f>
        <v>11</v>
      </c>
      <c r="L29" s="39" t="n">
        <f aca="false">SUM(L17:L28)</f>
        <v>1519200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1823040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11</v>
      </c>
      <c r="L40" s="69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212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I4" s="90" t="s">
        <v>213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145</v>
      </c>
      <c r="H6" s="50" t="s">
        <v>79</v>
      </c>
      <c r="I6" s="74"/>
      <c r="J6" s="69" t="s">
        <v>74</v>
      </c>
      <c r="K6" s="69" t="s">
        <v>75</v>
      </c>
      <c r="L6" s="91" t="s">
        <v>167</v>
      </c>
      <c r="M6" s="16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146</v>
      </c>
      <c r="H7" s="51" t="s">
        <v>83</v>
      </c>
      <c r="I7" s="74"/>
      <c r="L7" s="49"/>
      <c r="M7" s="16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((C8/9)*12)*1.3</f>
        <v>8641537.19866667</v>
      </c>
      <c r="H8" s="54" t="n">
        <f aca="false">L29-H10</f>
        <v>13408750</v>
      </c>
      <c r="I8" s="74"/>
      <c r="L8" s="49"/>
      <c r="M8" s="16"/>
      <c r="Q8" s="54" t="n">
        <f aca="false">+H8/$H$29*$Q$29</f>
        <v>72873.6413043478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v>0</v>
      </c>
      <c r="I9" s="74" t="s">
        <v>85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H10" s="54" t="n">
        <f aca="false">L20+L21</f>
        <v>1200000</v>
      </c>
      <c r="I10" s="74"/>
      <c r="L10" s="49"/>
      <c r="M10" s="16"/>
      <c r="Q10" s="54" t="n">
        <f aca="false">+H10/$H$29*$Q$29</f>
        <v>6521.73913043478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f aca="false">L33-L29</f>
        <v>2921750</v>
      </c>
      <c r="I11" s="74"/>
      <c r="L11" s="49"/>
      <c r="M11" s="16"/>
      <c r="Q11" s="54" t="n">
        <f aca="false">+H11/$H$29*$Q$29</f>
        <v>15879.0760869565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f aca="false">(E12/$E$29)*$K$12</f>
        <v>513617.726824859</v>
      </c>
      <c r="I12" s="74" t="s">
        <v>57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2791.40068926554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f aca="false">(E13/$E$29)*$K$12</f>
        <v>211876.008316384</v>
      </c>
      <c r="I13" s="74"/>
      <c r="L13" s="49"/>
      <c r="M13" s="16"/>
      <c r="Q13" s="54" t="n">
        <f aca="false">+H13/$H$29*$Q$29</f>
        <v>1151.50004519774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(4000000*1.2)+222800</f>
        <v>5022800</v>
      </c>
      <c r="H14" s="54" t="n">
        <f aca="false">(E14/$E$29)*$K$12</f>
        <v>7832162.71186441</v>
      </c>
      <c r="I14" s="79" t="s">
        <v>94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42566.1016949153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2087875*1.3</f>
        <v>2714237.5</v>
      </c>
      <c r="H15" s="54" t="n">
        <f aca="false">(E15/$E$29)*$K$12</f>
        <v>4232370.33898305</v>
      </c>
      <c r="I15" s="16"/>
      <c r="M15" s="16"/>
      <c r="Q15" s="54" t="n">
        <f aca="false">+H15/$H$29*$Q$29</f>
        <v>23002.0127118644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140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f aca="false">(E18/$E$29)*$K$12</f>
        <v>51460.8933785311</v>
      </c>
      <c r="I18" s="0" t="s">
        <v>182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279.678768361582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v>145000</v>
      </c>
      <c r="H19" s="54" t="n">
        <f aca="false">(E19/$E$29)*$K$12</f>
        <v>226101.694915254</v>
      </c>
      <c r="I19" s="0" t="s">
        <v>107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1228.81355932203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119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f aca="false">(E21/$E$29)*$K$12</f>
        <v>202827.220971751</v>
      </c>
      <c r="I21" s="0" t="s">
        <v>183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1102.32185310734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f aca="false">(E22/$E$29)*$K$12</f>
        <v>3314.31195480226</v>
      </c>
      <c r="I22" s="0" t="s">
        <v>110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18.0125649717514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30804230.907209</v>
      </c>
      <c r="I23" s="0" t="s">
        <v>184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167414.298408745</v>
      </c>
    </row>
    <row r="24" customFormat="false" ht="12.75" hidden="false" customHeight="false" outlineLevel="0" collapsed="false">
      <c r="I24" s="0" t="s">
        <v>185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H25" s="94" t="n">
        <f aca="false">SUM(K17:K19,K22:K28)</f>
        <v>165</v>
      </c>
      <c r="I25" s="0" t="s">
        <v>186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187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H27" s="94" t="n">
        <f aca="false">SUM(K20:K21)</f>
        <v>19</v>
      </c>
      <c r="I27" s="0" t="s">
        <v>188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189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H29" s="94" t="n">
        <f aca="false">SUM(H25:H28)</f>
        <v>184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214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69" t="s">
        <v>74</v>
      </c>
      <c r="K6" s="69" t="s">
        <v>75</v>
      </c>
      <c r="L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57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94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140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182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107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183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119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110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203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185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9</v>
      </c>
      <c r="C25" s="94"/>
      <c r="E25" s="94" t="n">
        <v>84</v>
      </c>
      <c r="G25" s="95" t="n">
        <f aca="false">SUM(K17:K19,K22:K28)</f>
        <v>11</v>
      </c>
      <c r="I25" s="0" t="s">
        <v>186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211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5" t="n">
        <f aca="false">SUM(K20:K21)</f>
        <v>3</v>
      </c>
      <c r="I27" s="0" t="s">
        <v>188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189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84</v>
      </c>
      <c r="G29" s="94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'[14]Team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9" t="s">
        <v>95</v>
      </c>
      <c r="B39" s="53" t="s">
        <v>96</v>
      </c>
      <c r="C39" s="54" t="n">
        <v>180700.52</v>
      </c>
      <c r="E39" s="54" t="n">
        <v>240934.026666667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6" t="n">
        <f aca="false">+E29</f>
        <v>84</v>
      </c>
      <c r="J40" s="69" t="n">
        <f aca="false">+H40/I40</f>
        <v>13598.3738730159</v>
      </c>
      <c r="K40" s="96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94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104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107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110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216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217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f aca="false">+L29</f>
        <v>140</v>
      </c>
      <c r="J25" s="0" t="s">
        <v>123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218</v>
      </c>
    </row>
    <row r="47" customFormat="false" ht="12.75" hidden="false" customHeight="false" outlineLevel="0" collapsed="false">
      <c r="B47" s="53" t="s">
        <v>219</v>
      </c>
    </row>
    <row r="48" customFormat="false" ht="12.75" hidden="false" customHeight="false" outlineLevel="0" collapsed="false">
      <c r="B48" s="53" t="s">
        <v>220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74</v>
      </c>
      <c r="L6" s="69" t="s">
        <v>75</v>
      </c>
      <c r="M6" s="91" t="s">
        <v>167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H7" s="51" t="s">
        <v>83</v>
      </c>
      <c r="J7" s="74"/>
      <c r="M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85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57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H14" s="54" t="n">
        <v>0</v>
      </c>
      <c r="J14" s="79" t="s">
        <v>94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3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104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110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113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217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0" t="n">
        <v>40</v>
      </c>
      <c r="H25" s="95" t="n">
        <f aca="false">+L29-1</f>
        <v>58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/>
      <c r="H27" s="94" t="n">
        <v>1</v>
      </c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H29" s="94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'[16]Team Report'!BA29</f>
        <v>-24140467.68</v>
      </c>
      <c r="E31" s="54" t="n">
        <v>0</v>
      </c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'[16]Team Report'!BA31</f>
        <v>0</v>
      </c>
      <c r="E33" s="54" t="n">
        <f aca="false">(C33/9)*12</f>
        <v>0</v>
      </c>
      <c r="J33" s="0" t="s">
        <v>200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'[16]Team Report'!BA43</f>
        <v>-5121278.52</v>
      </c>
      <c r="E37" s="54" t="n">
        <v>0</v>
      </c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I39" s="0" t="s">
        <v>201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221</v>
      </c>
    </row>
    <row r="43" customFormat="false" ht="12.75" hidden="false" customHeight="false" outlineLevel="0" collapsed="false">
      <c r="B43" s="53" t="s">
        <v>222</v>
      </c>
    </row>
    <row r="44" customFormat="false" ht="12.75" hidden="false" customHeight="false" outlineLevel="0" collapsed="false">
      <c r="B44" s="53" t="s">
        <v>223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224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90"/>
      <c r="L4" s="90"/>
      <c r="M4" s="90"/>
      <c r="N4" s="90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74</v>
      </c>
      <c r="M6" s="69" t="s">
        <v>75</v>
      </c>
      <c r="N6" s="91" t="s">
        <v>167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81</v>
      </c>
      <c r="I7" s="51"/>
      <c r="K7" s="74"/>
      <c r="N7" s="49"/>
      <c r="O7" s="51" t="s">
        <v>83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85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57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94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140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7"/>
      <c r="T17" s="16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182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107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183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110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184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185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186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F25" s="3"/>
      <c r="G25" s="94" t="n">
        <f aca="false">SUM(M17:M19,M21:M27)</f>
        <v>36</v>
      </c>
      <c r="K25" s="0" t="s">
        <v>187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188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3"/>
      <c r="G27" s="94" t="n">
        <f aca="false">SUM(M20)</f>
        <v>3</v>
      </c>
      <c r="K27" s="0" t="s">
        <v>189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F29" s="3"/>
      <c r="G29" s="94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190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201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86" t="n">
        <v>2002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85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57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94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225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140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107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110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226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113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122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125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227</v>
      </c>
    </row>
    <row r="25" customFormat="false" ht="12.75" hidden="false" customHeight="false" outlineLevel="0" collapsed="false">
      <c r="B25" s="62" t="s">
        <v>9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107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110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1</v>
      </c>
      <c r="J27" s="0" t="s">
        <v>113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228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107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110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113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229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122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123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125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96</v>
      </c>
      <c r="C39" s="54" t="n">
        <v>5703580</v>
      </c>
      <c r="E39" s="54"/>
      <c r="F39" s="54"/>
      <c r="J39" s="19" t="s">
        <v>51</v>
      </c>
    </row>
    <row r="40" customFormat="false" ht="12.75" hidden="true" customHeight="false" outlineLevel="0" collapsed="false">
      <c r="J40" s="0" t="s">
        <v>104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230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231</v>
      </c>
    </row>
    <row r="42" customFormat="false" ht="12.75" hidden="true" customHeight="false" outlineLevel="0" collapsed="false">
      <c r="J42" s="0" t="s">
        <v>125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129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104</v>
      </c>
    </row>
    <row r="46" customFormat="false" ht="12.75" hidden="true" customHeight="false" outlineLevel="0" collapsed="false">
      <c r="A46" s="68" t="s">
        <v>146</v>
      </c>
      <c r="B46" s="69" t="s">
        <v>131</v>
      </c>
      <c r="C46" s="69" t="s">
        <v>132</v>
      </c>
      <c r="E46" s="69" t="s">
        <v>75</v>
      </c>
      <c r="F46" s="69"/>
      <c r="G46" s="69" t="s">
        <v>133</v>
      </c>
      <c r="J46" s="0" t="s">
        <v>104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6" t="n">
        <f aca="false">+E29</f>
        <v>87</v>
      </c>
      <c r="C47" s="69" t="n">
        <f aca="false">+A47/B47</f>
        <v>28886.1517241379</v>
      </c>
      <c r="D47" s="69"/>
      <c r="E47" s="96" t="n">
        <f aca="false">+L11</f>
        <v>32</v>
      </c>
      <c r="F47" s="96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232</v>
      </c>
    </row>
    <row r="49" customFormat="false" ht="12.75" hidden="true" customHeight="false" outlineLevel="0" collapsed="false">
      <c r="J49" s="0" t="s">
        <v>122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123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51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 t="s">
        <v>51</v>
      </c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79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57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v>0</v>
      </c>
      <c r="F14" s="54" t="n">
        <v>5000000</v>
      </c>
      <c r="J14" s="79" t="s">
        <v>94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140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104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107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110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113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116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119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122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95" t="n">
        <f aca="false">+L29</f>
        <v>21</v>
      </c>
      <c r="J25" s="0" t="s">
        <v>211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233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234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127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94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129</v>
      </c>
      <c r="J37" s="39"/>
      <c r="M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M39" s="69" t="s">
        <v>133</v>
      </c>
    </row>
    <row r="40" customFormat="false" ht="12.75" hidden="false" customHeight="false" outlineLevel="0" collapsed="false">
      <c r="I40" s="70" t="n">
        <f aca="false">SUM(E12:E22)</f>
        <v>5617530.7628</v>
      </c>
      <c r="J40" s="96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235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134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5652900</v>
      </c>
      <c r="I8" s="48" t="s">
        <v>85</v>
      </c>
      <c r="J8" s="39" t="n">
        <v>0</v>
      </c>
      <c r="L8" s="49" t="n">
        <f aca="false">L30</f>
        <v>6783480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1130580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8376395.98125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f aca="false">2+1-1</f>
        <v>2</v>
      </c>
      <c r="L20" s="39" t="n">
        <f aca="false">J20*K20</f>
        <v>143000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(E22/$E$29)*$K$11+557047+65535+393210+393210+1081327</f>
        <v>3571655.587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10866724.98125</v>
      </c>
      <c r="I23" s="39" t="s">
        <v>122</v>
      </c>
      <c r="J23" s="39" t="n">
        <v>110000</v>
      </c>
      <c r="K23" s="39" t="n">
        <f aca="false">1+8+11-11</f>
        <v>9</v>
      </c>
      <c r="L23" s="39" t="n">
        <f aca="false">J23*K23</f>
        <v>990000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1+11+14-14</f>
        <v>12</v>
      </c>
      <c r="L24" s="39" t="n">
        <f aca="false">J24*K24</f>
        <v>1716000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8+6-6</f>
        <v>8</v>
      </c>
      <c r="L26" s="39" t="n">
        <f aca="false">J26*K26</f>
        <v>1584000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1+1-1</f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5652900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6783480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1734580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57819.3333333333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1203500</v>
      </c>
      <c r="I10" s="48"/>
      <c r="L10" s="49"/>
      <c r="Q10" s="54" t="n">
        <f aca="false">+H10/$H$29*$Q$29</f>
        <v>40116.6666666667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587616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19587.2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212898.257217604</v>
      </c>
      <c r="I12" s="48"/>
      <c r="L12" s="49"/>
      <c r="Q12" s="54" t="n">
        <f aca="false">+H12/$H$29*$Q$29</f>
        <v>7096.60857392014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268645.242835337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8954.84142784456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1505600.01685714</v>
      </c>
      <c r="Q14" s="54" t="n">
        <f aca="false">+H14/$H$29*$Q$29</f>
        <v>50186.6672285714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37425.8971295778</v>
      </c>
      <c r="Q15" s="54" t="n">
        <f aca="false">+H15/$H$29*$Q$29</f>
        <v>1247.52990431926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2328.20264562913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77.6067548543044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47994.0528376934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1599.80176125645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72745.4668204752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2424.84889401584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22.060605688558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0.735353522951933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161043.847901535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5368.12826338449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139418.654567638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4647.28848558793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5973817.69941832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199127.256647277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14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16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30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237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85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94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238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85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94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104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107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110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116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119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122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124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57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107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216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217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133</v>
      </c>
      <c r="J25" s="0" t="s">
        <v>123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218</v>
      </c>
    </row>
    <row r="47" customFormat="false" ht="12.75" hidden="false" customHeight="false" outlineLevel="0" collapsed="false">
      <c r="B47" s="53" t="s">
        <v>219</v>
      </c>
    </row>
    <row r="48" customFormat="false" ht="12.75" hidden="false" customHeight="false" outlineLevel="0" collapsed="false">
      <c r="B48" s="53" t="s">
        <v>220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10" t="n">
        <f aca="false">+$M$12*0.25+50000+250000</f>
        <v>544134</v>
      </c>
      <c r="J12" s="74" t="s">
        <v>57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113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'[19]Team Report'!BA44</f>
        <v>6453.7</v>
      </c>
      <c r="E22" s="111" t="n">
        <f aca="false">(+C22/9*12)*1.2</f>
        <v>10325.92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9</v>
      </c>
      <c r="C25" s="94"/>
      <c r="E25" s="94" t="n">
        <v>0</v>
      </c>
      <c r="F25" s="3" t="n">
        <v>40</v>
      </c>
      <c r="G25" s="95" t="n">
        <f aca="false">+L12</f>
        <v>44</v>
      </c>
      <c r="J25" s="0" t="s">
        <v>123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0</v>
      </c>
      <c r="F29" s="3"/>
      <c r="G29" s="94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'[19]Team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'[19]Team Report'!BA40</f>
        <v>164920.93</v>
      </c>
      <c r="E35" s="54" t="n">
        <v>0</v>
      </c>
      <c r="F35" s="54"/>
      <c r="J35" s="0" t="s">
        <v>239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'[19]Team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94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110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113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216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217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199</v>
      </c>
      <c r="J25" s="0" t="s">
        <v>123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241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242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1239580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51649.1666666667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1137500</v>
      </c>
      <c r="I10" s="48"/>
      <c r="L10" s="49"/>
      <c r="Q10" s="54" t="n">
        <f aca="false">+H10/$H$29*$Q$29</f>
        <v>47395.8333333333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475416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19809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141910.282745694</v>
      </c>
      <c r="I12" s="48"/>
      <c r="L12" s="49"/>
      <c r="Q12" s="54" t="n">
        <f aca="false">+H12/$H$29*$Q$29</f>
        <v>5912.92844773725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191006.720588146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7958.61335783941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1475600.01685714</v>
      </c>
      <c r="Q14" s="54" t="n">
        <f aca="false">+H14/$H$29*$Q$29</f>
        <v>61483.3340357143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23523.1404554205</v>
      </c>
      <c r="Q15" s="54" t="n">
        <f aca="false">+H15/$H$29*$Q$29</f>
        <v>980.130852309186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1109.32624113475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46.221926713948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12673.847174772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528.076965615502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55935.1797193516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2330.63248830632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9.5320663627153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0.397169431779804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99898.3273622087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4162.4303067587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131252.220410335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5468.84251709727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4985414.59362057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207725.608067524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9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15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24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J7" s="39"/>
      <c r="K7" s="39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330000</v>
      </c>
      <c r="I8" s="74"/>
      <c r="J8" s="39"/>
      <c r="K8" s="39"/>
      <c r="L8" s="49"/>
      <c r="O8" s="54" t="n">
        <f aca="false">+F8/$F$29*$O$29</f>
        <v>110000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3</v>
      </c>
      <c r="L9" s="49" t="n">
        <f aca="false">L33</f>
        <v>396000</v>
      </c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66000</v>
      </c>
      <c r="I11" s="74"/>
      <c r="J11" s="39"/>
      <c r="K11" s="39"/>
      <c r="L11" s="49"/>
      <c r="O11" s="54" t="n">
        <f aca="false">+F11/$F$29*$O$29</f>
        <v>22000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11434.7946428571</v>
      </c>
      <c r="I12" s="74" t="s">
        <v>57</v>
      </c>
      <c r="J12" s="39" t="n">
        <f aca="false">(E12+E13+E14+E15+E16+E17+E18+E19+E20+E21+E22)/E29</f>
        <v>29159.271</v>
      </c>
      <c r="K12" s="39" t="n">
        <f aca="false">K29</f>
        <v>3</v>
      </c>
      <c r="L12" s="49" t="n">
        <f aca="false">J12*K12</f>
        <v>87477.813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</f>
        <v>33643.6174285714</v>
      </c>
      <c r="I13" s="74"/>
      <c r="J13" s="39"/>
      <c r="K13" s="39"/>
      <c r="L13" s="49"/>
      <c r="O13" s="54" t="n">
        <f aca="false">+F13/$F$29*$O$29</f>
        <v>11214.5391428571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</f>
        <v>-0.0111428571532347</v>
      </c>
      <c r="I14" s="79" t="s">
        <v>94</v>
      </c>
      <c r="J14" s="58"/>
      <c r="K14" s="58"/>
      <c r="L14" s="59" t="n">
        <f aca="false">SUM(L9:L12)</f>
        <v>483477.813</v>
      </c>
      <c r="N14" s="39"/>
      <c r="O14" s="54" t="n">
        <f aca="false">+F14/$F$29*$O$29</f>
        <v>-0.00371428571774491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3918.84821428571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140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149.619642857143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</f>
        <v>4498.43642857143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1499.47880952381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1.45535714285714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33742.9885714286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88.0638571428572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483477.813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161159.271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28</v>
      </c>
      <c r="F25" s="66" t="n">
        <f aca="false">+K29</f>
        <v>3</v>
      </c>
      <c r="I25" s="0" t="s">
        <v>186</v>
      </c>
      <c r="J25" s="39" t="n">
        <v>120000</v>
      </c>
      <c r="K25" s="39" t="n">
        <v>2</v>
      </c>
      <c r="L25" s="39" t="n">
        <f aca="false">J25*K25</f>
        <v>240000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 t="n">
        <v>0</v>
      </c>
      <c r="I27" s="0" t="s">
        <v>188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28</v>
      </c>
      <c r="F29" s="66" t="n">
        <f aca="false">+F27+F25</f>
        <v>3</v>
      </c>
      <c r="G29" s="39"/>
      <c r="J29" s="39"/>
      <c r="K29" s="39" t="n">
        <f aca="false">SUM(K17:K28)</f>
        <v>3</v>
      </c>
      <c r="L29" s="39" t="n">
        <f aca="false">SUM(L17:L28)</f>
        <v>330000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'[20]Team Report'!BA29</f>
        <v>0</v>
      </c>
      <c r="E31" s="54" t="n">
        <f aca="false">(C31/9)*12</f>
        <v>0</v>
      </c>
      <c r="I31" s="0" t="s">
        <v>190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396000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129</v>
      </c>
      <c r="I37" s="39"/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96</v>
      </c>
      <c r="C39" s="54" t="n">
        <v>1140923</v>
      </c>
      <c r="E39" s="54"/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6" t="n">
        <f aca="false">+E29</f>
        <v>28</v>
      </c>
      <c r="J40" s="69" t="n">
        <f aca="false">+G40/I40</f>
        <v>29159.271</v>
      </c>
      <c r="K40" s="96" t="n">
        <f aca="false">+K12</f>
        <v>3</v>
      </c>
      <c r="L40" s="69" t="n">
        <f aca="false">+J40*K40</f>
        <v>87477.813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: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true" hidden="true" outlineLevel="0" max="44" min="18" style="0" width="9.14"/>
    <col collapsed="false" customWidth="false" hidden="true" outlineLevel="0" max="50" min="4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591580</v>
      </c>
      <c r="I8" s="48" t="s">
        <v>85</v>
      </c>
      <c r="J8" s="39" t="n">
        <v>0</v>
      </c>
      <c r="L8" s="49" t="n">
        <f aca="false">L30</f>
        <v>1645776</v>
      </c>
      <c r="Q8" s="54" t="n">
        <f aca="false">+H8/$H$29*$Q$29</f>
        <v>42255.7142857143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779900</v>
      </c>
      <c r="I10" s="48"/>
      <c r="L10" s="49"/>
      <c r="Q10" s="54" t="n">
        <f aca="false">+H10/$H$29*$Q$29</f>
        <v>55707.1428571429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274296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14</v>
      </c>
      <c r="L11" s="49" t="n">
        <f aca="false">J11*K11</f>
        <v>675782.5375</v>
      </c>
      <c r="Q11" s="54" t="n">
        <f aca="false">+H11/$H$29*$Q$29</f>
        <v>19592.5714285714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86274.6325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76789.3968333334</v>
      </c>
      <c r="I13" s="57" t="s">
        <v>94</v>
      </c>
      <c r="J13" s="58"/>
      <c r="K13" s="58"/>
      <c r="L13" s="59" t="n">
        <f aca="false">L8+L11</f>
        <v>2321558.5375</v>
      </c>
      <c r="N13" s="39" t="n">
        <v>24109311.029375</v>
      </c>
      <c r="P13" s="60" t="n">
        <f aca="false">N13-L13</f>
        <v>21787752.491875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(E14/$E$29)*$K$11+180000+250000+6600+30000+9000</f>
        <v>475600.028</v>
      </c>
      <c r="Q14" s="54" t="n">
        <f aca="false">+H14/$H$29*$Q$29</f>
        <v>33971.4305714286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12199.0166666667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688.333333333333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12501.4073333333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12741.204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1.86666666666667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15842.0395</v>
      </c>
      <c r="I21" s="39" t="s">
        <v>116</v>
      </c>
      <c r="J21" s="39" t="n">
        <v>60500</v>
      </c>
      <c r="K21" s="39" t="n">
        <v>7</v>
      </c>
      <c r="L21" s="39" t="n">
        <f aca="false">J21*K21</f>
        <v>423500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131069.612666667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9362.11519047621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2469483.5375</v>
      </c>
      <c r="I23" s="39" t="s">
        <v>122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176391.68125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11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14</v>
      </c>
      <c r="L28" s="39" t="n">
        <f aca="false">SUM(L16:L27)*1.2</f>
        <v>1371480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14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1645776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14</v>
      </c>
      <c r="L34" s="69" t="n">
        <f aca="false">+J34*K34</f>
        <v>675782.5375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1000000</f>
        <v>1000000</v>
      </c>
      <c r="H14" s="77" t="n">
        <f aca="false">E14/$E$23</f>
        <v>2.98539034593965E-008</v>
      </c>
      <c r="N14" s="54" t="n">
        <f aca="false">+F14/$F$29*$N$29</f>
        <v>142857.142857143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2032453.24312057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290350.463302938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5629800</v>
      </c>
      <c r="I8" s="48" t="s">
        <v>85</v>
      </c>
      <c r="J8" s="39" t="n">
        <v>0</v>
      </c>
      <c r="L8" s="49" t="n">
        <f aca="false">L30</f>
        <v>6755760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1125960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8348675.98125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(E22/$E$29)*$K$11-1081327</f>
        <v>-0.412999999476597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7267348.98125</v>
      </c>
      <c r="I23" s="39" t="s">
        <v>122</v>
      </c>
      <c r="J23" s="39" t="n">
        <v>110000</v>
      </c>
      <c r="K23" s="39" t="n">
        <v>11</v>
      </c>
      <c r="L23" s="39" t="n">
        <f aca="false">J23*K23</f>
        <v>1210000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14</v>
      </c>
      <c r="L24" s="39" t="n">
        <f aca="false">J24*K24</f>
        <v>2002000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6</v>
      </c>
      <c r="L26" s="39" t="n">
        <f aca="false">J26*K26</f>
        <v>1188000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5629800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6755760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245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0.500807815249102</v>
      </c>
      <c r="K8" s="74" t="s">
        <v>85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0.066774375366547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0.11351643812313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0.0718208735439118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0.0785494519308779</v>
      </c>
      <c r="K13" s="79" t="s">
        <v>94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30000</f>
        <v>30000</v>
      </c>
      <c r="H14" s="54"/>
      <c r="I14" s="77" t="n">
        <f aca="false">+G14/$G$23</f>
        <v>0.0303519888029759</v>
      </c>
      <c r="O14" s="54" t="n">
        <f aca="false">+G14/$G$29*$O$29</f>
        <v>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0.014065877163484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0.00123317743271417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0.0357346162266598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0.0170075215289371</v>
      </c>
      <c r="K19" s="0" t="s">
        <v>110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1.2675536177854E-005</v>
      </c>
      <c r="K20" s="0" t="s">
        <v>113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0.0618629384920584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0.00826225060342373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988403.105797753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164733.850966292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246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85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94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85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94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116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122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179520</v>
      </c>
      <c r="I8" s="48" t="s">
        <v>85</v>
      </c>
      <c r="J8" s="39" t="n">
        <v>0</v>
      </c>
      <c r="L8" s="49" t="n">
        <f aca="false">L30</f>
        <v>1292544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215424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1871786.175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1478576.175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0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1077120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1292544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696960</v>
      </c>
      <c r="I8" s="48" t="s">
        <v>85</v>
      </c>
      <c r="J8" s="39" t="n">
        <v>0</v>
      </c>
      <c r="L8" s="49" t="n">
        <f aca="false">L30</f>
        <v>836352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139392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1415594.175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1022384.175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12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696960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836352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138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3709200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4955040</v>
      </c>
      <c r="O8" s="54" t="n">
        <f aca="false">+F8/$F$29*$O$29</f>
        <v>115912.5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825840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32</v>
      </c>
      <c r="M11" s="78" t="n">
        <f aca="false">K11*L11</f>
        <v>1013637.82082269</v>
      </c>
      <c r="O11" s="54" t="n">
        <f aca="false">+F11/$F$29*$O$29</f>
        <v>25807.5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202061.054184397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368336.943205674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5968677.8208227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0.137985815646801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33852.6883404255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1924.5390070922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104.320907801417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176893.893900709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28.3887659574468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230003.653900709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432.200624113475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5548677.8208227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11+4-4</f>
        <v>11</v>
      </c>
      <c r="M23" s="39" t="n">
        <f aca="false">K23*L23</f>
        <v>1320000</v>
      </c>
      <c r="O23" s="82" t="n">
        <f aca="false">SUM(O8:O22)</f>
        <v>173396.181900709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2+4+7-7</f>
        <v>6</v>
      </c>
      <c r="M24" s="39" t="n">
        <f aca="false">K24*L24</f>
        <v>936000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32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4+1-1</f>
        <v>4</v>
      </c>
      <c r="M26" s="39" t="n">
        <f aca="false">K26*L26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32</v>
      </c>
      <c r="M28" s="39" t="n">
        <f aca="false">SUM(M16:M27)</f>
        <v>4129200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32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32</v>
      </c>
      <c r="M34" s="69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thardy</cp:lastModifiedBy>
  <cp:lastPrinted>2002-01-02T16:12:16Z</cp:lastPrinted>
  <dcterms:modified xsi:type="dcterms:W3CDTF">2002-01-03T13:52:15Z</dcterms:modified>
  <cp:revision>0</cp:revision>
  <dc:subject/>
  <dc:title/>
</cp:coreProperties>
</file>