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RMTC_2" sheetId="2" state="visible" r:id="rId4"/>
    <sheet name="Elpaso_6" sheetId="3" state="visible" r:id="rId5"/>
    <sheet name="ENA_9" sheetId="4" state="visible" r:id="rId6"/>
    <sheet name="ENA_11" sheetId="5" state="visible" r:id="rId7"/>
    <sheet name="ENA_12" sheetId="6" state="visible" r:id="rId8"/>
    <sheet name="ENA_13" sheetId="7" state="visible" r:id="rId9"/>
    <sheet name="Back End Deal" sheetId="8" state="visible" r:id="rId10"/>
    <sheet name="ENA #QA4309.1-Expired" sheetId="9" state="visible" r:id="rId11"/>
    <sheet name="ENA #QA5217.1-Expired" sheetId="10" state="visible" r:id="rId12"/>
    <sheet name="ElPaso #1009351-Expired" sheetId="11" state="visible" r:id="rId13"/>
    <sheet name="ENA_19-Expired" sheetId="12" state="visible" r:id="rId14"/>
    <sheet name="El Paso_18-Expired" sheetId="13" state="visible" r:id="rId15"/>
    <sheet name="ENA_#QO886.1-Expired" sheetId="14" state="visible" r:id="rId16"/>
    <sheet name="ENA O6763.1-Expired" sheetId="15" state="visible" r:id="rId17"/>
    <sheet name="ENA_10-Expired" sheetId="16" state="visible" r:id="rId18"/>
    <sheet name="Sempra_1_Expired" sheetId="17" state="visible" r:id="rId19"/>
    <sheet name="MEC_8_Expired" sheetId="18" state="visible" r:id="rId20"/>
    <sheet name="Avista_1_Expired" sheetId="19" state="visible" r:id="rId21"/>
    <sheet name="Avista_2_Expired" sheetId="20" state="visible" r:id="rId22"/>
    <sheet name="Sempra_2_Expired" sheetId="21" state="visible" r:id="rId23"/>
    <sheet name="Sempra_2.1_Expired" sheetId="22" state="visible" r:id="rId24"/>
  </sheets>
  <externalReferences>
    <externalReference r:id="rId25"/>
    <externalReference r:id="rId26"/>
    <externalReference r:id="rId27"/>
    <externalReference r:id="rId28"/>
    <externalReference r:id="rId29"/>
  </externalReferences>
  <definedNames>
    <definedName function="false" hidden="false" localSheetId="18" name="_xlnm.Print_Area" vbProcedure="false">Avista_1_Expired!$A$1:$K$41</definedName>
    <definedName function="false" hidden="false" localSheetId="19" name="_xlnm.Print_Area" vbProcedure="false">Avista_2_Expired!$A$1:$K$46</definedName>
    <definedName function="false" hidden="false" localSheetId="16" name="_xlnm.Print_Area" vbProcedure="false">Sempra_1_Expired!$A$1:$K$44</definedName>
    <definedName function="false" hidden="false" localSheetId="0" name="_xlnm.Print_Area" vbProcedure="false">Summary!$A$1:$Q$104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<sst xmlns="http://schemas.openxmlformats.org/spreadsheetml/2006/main" count="1260" uniqueCount="165">
  <si>
    <t xml:space="preserve">ENRON TRANSPORTATION &amp; STORAGE</t>
  </si>
  <si>
    <t xml:space="preserve">Risk Book</t>
  </si>
  <si>
    <t xml:space="preserve">SUMMARY</t>
  </si>
  <si>
    <t xml:space="preserve">AS OF NOVEMBER 30, 2000</t>
  </si>
  <si>
    <t xml:space="preserve">Hedge Position Summary</t>
  </si>
  <si>
    <t xml:space="preserve"> </t>
  </si>
  <si>
    <t xml:space="preserve">Related</t>
  </si>
  <si>
    <t xml:space="preserve">Company</t>
  </si>
  <si>
    <t xml:space="preserve">Contract</t>
  </si>
  <si>
    <t xml:space="preserve">Hedged</t>
  </si>
  <si>
    <t xml:space="preserve">Offsetting</t>
  </si>
  <si>
    <t xml:space="preserve">Hedge</t>
  </si>
  <si>
    <t xml:space="preserve">Trade</t>
  </si>
  <si>
    <t xml:space="preserve">Avg.</t>
  </si>
  <si>
    <t xml:space="preserve">Spread</t>
  </si>
  <si>
    <t xml:space="preserve">Dth/d</t>
  </si>
  <si>
    <t xml:space="preserve">Trans.</t>
  </si>
  <si>
    <t xml:space="preserve">Name</t>
  </si>
  <si>
    <t xml:space="preserve">Number</t>
  </si>
  <si>
    <t xml:space="preserve">Type</t>
  </si>
  <si>
    <t xml:space="preserve">Counter-</t>
  </si>
  <si>
    <t xml:space="preserve">Term</t>
  </si>
  <si>
    <t xml:space="preserve">Date</t>
  </si>
  <si>
    <t xml:space="preserve">Price</t>
  </si>
  <si>
    <t xml:space="preserve">Actual/</t>
  </si>
  <si>
    <t xml:space="preserve">Volume</t>
  </si>
  <si>
    <t xml:space="preserve">Gains and (Losses)</t>
  </si>
  <si>
    <t xml:space="preserve">Party</t>
  </si>
  <si>
    <t xml:space="preserve">Futures</t>
  </si>
  <si>
    <t xml:space="preserve">(Short)</t>
  </si>
  <si>
    <t xml:space="preserve">Total</t>
  </si>
  <si>
    <t xml:space="preserve">Realized</t>
  </si>
  <si>
    <t xml:space="preserve">Unrealized</t>
  </si>
  <si>
    <t xml:space="preserve">Prices</t>
  </si>
  <si>
    <t xml:space="preserve">Long</t>
  </si>
  <si>
    <t xml:space="preserve">(3)</t>
  </si>
  <si>
    <t xml:space="preserve">TW</t>
  </si>
  <si>
    <t xml:space="preserve">Avista</t>
  </si>
  <si>
    <t xml:space="preserve">F</t>
  </si>
  <si>
    <t xml:space="preserve">Engage</t>
  </si>
  <si>
    <t xml:space="preserve">06/98-05/99</t>
  </si>
  <si>
    <t xml:space="preserve">P</t>
  </si>
  <si>
    <t xml:space="preserve">Y</t>
  </si>
  <si>
    <t xml:space="preserve">Sempra</t>
  </si>
  <si>
    <t xml:space="preserve"> 06/99-05/00</t>
  </si>
  <si>
    <t xml:space="preserve">Over-rtnd</t>
  </si>
  <si>
    <t xml:space="preserve">10/98-12/99</t>
  </si>
  <si>
    <t xml:space="preserve">05/99-12/99</t>
  </si>
  <si>
    <t xml:space="preserve">RMTC</t>
  </si>
  <si>
    <t xml:space="preserve">Financial</t>
  </si>
  <si>
    <t xml:space="preserve">01/00-12/00</t>
  </si>
  <si>
    <t xml:space="preserve">Physical</t>
  </si>
  <si>
    <t xml:space="preserve">NNG</t>
  </si>
  <si>
    <t xml:space="preserve">El Paso</t>
  </si>
  <si>
    <t xml:space="preserve">Base Gas Repurchase</t>
  </si>
  <si>
    <t xml:space="preserve"> 06/02-10/02 (5)</t>
  </si>
  <si>
    <t xml:space="preserve">MEC</t>
  </si>
  <si>
    <t xml:space="preserve">N</t>
  </si>
  <si>
    <t xml:space="preserve">11/99-04/00</t>
  </si>
  <si>
    <t xml:space="preserve">ENA</t>
  </si>
  <si>
    <t xml:space="preserve">01/01-12/01</t>
  </si>
  <si>
    <t xml:space="preserve">NT6154.1</t>
  </si>
  <si>
    <t xml:space="preserve">NV5358.1</t>
  </si>
  <si>
    <t xml:space="preserve">See Note 1</t>
  </si>
  <si>
    <t xml:space="preserve">Note 1:  TW hedges are perfectly correlated.</t>
  </si>
  <si>
    <t xml:space="preserve">OTHER TRADE</t>
  </si>
  <si>
    <t xml:space="preserve">Speculative Gains and (Losses)</t>
  </si>
  <si>
    <t xml:space="preserve">Short(-)</t>
  </si>
  <si>
    <t xml:space="preserve">Settled</t>
  </si>
  <si>
    <t xml:space="preserve">Mark to Mrkt</t>
  </si>
  <si>
    <t xml:space="preserve">Long(+)</t>
  </si>
  <si>
    <t xml:space="preserve">Index less $.104</t>
  </si>
  <si>
    <t xml:space="preserve"> 06/02-10/02 (4)</t>
  </si>
  <si>
    <t xml:space="preserve">TransCanada</t>
  </si>
  <si>
    <t xml:space="preserve">Back End Swap</t>
  </si>
  <si>
    <t xml:space="preserve">11/00-10/02</t>
  </si>
  <si>
    <t xml:space="preserve">ENA-Put Option</t>
  </si>
  <si>
    <t xml:space="preserve">El Paso </t>
  </si>
  <si>
    <t xml:space="preserve">Q06763.1</t>
  </si>
  <si>
    <t xml:space="preserve">Q60886.1</t>
  </si>
  <si>
    <t xml:space="preserve">QA4309.1</t>
  </si>
  <si>
    <t xml:space="preserve">11/18/00-11/30/00</t>
  </si>
  <si>
    <t xml:space="preserve">QA5217.1</t>
  </si>
  <si>
    <t xml:space="preserve">(3)Gain and Losses are a measurement of the effectiveness of meeting the stated hedge objective.</t>
  </si>
  <si>
    <t xml:space="preserve">(4)Margin call:  $   1,000,000-NNG</t>
  </si>
  <si>
    <t xml:space="preserve">                            $20,000,000-El Paso</t>
  </si>
  <si>
    <t xml:space="preserve">TRANSWESTERN PIPELINE COMPANY</t>
  </si>
  <si>
    <t xml:space="preserve">FUEL HEDGING BOOK</t>
  </si>
  <si>
    <t xml:space="preserve">Risk Management &amp; Trading Corp._2</t>
  </si>
  <si>
    <t xml:space="preserve">Prod.</t>
  </si>
  <si>
    <t xml:space="preserve">Fixed</t>
  </si>
  <si>
    <t xml:space="preserve">Fuel</t>
  </si>
  <si>
    <t xml:space="preserve">Futures_113000</t>
  </si>
  <si>
    <t xml:space="preserve">(Gains) and Losses</t>
  </si>
  <si>
    <t xml:space="preserve">Dth</t>
  </si>
  <si>
    <t xml:space="preserve">El Paso Prmn</t>
  </si>
  <si>
    <t xml:space="preserve">(4)</t>
  </si>
  <si>
    <t xml:space="preserve">EL Paso Prmn</t>
  </si>
  <si>
    <t xml:space="preserve">Over-retention</t>
  </si>
  <si>
    <t xml:space="preserve">(4)Gain and Losses are a measurement of the effectiveness of meeting the stated hedge objective.</t>
  </si>
  <si>
    <t xml:space="preserve">NORTHERN NATURAL GAS COMPANY</t>
  </si>
  <si>
    <t xml:space="preserve">EL PASO ENERGY MARKETING COMPANY_6</t>
  </si>
  <si>
    <t xml:space="preserve">IF-DEMARC</t>
  </si>
  <si>
    <t xml:space="preserve">EL PASO</t>
  </si>
  <si>
    <t xml:space="preserve">Enron North America_9</t>
  </si>
  <si>
    <t xml:space="preserve">futures_113000</t>
  </si>
  <si>
    <t xml:space="preserve">Enron North America_11</t>
  </si>
  <si>
    <t xml:space="preserve">Enron North America_12</t>
  </si>
  <si>
    <t xml:space="preserve">Enron North America_13</t>
  </si>
  <si>
    <t xml:space="preserve">Trading BOOK</t>
  </si>
  <si>
    <t xml:space="preserve">AECO + .94</t>
  </si>
  <si>
    <t xml:space="preserve">AECO + .90</t>
  </si>
  <si>
    <t xml:space="preserve">Receiving</t>
  </si>
  <si>
    <t xml:space="preserve">Paying</t>
  </si>
  <si>
    <t xml:space="preserve">Difference</t>
  </si>
  <si>
    <t xml:space="preserve">TC</t>
  </si>
  <si>
    <t xml:space="preserve">Enron North America</t>
  </si>
  <si>
    <t xml:space="preserve">Deal #QA4309.1</t>
  </si>
  <si>
    <t xml:space="preserve">Notional</t>
  </si>
  <si>
    <t xml:space="preserve">Quantity</t>
  </si>
  <si>
    <t xml:space="preserve">Floating</t>
  </si>
  <si>
    <t xml:space="preserve">GD-Others-Midpoint</t>
  </si>
  <si>
    <t xml:space="preserve">NNG(Demarc)</t>
  </si>
  <si>
    <t xml:space="preserve">Deal #QA5217.1</t>
  </si>
  <si>
    <t xml:space="preserve">GD-Lou. Onshor S.-Midpoint</t>
  </si>
  <si>
    <t xml:space="preserve">Henry Hub</t>
  </si>
  <si>
    <t xml:space="preserve">El Paso Merchant Energy</t>
  </si>
  <si>
    <t xml:space="preserve">Deal #1009351</t>
  </si>
  <si>
    <t xml:space="preserve">Strike</t>
  </si>
  <si>
    <t xml:space="preserve">Call Option</t>
  </si>
  <si>
    <t xml:space="preserve">EL PASO DOES NOT MAKE PAYMENT TO NNG  BECAUSE THE FLOATING PRICE IS LESS THAN THE STRIKE PRICE.</t>
  </si>
  <si>
    <t xml:space="preserve">Floating Price</t>
  </si>
  <si>
    <t xml:space="preserve">Enron North America_19</t>
  </si>
  <si>
    <t xml:space="preserve">ENA-Call Option</t>
  </si>
  <si>
    <t xml:space="preserve">NORTHERN NATUAL GAS COMPANY</t>
  </si>
  <si>
    <t xml:space="preserve">El Paso Merchant Energy_18</t>
  </si>
  <si>
    <t xml:space="preserve">El Paso Call Option</t>
  </si>
  <si>
    <t xml:space="preserve">Enron North America_20</t>
  </si>
  <si>
    <t xml:space="preserve">Deal #QO886.1</t>
  </si>
  <si>
    <t xml:space="preserve">NNG DOES NOT MAKE PAYMENT TO ENA BECAUSE THE FLOATING PRICE IS LESS THAN THE STRIKE PRICE.</t>
  </si>
  <si>
    <t xml:space="preserve">Deal #Qo6763.1</t>
  </si>
  <si>
    <t xml:space="preserve">Enron North America_10</t>
  </si>
  <si>
    <t xml:space="preserve">TW Index</t>
  </si>
  <si>
    <t xml:space="preserve">Sempra_1</t>
  </si>
  <si>
    <t xml:space="preserve">El Paso SJ</t>
  </si>
  <si>
    <t xml:space="preserve">Jun-1999</t>
  </si>
  <si>
    <t xml:space="preserve">Jul-1999</t>
  </si>
  <si>
    <t xml:space="preserve">Aug-1999</t>
  </si>
  <si>
    <t xml:space="preserve">Sep-1999</t>
  </si>
  <si>
    <t xml:space="preserve">Oct-1999</t>
  </si>
  <si>
    <t xml:space="preserve">Nov-1999</t>
  </si>
  <si>
    <t xml:space="preserve">Dec-1999</t>
  </si>
  <si>
    <t xml:space="preserve">Jan-2000</t>
  </si>
  <si>
    <t xml:space="preserve">Feb-2000</t>
  </si>
  <si>
    <t xml:space="preserve">Mar-2000</t>
  </si>
  <si>
    <t xml:space="preserve">Apr-2000</t>
  </si>
  <si>
    <t xml:space="preserve">May-2000</t>
  </si>
  <si>
    <t xml:space="preserve">MID-AMERICAN ENERGY COMPANY-EXPIRED</t>
  </si>
  <si>
    <t xml:space="preserve">IF-Ventura</t>
  </si>
  <si>
    <t xml:space="preserve">NGI-Chicago</t>
  </si>
  <si>
    <t xml:space="preserve">Avista_1</t>
  </si>
  <si>
    <t xml:space="preserve">DEAL EXPIRED</t>
  </si>
  <si>
    <t xml:space="preserve">Avista_2</t>
  </si>
  <si>
    <t xml:space="preserve">Sempra_2</t>
  </si>
  <si>
    <t xml:space="preserve">Sempra_2.1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</si>
</sst>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_(* #,##0_);_(* \(#,##0\);_(* \-??_);_(@_)"/>
    <numFmt numFmtId="166" formatCode="_(\$* #,##0.0000_);_(\$* \(#,##0.0000\);_(\$* \-??_);_(@_)"/>
    <numFmt numFmtId="167" formatCode="_(\$* #,##0.00_);_(\$* \(#,##0.00\);_(\$* \-??_);_(@_)"/>
    <numFmt numFmtId="168" formatCode="_(* #,##0.00_);_(* \(#,##0.00\);_(* \-??_);_(@_)"/>
    <numFmt numFmtId="169" formatCode="[$-409]m/d/yyyy"/>
    <numFmt numFmtId="170" formatCode="_(\$* #,##0.000_);_(\$* \(#,##0.000\);_(\$* \-??_);_(@_)"/>
    <numFmt numFmtId="171" formatCode="_(\$* #,##0_);_(\$* \(#,##0\);_(\$* \-??_);_(@_)"/>
    <numFmt numFmtId="172" formatCode="[$-409]mmm\-yy"/>
    <numFmt numFmtId="173" formatCode="\$#,##0.00000"/>
    <numFmt numFmtId="174" formatCode="mm/dd/yy"/>
    <numFmt numFmtId="175" formatCode="\$#,##0.0000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i val="true"/>
      <sz val="8"/>
      <name val="Arial"/>
      <family val="2"/>
    </font>
    <font>
      <b val="true"/>
      <sz val="8"/>
      <name val="Arial"/>
      <family val="2"/>
    </font>
    <font>
      <sz val="10"/>
      <name val="Times New Roman"/>
      <family val="1"/>
    </font>
    <font>
      <i val="true"/>
      <sz val="8"/>
      <name val="Arial"/>
      <family val="2"/>
    </font>
    <font>
      <b val="true"/>
      <i val="true"/>
      <sz val="12"/>
      <name val="Arial"/>
      <family val="0"/>
    </font>
    <font>
      <b val="true"/>
      <sz val="12"/>
      <name val="Arial"/>
      <family val="2"/>
    </font>
    <font>
      <b val="true"/>
      <i val="true"/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 style="thin"/>
      <top style="double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true" indent="0" shrinkToFit="true"/>
      <protection locked="true" hidden="false"/>
    </xf>
    <xf numFmtId="165" fontId="4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" fillId="0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1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11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1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1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externalLink" Target="externalLinks/externalLink1.xml"/><Relationship Id="rId26" Type="http://schemas.openxmlformats.org/officeDocument/2006/relationships/externalLink" Target="externalLinks/externalLink2.xml"/><Relationship Id="rId27" Type="http://schemas.openxmlformats.org/officeDocument/2006/relationships/externalLink" Target="externalLinks/externalLink3.xml"/><Relationship Id="rId28" Type="http://schemas.openxmlformats.org/officeDocument/2006/relationships/externalLink" Target="externalLinks/externalLink4.xml"/><Relationship Id="rId29" Type="http://schemas.openxmlformats.org/officeDocument/2006/relationships/externalLink" Target="externalLinks/externalLink5.xml"/><Relationship Id="rId3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Back%20end%20deal%20113000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P&amp;L_Curves/futures_11300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P&amp;L_Curves/futures_103100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P&amp;L_Curves/ET&amp;Scurves(b)112700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P&amp;L_Curves/future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</sheetNames>
    <sheetDataSet>
      <sheetData sheetId="0">
        <row r="36">
          <cell r="F36">
            <v>62401635.28848</v>
          </cell>
        </row>
        <row r="36">
          <cell r="I36">
            <v>-1530952.71604023</v>
          </cell>
          <cell r="J36">
            <v>-64767.0936164992</v>
          </cell>
          <cell r="K36">
            <v>-1466185.62242373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Lpaso SJ &amp; Prm"/>
      <sheetName val="Elpaso"/>
      <sheetName val="Aeco"/>
      <sheetName val="Empress"/>
      <sheetName val="Iroquois"/>
      <sheetName val="Dawn"/>
      <sheetName val="Niagara"/>
      <sheetName val="Emerson"/>
      <sheetName val="MEC-EXPIRED"/>
    </sheetNames>
    <sheetDataSet>
      <sheetData sheetId="0">
        <row r="33">
          <cell r="F33">
            <v>6.679</v>
          </cell>
        </row>
        <row r="34">
          <cell r="F34">
            <v>6.503</v>
          </cell>
        </row>
        <row r="35">
          <cell r="F35">
            <v>5.881</v>
          </cell>
        </row>
        <row r="36">
          <cell r="F36">
            <v>5.145</v>
          </cell>
        </row>
        <row r="37">
          <cell r="F37">
            <v>4.86</v>
          </cell>
        </row>
        <row r="38">
          <cell r="F38">
            <v>4.845</v>
          </cell>
        </row>
        <row r="39">
          <cell r="F39">
            <v>4.895</v>
          </cell>
        </row>
        <row r="40">
          <cell r="F40">
            <v>4.885</v>
          </cell>
        </row>
        <row r="41">
          <cell r="F41">
            <v>4.87</v>
          </cell>
        </row>
        <row r="42">
          <cell r="F42">
            <v>4.81</v>
          </cell>
        </row>
        <row r="43">
          <cell r="F43">
            <v>4.875</v>
          </cell>
        </row>
        <row r="44">
          <cell r="F44">
            <v>4.95</v>
          </cell>
        </row>
      </sheetData>
      <sheetData sheetId="1">
        <row r="9">
          <cell r="F9">
            <v>4.11</v>
          </cell>
        </row>
        <row r="10">
          <cell r="F10">
            <v>4.11</v>
          </cell>
        </row>
        <row r="11">
          <cell r="F11">
            <v>4.112</v>
          </cell>
        </row>
        <row r="12">
          <cell r="F12">
            <v>4.107</v>
          </cell>
        </row>
        <row r="13">
          <cell r="F13">
            <v>4.102</v>
          </cell>
        </row>
      </sheetData>
      <sheetData sheetId="2">
        <row r="11">
          <cell r="E11">
            <v>5.3696936031957</v>
          </cell>
        </row>
        <row r="12">
          <cell r="E12">
            <v>6.26385905450958</v>
          </cell>
        </row>
        <row r="13">
          <cell r="E13">
            <v>6.12915172428789</v>
          </cell>
        </row>
        <row r="14">
          <cell r="E14">
            <v>5.56112769957125</v>
          </cell>
        </row>
        <row r="15">
          <cell r="E15">
            <v>4.8825</v>
          </cell>
        </row>
        <row r="16">
          <cell r="E16">
            <v>4.6075</v>
          </cell>
        </row>
        <row r="17">
          <cell r="E17">
            <v>4.5725</v>
          </cell>
        </row>
        <row r="18">
          <cell r="E18">
            <v>4.5525</v>
          </cell>
        </row>
        <row r="19">
          <cell r="E19">
            <v>4.5325</v>
          </cell>
        </row>
        <row r="20">
          <cell r="E20">
            <v>4.5175</v>
          </cell>
        </row>
        <row r="21">
          <cell r="E21">
            <v>4.5075</v>
          </cell>
        </row>
        <row r="22">
          <cell r="E22">
            <v>4.7</v>
          </cell>
        </row>
        <row r="23">
          <cell r="E23">
            <v>4.775</v>
          </cell>
        </row>
        <row r="24">
          <cell r="E24">
            <v>4.785</v>
          </cell>
        </row>
        <row r="25">
          <cell r="E25">
            <v>4.555</v>
          </cell>
        </row>
        <row r="26">
          <cell r="E26">
            <v>4.32</v>
          </cell>
        </row>
        <row r="27">
          <cell r="E27">
            <v>3.8875</v>
          </cell>
        </row>
        <row r="28">
          <cell r="E28">
            <v>3.8375</v>
          </cell>
        </row>
        <row r="29">
          <cell r="E29">
            <v>3.8175</v>
          </cell>
        </row>
        <row r="30">
          <cell r="E30">
            <v>3.8175</v>
          </cell>
        </row>
        <row r="31">
          <cell r="E31">
            <v>3.8195</v>
          </cell>
        </row>
        <row r="32">
          <cell r="E32">
            <v>3.8145</v>
          </cell>
        </row>
        <row r="33">
          <cell r="E33">
            <v>3.8095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Lpaso SJ &amp; Prm"/>
      <sheetName val="Elpaso"/>
      <sheetName val="Aeco"/>
      <sheetName val="Empress"/>
      <sheetName val="Iroquois"/>
      <sheetName val="Dawn"/>
      <sheetName val="Niagara"/>
      <sheetName val="Emerson"/>
      <sheetName val="MEC-EXPIRED"/>
    </sheetNames>
    <sheetDataSet>
      <sheetData sheetId="0"/>
      <sheetData sheetId="1"/>
      <sheetData sheetId="2">
        <row r="11">
          <cell r="E11">
            <v>4.68672043705198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urves"/>
    </sheetNames>
    <sheetDataSet>
      <sheetData sheetId="0">
        <row r="23">
          <cell r="C23">
            <v>4.785</v>
          </cell>
        </row>
        <row r="30">
          <cell r="C30">
            <v>4.042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ELpaso SJ &amp; Prm"/>
      <sheetName val="Elpaso"/>
      <sheetName val="Aeco"/>
      <sheetName val="Empress"/>
      <sheetName val="Iroguois"/>
      <sheetName val="Dawn"/>
      <sheetName val="Niagara"/>
      <sheetName val="Emerson"/>
      <sheetName val="MEC-EXPIRED"/>
      <sheetName val="Sheet1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5625" defaultRowHeight="11.25" customHeight="true" zeroHeight="false" outlineLevelRow="0" outlineLevelCol="0"/>
  <cols>
    <col collapsed="false" customWidth="true" hidden="false" outlineLevel="0" max="1" min="1" style="1" width="7.99"/>
    <col collapsed="false" customWidth="true" hidden="false" outlineLevel="0" max="2" min="2" style="1" width="8.99"/>
    <col collapsed="false" customWidth="true" hidden="false" outlineLevel="0" max="3" min="3" style="1" width="11.56"/>
    <col collapsed="false" customWidth="true" hidden="false" outlineLevel="0" max="4" min="4" style="2" width="8.41"/>
    <col collapsed="false" customWidth="true" hidden="false" outlineLevel="0" max="5" min="5" style="1" width="11.7"/>
    <col collapsed="false" customWidth="true" hidden="false" outlineLevel="0" max="6" min="6" style="1" width="7.42"/>
    <col collapsed="false" customWidth="true" hidden="false" outlineLevel="0" max="7" min="7" style="1" width="11.28"/>
    <col collapsed="false" customWidth="true" hidden="false" outlineLevel="0" max="8" min="8" style="1" width="13.56"/>
    <col collapsed="false" customWidth="true" hidden="false" outlineLevel="0" max="9" min="9" style="1" width="9.41"/>
    <col collapsed="false" customWidth="true" hidden="false" outlineLevel="0" max="10" min="10" style="1" width="8.41"/>
    <col collapsed="false" customWidth="true" hidden="false" outlineLevel="0" max="11" min="11" style="1" width="8.56"/>
    <col collapsed="false" customWidth="false" hidden="false" outlineLevel="0" max="12" min="12" style="1" width="9.56"/>
    <col collapsed="false" customWidth="true" hidden="false" outlineLevel="0" max="13" min="13" style="1" width="13.14"/>
    <col collapsed="false" customWidth="false" hidden="false" outlineLevel="0" max="14" min="14" style="1" width="9.56"/>
    <col collapsed="false" customWidth="true" hidden="false" outlineLevel="0" max="15" min="15" style="1" width="14.28"/>
    <col collapsed="false" customWidth="true" hidden="false" outlineLevel="0" max="17" min="16" style="1" width="13.41"/>
    <col collapsed="false" customWidth="false" hidden="false" outlineLevel="0" max="257" min="18" style="1" width="9.56"/>
  </cols>
  <sheetData>
    <row r="1" customFormat="false" ht="10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0.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0.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5" customFormat="false" ht="11.25" hidden="false" customHeight="false" outlineLevel="0" collapsed="false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customFormat="false" ht="11.25" hidden="false" customHeight="false" outlineLevel="0" collapsed="false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customFormat="false" ht="11.25" hidden="false" customHeight="false" outlineLevel="0" collapsed="false">
      <c r="A7" s="3" t="s">
        <v>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customFormat="false" ht="11.25" hidden="false" customHeight="false" outlineLevel="0" collapsed="false">
      <c r="A8" s="1" t="s">
        <v>5</v>
      </c>
      <c r="L8" s="6"/>
      <c r="N8" s="7"/>
    </row>
    <row r="9" customFormat="false" ht="10.5" hidden="false" customHeight="false" outlineLevel="0" collapsed="false">
      <c r="A9" s="8" t="s">
        <v>6</v>
      </c>
      <c r="B9" s="9" t="s">
        <v>7</v>
      </c>
      <c r="C9" s="9" t="s">
        <v>8</v>
      </c>
      <c r="D9" s="9" t="s">
        <v>8</v>
      </c>
      <c r="E9" s="9" t="s">
        <v>8</v>
      </c>
      <c r="F9" s="9" t="s">
        <v>9</v>
      </c>
      <c r="G9" s="9" t="s">
        <v>10</v>
      </c>
      <c r="H9" s="9" t="s">
        <v>11</v>
      </c>
      <c r="I9" s="9" t="s">
        <v>12</v>
      </c>
      <c r="J9" s="9" t="s">
        <v>8</v>
      </c>
      <c r="K9" s="9" t="s">
        <v>13</v>
      </c>
      <c r="L9" s="9" t="s">
        <v>14</v>
      </c>
      <c r="M9" s="9" t="s">
        <v>8</v>
      </c>
      <c r="N9" s="10" t="s">
        <v>15</v>
      </c>
      <c r="O9" s="9"/>
      <c r="P9" s="9"/>
      <c r="Q9" s="11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  <c r="IT9" s="5"/>
      <c r="IU9" s="5"/>
      <c r="IV9" s="5"/>
      <c r="IW9" s="5"/>
    </row>
    <row r="10" customFormat="false" ht="10.5" hidden="false" customHeight="false" outlineLevel="0" collapsed="false">
      <c r="A10" s="12" t="s">
        <v>16</v>
      </c>
      <c r="B10" s="10" t="s">
        <v>17</v>
      </c>
      <c r="C10" s="10" t="s">
        <v>17</v>
      </c>
      <c r="D10" s="10" t="s">
        <v>18</v>
      </c>
      <c r="E10" s="10" t="s">
        <v>19</v>
      </c>
      <c r="F10" s="10"/>
      <c r="G10" s="10" t="s">
        <v>20</v>
      </c>
      <c r="H10" s="10" t="s">
        <v>21</v>
      </c>
      <c r="I10" s="10" t="s">
        <v>22</v>
      </c>
      <c r="J10" s="10" t="s">
        <v>23</v>
      </c>
      <c r="K10" s="10" t="s">
        <v>24</v>
      </c>
      <c r="L10" s="10"/>
      <c r="M10" s="10" t="s">
        <v>25</v>
      </c>
      <c r="N10" s="10"/>
      <c r="O10" s="13" t="s">
        <v>26</v>
      </c>
      <c r="P10" s="13"/>
      <c r="Q10" s="13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  <c r="IW10" s="5"/>
    </row>
    <row r="11" customFormat="false" ht="10.5" hidden="false" customHeight="false" outlineLevel="0" collapsed="false">
      <c r="A11" s="12"/>
      <c r="B11" s="10"/>
      <c r="C11" s="10"/>
      <c r="D11" s="10"/>
      <c r="E11" s="10"/>
      <c r="F11" s="10"/>
      <c r="G11" s="10" t="s">
        <v>27</v>
      </c>
      <c r="H11" s="10"/>
      <c r="I11" s="10"/>
      <c r="J11" s="10"/>
      <c r="K11" s="10" t="s">
        <v>28</v>
      </c>
      <c r="L11" s="10"/>
      <c r="M11" s="10" t="s">
        <v>29</v>
      </c>
      <c r="N11" s="10"/>
      <c r="O11" s="10" t="s">
        <v>30</v>
      </c>
      <c r="P11" s="10" t="s">
        <v>31</v>
      </c>
      <c r="Q11" s="14" t="s">
        <v>32</v>
      </c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</row>
    <row r="12" customFormat="false" ht="10.5" hidden="false" customHeight="false" outlineLevel="0" collapsed="false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 t="s">
        <v>33</v>
      </c>
      <c r="L12" s="16"/>
      <c r="M12" s="16" t="s">
        <v>34</v>
      </c>
      <c r="N12" s="16"/>
      <c r="O12" s="16" t="s">
        <v>35</v>
      </c>
      <c r="P12" s="16" t="s">
        <v>35</v>
      </c>
      <c r="Q12" s="13" t="s">
        <v>35</v>
      </c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</row>
    <row r="13" customFormat="false" ht="11.25" hidden="true" customHeight="false" outlineLevel="0" collapsed="false">
      <c r="A13" s="17" t="n">
        <v>1</v>
      </c>
      <c r="B13" s="17" t="s">
        <v>36</v>
      </c>
      <c r="C13" s="17" t="s">
        <v>37</v>
      </c>
      <c r="D13" s="17"/>
      <c r="E13" s="17" t="s">
        <v>38</v>
      </c>
      <c r="F13" s="18"/>
      <c r="G13" s="17" t="s">
        <v>39</v>
      </c>
      <c r="H13" s="19" t="s">
        <v>40</v>
      </c>
      <c r="I13" s="18"/>
      <c r="J13" s="20" t="n">
        <f aca="false">+Avista_1_Expired!D10</f>
        <v>2.22</v>
      </c>
      <c r="K13" s="21" t="n">
        <f aca="false">(SUM(Avista_1_Expired!G10:G21)+SUM(Avista_1_Expired!H26:H37))/12</f>
        <v>1.7525</v>
      </c>
      <c r="L13" s="20" t="n">
        <f aca="false">-O13/M13</f>
        <v>-0.466027397260274</v>
      </c>
      <c r="M13" s="22" t="n">
        <f aca="false">-Avista_1_Expired!F22</f>
        <v>-91250</v>
      </c>
      <c r="N13" s="22" t="n">
        <f aca="false">+M13/365</f>
        <v>-250</v>
      </c>
      <c r="O13" s="23" t="n">
        <f aca="false">-Avista_1_Expired!I22</f>
        <v>-42525</v>
      </c>
      <c r="P13" s="24" t="n">
        <f aca="false">-Avista_1_Expired!J22</f>
        <v>-42525</v>
      </c>
      <c r="Q13" s="24" t="n">
        <f aca="false">-Avista_1_Expired!K22</f>
        <v>-0</v>
      </c>
    </row>
    <row r="14" customFormat="false" ht="11.25" hidden="true" customHeight="false" outlineLevel="0" collapsed="false">
      <c r="A14" s="25" t="n">
        <v>1</v>
      </c>
      <c r="B14" s="25" t="s">
        <v>36</v>
      </c>
      <c r="C14" s="25" t="s">
        <v>39</v>
      </c>
      <c r="D14" s="25" t="n">
        <v>26125</v>
      </c>
      <c r="E14" s="25" t="s">
        <v>41</v>
      </c>
      <c r="F14" s="25" t="s">
        <v>42</v>
      </c>
      <c r="G14" s="25" t="s">
        <v>37</v>
      </c>
      <c r="H14" s="19" t="s">
        <v>40</v>
      </c>
      <c r="I14" s="26"/>
      <c r="J14" s="27" t="n">
        <f aca="false">+Avista_1_Expired!D26</f>
        <v>2.22</v>
      </c>
      <c r="K14" s="28" t="n">
        <f aca="false">(SUM(Avista_1_Expired!G26:G37)+SUM(Avista_1_Expired!H26:H37))/12</f>
        <v>1.81916666666667</v>
      </c>
      <c r="L14" s="29" t="n">
        <f aca="false">+O14/M14</f>
        <v>0.368739726027397</v>
      </c>
      <c r="M14" s="30" t="n">
        <f aca="false">-Avista_1_Expired!F38</f>
        <v>91250</v>
      </c>
      <c r="N14" s="31" t="n">
        <f aca="false">+M14/365</f>
        <v>250</v>
      </c>
      <c r="O14" s="32" t="n">
        <f aca="false">-Avista_1_Expired!I38</f>
        <v>33647.5</v>
      </c>
      <c r="P14" s="24" t="n">
        <f aca="false">-Avista_1_Expired!J38</f>
        <v>33647.5</v>
      </c>
      <c r="Q14" s="24" t="n">
        <f aca="false">-Avista_1_Expired!K38</f>
        <v>-0</v>
      </c>
    </row>
    <row r="15" customFormat="false" ht="11.25" hidden="true" customHeight="false" outlineLevel="0" collapsed="false">
      <c r="A15" s="25"/>
      <c r="B15" s="25"/>
      <c r="C15" s="25"/>
      <c r="D15" s="25"/>
      <c r="E15" s="25"/>
      <c r="F15" s="25"/>
      <c r="G15" s="25"/>
      <c r="H15" s="26"/>
      <c r="I15" s="26"/>
      <c r="J15" s="27"/>
      <c r="K15" s="21"/>
      <c r="L15" s="27" t="n">
        <f aca="false">+L13+L14</f>
        <v>-0.0972876712328767</v>
      </c>
      <c r="M15" s="33" t="n">
        <f aca="false">SUM(M13:M14)</f>
        <v>0</v>
      </c>
      <c r="N15" s="33" t="n">
        <f aca="false">SUM(N13:N14)</f>
        <v>0</v>
      </c>
      <c r="O15" s="34" t="n">
        <f aca="false">SUM(O13:O14)</f>
        <v>-8877.5</v>
      </c>
      <c r="P15" s="34" t="n">
        <f aca="false">SUM(P13:P14)</f>
        <v>-8877.5</v>
      </c>
      <c r="Q15" s="34" t="n">
        <f aca="false">SUM(Q13:Q14)</f>
        <v>0</v>
      </c>
    </row>
    <row r="16" customFormat="false" ht="9.95" hidden="true" customHeight="true" outlineLevel="0" collapsed="false">
      <c r="A16" s="25"/>
      <c r="B16" s="25"/>
      <c r="C16" s="25"/>
      <c r="D16" s="25"/>
      <c r="E16" s="25"/>
      <c r="F16" s="25"/>
      <c r="G16" s="25"/>
      <c r="H16" s="26"/>
      <c r="I16" s="26"/>
      <c r="J16" s="27"/>
      <c r="K16" s="21"/>
      <c r="L16" s="27"/>
      <c r="M16" s="31"/>
      <c r="N16" s="31"/>
      <c r="O16" s="32"/>
      <c r="P16" s="24"/>
      <c r="Q16" s="24"/>
    </row>
    <row r="17" customFormat="false" ht="11.25" hidden="true" customHeight="false" outlineLevel="0" collapsed="false">
      <c r="A17" s="25" t="n">
        <v>1</v>
      </c>
      <c r="B17" s="25" t="s">
        <v>36</v>
      </c>
      <c r="C17" s="25" t="s">
        <v>43</v>
      </c>
      <c r="D17" s="25"/>
      <c r="E17" s="25" t="s">
        <v>38</v>
      </c>
      <c r="F17" s="25"/>
      <c r="G17" s="25" t="s">
        <v>39</v>
      </c>
      <c r="H17" s="19" t="s">
        <v>44</v>
      </c>
      <c r="I17" s="26"/>
      <c r="J17" s="27" t="n">
        <f aca="false">+Sempra_1_Expired!D9</f>
        <v>1.945</v>
      </c>
      <c r="K17" s="28" t="n">
        <f aca="false">(SUM(Sempra_1_Expired!G9:H20)/12)</f>
        <v>2.38583333333333</v>
      </c>
      <c r="L17" s="27" t="n">
        <f aca="false">-O17/M17</f>
        <v>0.439234972677596</v>
      </c>
      <c r="M17" s="30" t="n">
        <f aca="false">-Sempra_1_Expired!F21</f>
        <v>-91500</v>
      </c>
      <c r="N17" s="31" t="n">
        <f aca="false">+M17/366</f>
        <v>-250</v>
      </c>
      <c r="O17" s="32" t="n">
        <f aca="false">-Sempra_1_Expired!I21</f>
        <v>40190</v>
      </c>
      <c r="P17" s="24" t="n">
        <f aca="false">-Sempra_1_Expired!J21</f>
        <v>40190</v>
      </c>
      <c r="Q17" s="24" t="n">
        <f aca="false">-Sempra_1_Expired!K21</f>
        <v>-0</v>
      </c>
    </row>
    <row r="18" customFormat="false" ht="11.25" hidden="true" customHeight="false" outlineLevel="0" collapsed="false">
      <c r="A18" s="25" t="n">
        <v>1</v>
      </c>
      <c r="B18" s="25" t="s">
        <v>36</v>
      </c>
      <c r="C18" s="25" t="s">
        <v>39</v>
      </c>
      <c r="D18" s="25" t="n">
        <v>26125</v>
      </c>
      <c r="E18" s="25" t="s">
        <v>41</v>
      </c>
      <c r="F18" s="25" t="s">
        <v>42</v>
      </c>
      <c r="G18" s="25" t="s">
        <v>43</v>
      </c>
      <c r="H18" s="19" t="s">
        <v>44</v>
      </c>
      <c r="I18" s="26"/>
      <c r="J18" s="27" t="n">
        <f aca="false">+Sempra_1_Expired!D25</f>
        <v>1.945</v>
      </c>
      <c r="K18" s="21" t="n">
        <f aca="false">(SUM(Sempra_1_Expired!G25:H36)/12)</f>
        <v>2.45916666666667</v>
      </c>
      <c r="L18" s="29" t="n">
        <f aca="false">+O18/M18</f>
        <v>-0.515546448087432</v>
      </c>
      <c r="M18" s="31" t="n">
        <f aca="false">-Sempra_1_Expired!F37</f>
        <v>91500</v>
      </c>
      <c r="N18" s="31" t="n">
        <f aca="false">+M18/366</f>
        <v>250</v>
      </c>
      <c r="O18" s="32" t="n">
        <f aca="false">-Sempra_1_Expired!I37</f>
        <v>-47172.5</v>
      </c>
      <c r="P18" s="24" t="n">
        <f aca="false">-Sempra_1_Expired!J37</f>
        <v>-47172.5</v>
      </c>
      <c r="Q18" s="24" t="n">
        <f aca="false">-Sempra_1_Expired!K37</f>
        <v>-0</v>
      </c>
    </row>
    <row r="19" customFormat="false" ht="11.25" hidden="true" customHeight="false" outlineLevel="0" collapsed="false">
      <c r="A19" s="25"/>
      <c r="B19" s="25"/>
      <c r="C19" s="25"/>
      <c r="D19" s="25"/>
      <c r="E19" s="26"/>
      <c r="F19" s="26"/>
      <c r="G19" s="26"/>
      <c r="H19" s="26"/>
      <c r="I19" s="26"/>
      <c r="J19" s="26"/>
      <c r="K19" s="35"/>
      <c r="L19" s="27" t="n">
        <f aca="false">+L17+L18</f>
        <v>-0.0763114754098361</v>
      </c>
      <c r="M19" s="36" t="n">
        <f aca="false">+M13+M14</f>
        <v>0</v>
      </c>
      <c r="N19" s="36" t="n">
        <f aca="false">+N13+N14</f>
        <v>0</v>
      </c>
      <c r="O19" s="37" t="n">
        <f aca="false">+O17+O18</f>
        <v>-6982.5</v>
      </c>
      <c r="P19" s="37" t="n">
        <f aca="false">+P17+P18</f>
        <v>-6982.5</v>
      </c>
      <c r="Q19" s="37" t="n">
        <f aca="false">+Q17+Q18</f>
        <v>-0</v>
      </c>
    </row>
    <row r="20" customFormat="false" ht="9.95" hidden="true" customHeight="true" outlineLevel="0" collapsed="false">
      <c r="A20" s="25"/>
      <c r="B20" s="25"/>
      <c r="C20" s="26"/>
      <c r="D20" s="25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38"/>
      <c r="Q20" s="38"/>
    </row>
    <row r="21" customFormat="false" ht="11.25" hidden="true" customHeight="false" outlineLevel="0" collapsed="false">
      <c r="A21" s="25" t="n">
        <v>2</v>
      </c>
      <c r="B21" s="25" t="s">
        <v>36</v>
      </c>
      <c r="C21" s="25" t="s">
        <v>37</v>
      </c>
      <c r="D21" s="25"/>
      <c r="E21" s="25" t="s">
        <v>38</v>
      </c>
      <c r="F21" s="26"/>
      <c r="G21" s="25" t="s">
        <v>45</v>
      </c>
      <c r="H21" s="19" t="s">
        <v>46</v>
      </c>
      <c r="I21" s="26"/>
      <c r="J21" s="21" t="n">
        <f aca="false">+Avista_2_Expired!D9</f>
        <v>2.005</v>
      </c>
      <c r="K21" s="21" t="n">
        <f aca="false">(SUM(Avista_2_Expired!G9:G23)+SUM(Avista_2_Expired!H9:H23))/15</f>
        <v>2.08933333333333</v>
      </c>
      <c r="L21" s="27" t="n">
        <f aca="false">-O21/M21</f>
        <v>0.0852625820568929</v>
      </c>
      <c r="M21" s="31" t="n">
        <f aca="false">-Avista_2_Expired!F24</f>
        <v>1142500</v>
      </c>
      <c r="N21" s="31" t="n">
        <f aca="false">+M21/457</f>
        <v>2500</v>
      </c>
      <c r="O21" s="32" t="n">
        <f aca="false">-Avista_2_Expired!I24</f>
        <v>-97412.5000000001</v>
      </c>
      <c r="P21" s="24" t="n">
        <f aca="false">-Avista_2_Expired!J24</f>
        <v>-97412.5000000001</v>
      </c>
      <c r="Q21" s="24" t="n">
        <f aca="false">-Avista_2_Expired!K24</f>
        <v>-0</v>
      </c>
    </row>
    <row r="22" customFormat="false" ht="11.25" hidden="true" customHeight="false" outlineLevel="0" collapsed="false">
      <c r="A22" s="25" t="n">
        <v>2</v>
      </c>
      <c r="B22" s="25" t="s">
        <v>36</v>
      </c>
      <c r="C22" s="25" t="s">
        <v>45</v>
      </c>
      <c r="D22" s="25"/>
      <c r="E22" s="25" t="s">
        <v>41</v>
      </c>
      <c r="F22" s="25" t="s">
        <v>42</v>
      </c>
      <c r="G22" s="25" t="s">
        <v>37</v>
      </c>
      <c r="H22" s="19" t="s">
        <v>46</v>
      </c>
      <c r="I22" s="26"/>
      <c r="J22" s="21" t="n">
        <f aca="false">+Avista_2_Expired!D28</f>
        <v>2.005</v>
      </c>
      <c r="K22" s="21" t="n">
        <f aca="false">(SUM(Avista_2_Expired!G28:G42)+SUM(Avista_2_Expired!H28:H42))/15</f>
        <v>2.036</v>
      </c>
      <c r="L22" s="29" t="n">
        <f aca="false">+O22/M22</f>
        <v>-0.0328993435448578</v>
      </c>
      <c r="M22" s="31" t="n">
        <f aca="false">-Avista_2_Expired!F43</f>
        <v>-1142500</v>
      </c>
      <c r="N22" s="31" t="n">
        <f aca="false">+M22/457</f>
        <v>-2500</v>
      </c>
      <c r="O22" s="32" t="n">
        <f aca="false">-Avista_2_Expired!I43</f>
        <v>37587.5000000001</v>
      </c>
      <c r="P22" s="24" t="n">
        <f aca="false">-Avista_2_Expired!J43</f>
        <v>37587.5000000001</v>
      </c>
      <c r="Q22" s="24" t="n">
        <f aca="false">-Avista_2_Expired!K43</f>
        <v>-0</v>
      </c>
    </row>
    <row r="23" customFormat="false" ht="11.25" hidden="true" customHeight="false" outlineLevel="0" collapsed="false">
      <c r="A23" s="25"/>
      <c r="B23" s="25"/>
      <c r="C23" s="26"/>
      <c r="D23" s="25"/>
      <c r="E23" s="26"/>
      <c r="F23" s="26"/>
      <c r="G23" s="26"/>
      <c r="H23" s="26"/>
      <c r="I23" s="26"/>
      <c r="J23" s="26"/>
      <c r="K23" s="26"/>
      <c r="L23" s="27" t="n">
        <f aca="false">+L21+L22</f>
        <v>0.052363238512035</v>
      </c>
      <c r="M23" s="36" t="n">
        <f aca="false">+M22+M21</f>
        <v>0</v>
      </c>
      <c r="N23" s="36" t="n">
        <f aca="false">+N22+N21</f>
        <v>0</v>
      </c>
      <c r="O23" s="37" t="n">
        <f aca="false">+O22+O21</f>
        <v>-59825</v>
      </c>
      <c r="P23" s="37" t="n">
        <f aca="false">+P22+P21</f>
        <v>-59825</v>
      </c>
      <c r="Q23" s="37" t="n">
        <f aca="false">+Q22+Q21</f>
        <v>-0</v>
      </c>
    </row>
    <row r="24" customFormat="false" ht="9.95" hidden="true" customHeight="true" outlineLevel="0" collapsed="false">
      <c r="A24" s="25"/>
      <c r="B24" s="25"/>
      <c r="C24" s="26"/>
      <c r="D24" s="25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38"/>
      <c r="Q24" s="38"/>
    </row>
    <row r="25" customFormat="false" ht="11.25" hidden="true" customHeight="false" outlineLevel="0" collapsed="false">
      <c r="A25" s="25" t="n">
        <v>2</v>
      </c>
      <c r="B25" s="25" t="s">
        <v>36</v>
      </c>
      <c r="C25" s="25" t="s">
        <v>43</v>
      </c>
      <c r="D25" s="25"/>
      <c r="E25" s="25" t="s">
        <v>38</v>
      </c>
      <c r="F25" s="26"/>
      <c r="G25" s="25" t="s">
        <v>45</v>
      </c>
      <c r="H25" s="19" t="s">
        <v>46</v>
      </c>
      <c r="I25" s="26"/>
      <c r="J25" s="21" t="n">
        <f aca="false">+Sempra_2_Expired!D9</f>
        <v>2.1</v>
      </c>
      <c r="K25" s="21" t="n">
        <f aca="false">(SUM(Sempra_2_Expired!G9:G23)+SUM(Sempra_2_Expired!H9:H23))/15</f>
        <v>2.08933333333333</v>
      </c>
      <c r="L25" s="27" t="n">
        <f aca="false">-O25/M25</f>
        <v>-0.00973741794310733</v>
      </c>
      <c r="M25" s="31" t="n">
        <f aca="false">-Sempra_2_Expired!F24</f>
        <v>1142500</v>
      </c>
      <c r="N25" s="31" t="n">
        <f aca="false">+M25/457</f>
        <v>2500</v>
      </c>
      <c r="O25" s="32" t="n">
        <f aca="false">-Sempra_2_Expired!I24</f>
        <v>11125.0000000001</v>
      </c>
      <c r="P25" s="24" t="n">
        <f aca="false">-Sempra_2_Expired!J24</f>
        <v>11125.0000000001</v>
      </c>
      <c r="Q25" s="24" t="n">
        <f aca="false">-Sempra_2_Expired!K24</f>
        <v>-0</v>
      </c>
    </row>
    <row r="26" customFormat="false" ht="11.25" hidden="true" customHeight="false" outlineLevel="0" collapsed="false">
      <c r="A26" s="25" t="n">
        <v>2</v>
      </c>
      <c r="B26" s="25" t="s">
        <v>36</v>
      </c>
      <c r="C26" s="25" t="s">
        <v>45</v>
      </c>
      <c r="D26" s="25"/>
      <c r="E26" s="25" t="s">
        <v>41</v>
      </c>
      <c r="F26" s="25" t="s">
        <v>42</v>
      </c>
      <c r="G26" s="25" t="s">
        <v>43</v>
      </c>
      <c r="H26" s="19" t="s">
        <v>46</v>
      </c>
      <c r="I26" s="26"/>
      <c r="J26" s="21" t="n">
        <f aca="false">+Sempra_2_Expired!D28</f>
        <v>2.1</v>
      </c>
      <c r="K26" s="21" t="n">
        <f aca="false">(SUM(Sempra_2_Expired!G28:G42)+SUM(Sempra_2_Expired!H28:H42))/15</f>
        <v>2.036</v>
      </c>
      <c r="L26" s="29" t="n">
        <f aca="false">+O26/M26</f>
        <v>0.0621006564551423</v>
      </c>
      <c r="M26" s="39" t="n">
        <f aca="false">-Sempra_2_Expired!F43</f>
        <v>-1142500</v>
      </c>
      <c r="N26" s="39" t="n">
        <f aca="false">+M26/457</f>
        <v>-2500</v>
      </c>
      <c r="O26" s="40" t="n">
        <f aca="false">-Sempra_2_Expired!I43</f>
        <v>-70950.0000000001</v>
      </c>
      <c r="P26" s="41" t="n">
        <f aca="false">-Sempra_2_Expired!J43</f>
        <v>-70950.0000000001</v>
      </c>
      <c r="Q26" s="41" t="n">
        <f aca="false">-Sempra_2_Expired!K43</f>
        <v>-0</v>
      </c>
    </row>
    <row r="27" customFormat="false" ht="11.25" hidden="true" customHeight="false" outlineLevel="0" collapsed="false">
      <c r="A27" s="25"/>
      <c r="B27" s="25"/>
      <c r="C27" s="25"/>
      <c r="D27" s="25"/>
      <c r="E27" s="25"/>
      <c r="F27" s="25"/>
      <c r="G27" s="25"/>
      <c r="H27" s="26"/>
      <c r="I27" s="26"/>
      <c r="J27" s="21"/>
      <c r="K27" s="21"/>
      <c r="L27" s="27" t="n">
        <f aca="false">+L25+L26</f>
        <v>0.052363238512035</v>
      </c>
      <c r="M27" s="31" t="n">
        <f aca="false">+M26+M25</f>
        <v>0</v>
      </c>
      <c r="N27" s="31" t="n">
        <f aca="false">+N26+N25</f>
        <v>0</v>
      </c>
      <c r="O27" s="42" t="n">
        <f aca="false">+O26+O25</f>
        <v>-59825</v>
      </c>
      <c r="P27" s="42" t="n">
        <f aca="false">+P26+P25</f>
        <v>-59825</v>
      </c>
      <c r="Q27" s="42" t="n">
        <f aca="false">+Q26+Q25</f>
        <v>-0</v>
      </c>
    </row>
    <row r="28" customFormat="false" ht="9.95" hidden="true" customHeight="true" outlineLevel="0" collapsed="false">
      <c r="A28" s="25"/>
      <c r="B28" s="25"/>
      <c r="C28" s="25"/>
      <c r="D28" s="25"/>
      <c r="E28" s="25"/>
      <c r="F28" s="25"/>
      <c r="G28" s="25"/>
      <c r="H28" s="26"/>
      <c r="I28" s="26"/>
      <c r="J28" s="21"/>
      <c r="K28" s="21"/>
      <c r="L28" s="21"/>
      <c r="M28" s="31"/>
      <c r="N28" s="31"/>
      <c r="O28" s="32"/>
      <c r="P28" s="24"/>
      <c r="Q28" s="24"/>
    </row>
    <row r="29" customFormat="false" ht="11.25" hidden="true" customHeight="false" outlineLevel="0" collapsed="false">
      <c r="A29" s="25" t="n">
        <v>2</v>
      </c>
      <c r="B29" s="25" t="s">
        <v>36</v>
      </c>
      <c r="C29" s="25" t="s">
        <v>43</v>
      </c>
      <c r="D29" s="25"/>
      <c r="E29" s="25" t="s">
        <v>38</v>
      </c>
      <c r="F29" s="26"/>
      <c r="G29" s="25" t="s">
        <v>45</v>
      </c>
      <c r="H29" s="19" t="s">
        <v>47</v>
      </c>
      <c r="I29" s="26"/>
      <c r="J29" s="21" t="n">
        <v>2.01</v>
      </c>
      <c r="K29" s="21" t="n">
        <f aca="false">(SUM('Sempra_2.1_Expired'!G9:G16)+SUM('Sempra_2.1_Expired'!H9:H19))/8</f>
        <v>2.3775</v>
      </c>
      <c r="L29" s="27" t="n">
        <f aca="false">-O29/M29</f>
        <v>0.365061224489796</v>
      </c>
      <c r="M29" s="31" t="n">
        <f aca="false">-'Sempra_2.1_Expired'!F17</f>
        <v>2450000</v>
      </c>
      <c r="N29" s="31" t="n">
        <f aca="false">+M29/245</f>
        <v>10000</v>
      </c>
      <c r="O29" s="32" t="n">
        <f aca="false">-'Sempra_2.1_Expired'!I17</f>
        <v>-894400.000000001</v>
      </c>
      <c r="P29" s="24" t="n">
        <f aca="false">-'Sempra_2.1_Expired'!J17</f>
        <v>-894400.000000001</v>
      </c>
      <c r="Q29" s="24" t="n">
        <f aca="false">-'Sempra_2.1_Expired'!K17</f>
        <v>-0</v>
      </c>
    </row>
    <row r="30" customFormat="false" ht="11.25" hidden="true" customHeight="false" outlineLevel="0" collapsed="false">
      <c r="A30" s="25" t="n">
        <v>2</v>
      </c>
      <c r="B30" s="25" t="s">
        <v>36</v>
      </c>
      <c r="C30" s="25" t="s">
        <v>45</v>
      </c>
      <c r="D30" s="25"/>
      <c r="E30" s="25" t="s">
        <v>41</v>
      </c>
      <c r="F30" s="25" t="s">
        <v>42</v>
      </c>
      <c r="G30" s="25" t="s">
        <v>43</v>
      </c>
      <c r="H30" s="19" t="s">
        <v>47</v>
      </c>
      <c r="I30" s="26"/>
      <c r="J30" s="21" t="n">
        <v>2.01</v>
      </c>
      <c r="K30" s="21" t="n">
        <f aca="false">(SUM('Sempra_2.1_Expired'!G21:G28)+SUM('Sempra_2.1_Expired'!H21:H28))/8</f>
        <v>2.2675</v>
      </c>
      <c r="L30" s="29" t="n">
        <f aca="false">+O30/M30</f>
        <v>-0.258326530612245</v>
      </c>
      <c r="M30" s="31" t="n">
        <f aca="false">-'Sempra_2.1_Expired'!F29</f>
        <v>-2450000</v>
      </c>
      <c r="N30" s="31" t="n">
        <f aca="false">+M30/245</f>
        <v>-10000</v>
      </c>
      <c r="O30" s="32" t="n">
        <f aca="false">-'Sempra_2.1_Expired'!I29</f>
        <v>632900</v>
      </c>
      <c r="P30" s="24" t="n">
        <f aca="false">-'Sempra_2.1_Expired'!J29</f>
        <v>632900</v>
      </c>
      <c r="Q30" s="24" t="n">
        <f aca="false">-'Sempra_2.1_Expired'!K29</f>
        <v>-0</v>
      </c>
    </row>
    <row r="31" customFormat="false" ht="11.25" hidden="true" customHeight="false" outlineLevel="0" collapsed="false">
      <c r="A31" s="25"/>
      <c r="B31" s="25"/>
      <c r="C31" s="26"/>
      <c r="D31" s="25"/>
      <c r="E31" s="26"/>
      <c r="F31" s="26"/>
      <c r="G31" s="26"/>
      <c r="H31" s="26"/>
      <c r="I31" s="26"/>
      <c r="J31" s="26"/>
      <c r="K31" s="26"/>
      <c r="L31" s="27" t="n">
        <f aca="false">+L29+L30</f>
        <v>0.106734693877551</v>
      </c>
      <c r="M31" s="36" t="n">
        <f aca="false">+M29+M30</f>
        <v>0</v>
      </c>
      <c r="N31" s="36" t="n">
        <f aca="false">+N29+N30</f>
        <v>0</v>
      </c>
      <c r="O31" s="37" t="n">
        <f aca="false">+O29+O30</f>
        <v>-261500</v>
      </c>
      <c r="P31" s="37" t="n">
        <f aca="false">+P29+P30</f>
        <v>-261500</v>
      </c>
      <c r="Q31" s="37" t="n">
        <f aca="false">+Q29+Q30</f>
        <v>-0</v>
      </c>
    </row>
    <row r="32" customFormat="false" ht="9.95" hidden="true" customHeight="true" outlineLevel="0" collapsed="false">
      <c r="A32" s="25"/>
      <c r="B32" s="25"/>
      <c r="C32" s="26"/>
      <c r="D32" s="25"/>
      <c r="E32" s="26"/>
      <c r="F32" s="26"/>
      <c r="G32" s="26"/>
      <c r="H32" s="26"/>
      <c r="I32" s="26"/>
      <c r="J32" s="26"/>
      <c r="K32" s="26"/>
      <c r="L32" s="26"/>
      <c r="M32" s="35"/>
      <c r="N32" s="35"/>
      <c r="O32" s="42"/>
      <c r="P32" s="43"/>
      <c r="Q32" s="43"/>
    </row>
    <row r="33" customFormat="false" ht="11.25" hidden="false" customHeight="false" outlineLevel="0" collapsed="false">
      <c r="A33" s="25" t="n">
        <v>2</v>
      </c>
      <c r="B33" s="25" t="s">
        <v>36</v>
      </c>
      <c r="C33" s="25" t="s">
        <v>48</v>
      </c>
      <c r="D33" s="25"/>
      <c r="E33" s="25" t="s">
        <v>49</v>
      </c>
      <c r="F33" s="26"/>
      <c r="G33" s="25" t="s">
        <v>45</v>
      </c>
      <c r="H33" s="19" t="s">
        <v>50</v>
      </c>
      <c r="I33" s="25"/>
      <c r="J33" s="21" t="n">
        <v>2.365</v>
      </c>
      <c r="K33" s="21" t="n">
        <f aca="false">(SUM(RMTC_2!G9:G20)+SUM(RMTC_2!H9:H20))/12</f>
        <v>3.7775</v>
      </c>
      <c r="L33" s="27" t="n">
        <f aca="false">-O33/M33</f>
        <v>1.4177868852459</v>
      </c>
      <c r="M33" s="44" t="n">
        <f aca="false">-RMTC_2!F22</f>
        <v>5490000</v>
      </c>
      <c r="N33" s="44" t="n">
        <f aca="false">+M33/366</f>
        <v>15000</v>
      </c>
      <c r="O33" s="32" t="n">
        <f aca="false">-RMTC_2!I22</f>
        <v>-7783650</v>
      </c>
      <c r="P33" s="24" t="n">
        <f aca="false">-RMTC_2!J22</f>
        <v>-5967825</v>
      </c>
      <c r="Q33" s="24" t="n">
        <f aca="false">-RMTC_2!K22</f>
        <v>-1815825</v>
      </c>
    </row>
    <row r="34" customFormat="false" ht="11.25" hidden="false" customHeight="false" outlineLevel="0" collapsed="false">
      <c r="A34" s="25" t="n">
        <v>2</v>
      </c>
      <c r="B34" s="25" t="s">
        <v>36</v>
      </c>
      <c r="C34" s="25" t="s">
        <v>45</v>
      </c>
      <c r="D34" s="25"/>
      <c r="E34" s="25" t="s">
        <v>51</v>
      </c>
      <c r="F34" s="25" t="s">
        <v>42</v>
      </c>
      <c r="G34" s="25" t="s">
        <v>48</v>
      </c>
      <c r="H34" s="19" t="s">
        <v>50</v>
      </c>
      <c r="I34" s="25"/>
      <c r="J34" s="21" t="n">
        <v>2.365</v>
      </c>
      <c r="K34" s="21" t="n">
        <f aca="false">(SUM(RMTC_2!G26:G37)+SUM(RMTC_2!H26:H37))/12</f>
        <v>3.7775</v>
      </c>
      <c r="L34" s="29" t="n">
        <f aca="false">+O34/M34</f>
        <v>-1.4177868852459</v>
      </c>
      <c r="M34" s="45" t="n">
        <f aca="false">-RMTC_2!F39</f>
        <v>-5490000</v>
      </c>
      <c r="N34" s="45" t="n">
        <f aca="false">+M34/366</f>
        <v>-15000</v>
      </c>
      <c r="O34" s="40" t="n">
        <f aca="false">-RMTC_2!I39</f>
        <v>7783650</v>
      </c>
      <c r="P34" s="41" t="n">
        <f aca="false">-RMTC_2!J39</f>
        <v>5967825</v>
      </c>
      <c r="Q34" s="41" t="n">
        <f aca="false">-RMTC_2!K39</f>
        <v>1815825</v>
      </c>
    </row>
    <row r="35" customFormat="false" ht="11.25" hidden="false" customHeight="false" outlineLevel="0" collapsed="false">
      <c r="A35" s="25"/>
      <c r="B35" s="25"/>
      <c r="C35" s="26"/>
      <c r="D35" s="25"/>
      <c r="E35" s="26"/>
      <c r="F35" s="26"/>
      <c r="G35" s="26"/>
      <c r="H35" s="26"/>
      <c r="I35" s="25"/>
      <c r="J35" s="26"/>
      <c r="K35" s="26"/>
      <c r="L35" s="27" t="n">
        <f aca="false">+L33+L34</f>
        <v>0</v>
      </c>
      <c r="M35" s="35" t="n">
        <f aca="false">+M33+M34</f>
        <v>0</v>
      </c>
      <c r="N35" s="35" t="n">
        <f aca="false">+N33+N34</f>
        <v>0</v>
      </c>
      <c r="O35" s="42" t="n">
        <f aca="false">+O33+O34</f>
        <v>0</v>
      </c>
      <c r="P35" s="42" t="n">
        <f aca="false">+P33+P34</f>
        <v>0</v>
      </c>
      <c r="Q35" s="42" t="n">
        <f aca="false">+Q33+Q34</f>
        <v>0</v>
      </c>
    </row>
    <row r="36" customFormat="false" ht="9.95" hidden="false" customHeight="true" outlineLevel="0" collapsed="false">
      <c r="A36" s="25"/>
      <c r="B36" s="25"/>
      <c r="C36" s="26"/>
      <c r="D36" s="25"/>
      <c r="E36" s="26"/>
      <c r="F36" s="26"/>
      <c r="G36" s="26"/>
      <c r="H36" s="26"/>
      <c r="I36" s="25"/>
      <c r="J36" s="26"/>
      <c r="K36" s="26"/>
      <c r="L36" s="26"/>
      <c r="M36" s="26"/>
      <c r="N36" s="26"/>
      <c r="O36" s="26"/>
      <c r="P36" s="26"/>
      <c r="Q36" s="26"/>
    </row>
    <row r="37" customFormat="false" ht="22.5" hidden="true" customHeight="false" outlineLevel="0" collapsed="false">
      <c r="A37" s="25" t="n">
        <v>6</v>
      </c>
      <c r="B37" s="25" t="s">
        <v>52</v>
      </c>
      <c r="C37" s="25" t="s">
        <v>53</v>
      </c>
      <c r="D37" s="25" t="n">
        <v>25834</v>
      </c>
      <c r="E37" s="25" t="s">
        <v>41</v>
      </c>
      <c r="F37" s="25" t="s">
        <v>42</v>
      </c>
      <c r="G37" s="19" t="s">
        <v>54</v>
      </c>
      <c r="H37" s="19" t="s">
        <v>55</v>
      </c>
      <c r="I37" s="25"/>
      <c r="J37" s="21" t="n">
        <v>2.32</v>
      </c>
      <c r="K37" s="21" t="n">
        <f aca="false">SUM(Elpaso_6!G9:H13)/5</f>
        <v>4.1082</v>
      </c>
      <c r="L37" s="27" t="n">
        <f aca="false">O37/M37</f>
        <v>-0.807666666666667</v>
      </c>
      <c r="M37" s="31" t="n">
        <f aca="false">-Elpaso_6!F15</f>
        <v>15000000</v>
      </c>
      <c r="N37" s="46" t="n">
        <f aca="false">+M37/153</f>
        <v>98039.2156862745</v>
      </c>
      <c r="O37" s="32" t="n">
        <f aca="false">-Elpaso_6!I15</f>
        <v>-12115000</v>
      </c>
      <c r="P37" s="47" t="n">
        <f aca="false">-Elpaso_6!J15</f>
        <v>-0</v>
      </c>
      <c r="Q37" s="32" t="n">
        <f aca="false">-Elpaso_6!K15</f>
        <v>-12115000</v>
      </c>
    </row>
    <row r="38" customFormat="false" ht="22.5" hidden="true" customHeight="false" outlineLevel="0" collapsed="false">
      <c r="A38" s="25" t="n">
        <v>6</v>
      </c>
      <c r="B38" s="25" t="s">
        <v>52</v>
      </c>
      <c r="C38" s="25" t="s">
        <v>53</v>
      </c>
      <c r="D38" s="25"/>
      <c r="E38" s="25" t="s">
        <v>38</v>
      </c>
      <c r="F38" s="25" t="s">
        <v>42</v>
      </c>
      <c r="G38" s="19" t="s">
        <v>54</v>
      </c>
      <c r="H38" s="19" t="s">
        <v>55</v>
      </c>
      <c r="I38" s="25"/>
      <c r="J38" s="21" t="n">
        <v>2.32</v>
      </c>
      <c r="K38" s="21" t="n">
        <f aca="false">SUM(Elpaso_6!G9:H13)/5</f>
        <v>4.1082</v>
      </c>
      <c r="L38" s="48" t="n">
        <f aca="false">O38/M38</f>
        <v>0.807666666666667</v>
      </c>
      <c r="M38" s="39" t="n">
        <f aca="false">-Elpaso_6!F23</f>
        <v>15000000</v>
      </c>
      <c r="N38" s="49" t="n">
        <f aca="false">+M38/153</f>
        <v>98039.2156862745</v>
      </c>
      <c r="O38" s="40" t="n">
        <f aca="false">Elpaso_6!I15</f>
        <v>12115000</v>
      </c>
      <c r="P38" s="50" t="n">
        <f aca="false">-Elpaso_6!J26</f>
        <v>-0</v>
      </c>
      <c r="Q38" s="40" t="n">
        <f aca="false">Elpaso_6!K15</f>
        <v>12115000</v>
      </c>
    </row>
    <row r="39" customFormat="false" ht="11.25" hidden="true" customHeight="false" outlineLevel="0" collapsed="false">
      <c r="A39" s="25"/>
      <c r="B39" s="25"/>
      <c r="C39" s="25"/>
      <c r="D39" s="25"/>
      <c r="E39" s="25"/>
      <c r="F39" s="25"/>
      <c r="G39" s="19"/>
      <c r="H39" s="19"/>
      <c r="I39" s="25"/>
      <c r="J39" s="21"/>
      <c r="K39" s="21"/>
      <c r="L39" s="27" t="n">
        <f aca="false">+L37-L38</f>
        <v>-1.61533333333333</v>
      </c>
      <c r="M39" s="31" t="n">
        <f aca="false">+M38+M37</f>
        <v>30000000</v>
      </c>
      <c r="N39" s="31" t="n">
        <f aca="false">+N38+N37</f>
        <v>196078.431372549</v>
      </c>
      <c r="O39" s="51" t="n">
        <f aca="false">+O38+O37</f>
        <v>0</v>
      </c>
      <c r="P39" s="52" t="n">
        <f aca="false">+P38+P37</f>
        <v>-0</v>
      </c>
      <c r="Q39" s="51" t="n">
        <f aca="false">+Q38+Q37</f>
        <v>0</v>
      </c>
    </row>
    <row r="40" customFormat="false" ht="11.25" hidden="true" customHeight="false" outlineLevel="0" collapsed="false">
      <c r="A40" s="25"/>
      <c r="B40" s="25"/>
      <c r="C40" s="25"/>
      <c r="D40" s="25"/>
      <c r="E40" s="25"/>
      <c r="F40" s="25"/>
      <c r="G40" s="19"/>
      <c r="H40" s="19"/>
      <c r="I40" s="25"/>
      <c r="J40" s="21"/>
      <c r="K40" s="21"/>
      <c r="L40" s="27"/>
      <c r="M40" s="31"/>
      <c r="N40" s="46"/>
      <c r="O40" s="51"/>
      <c r="P40" s="52"/>
      <c r="Q40" s="51"/>
    </row>
    <row r="41" customFormat="false" ht="11.25" hidden="true" customHeight="false" outlineLevel="0" collapsed="false">
      <c r="A41" s="25" t="n">
        <v>8</v>
      </c>
      <c r="B41" s="25" t="s">
        <v>52</v>
      </c>
      <c r="C41" s="25" t="s">
        <v>56</v>
      </c>
      <c r="D41" s="25" t="n">
        <v>105706</v>
      </c>
      <c r="E41" s="25" t="s">
        <v>41</v>
      </c>
      <c r="F41" s="25" t="s">
        <v>57</v>
      </c>
      <c r="G41" s="19"/>
      <c r="H41" s="19" t="s">
        <v>58</v>
      </c>
      <c r="I41" s="19"/>
      <c r="J41" s="21"/>
      <c r="K41" s="27" t="n">
        <f aca="false">SUM(MEC_8_Expired!H9:H14)/6</f>
        <v>0</v>
      </c>
      <c r="L41" s="27" t="n">
        <f aca="false">O41/M41</f>
        <v>2.55826086956522</v>
      </c>
      <c r="M41" s="31" t="n">
        <f aca="false">-MEC_8_Expired!F15</f>
        <v>-230000</v>
      </c>
      <c r="N41" s="46" t="n">
        <f aca="false">+M41/182</f>
        <v>-1263.73626373626</v>
      </c>
      <c r="O41" s="32" t="n">
        <f aca="false">-MEC_8_Expired!I15</f>
        <v>-588400</v>
      </c>
      <c r="P41" s="47" t="n">
        <f aca="false">-MEC_8_Expired!J15</f>
        <v>-588400</v>
      </c>
      <c r="Q41" s="32" t="n">
        <f aca="false">-MEC_8_Expired!K15</f>
        <v>-0</v>
      </c>
    </row>
    <row r="42" customFormat="false" ht="11.25" hidden="true" customHeight="false" outlineLevel="0" collapsed="false">
      <c r="A42" s="25" t="n">
        <v>8</v>
      </c>
      <c r="B42" s="25" t="s">
        <v>52</v>
      </c>
      <c r="C42" s="25" t="s">
        <v>56</v>
      </c>
      <c r="D42" s="25" t="n">
        <v>105706</v>
      </c>
      <c r="E42" s="25" t="s">
        <v>41</v>
      </c>
      <c r="F42" s="25" t="s">
        <v>57</v>
      </c>
      <c r="G42" s="19"/>
      <c r="H42" s="19" t="s">
        <v>58</v>
      </c>
      <c r="I42" s="19"/>
      <c r="J42" s="21"/>
      <c r="K42" s="21" t="n">
        <f aca="false">SUM(MEC_8_Expired!H20:H25)/6</f>
        <v>0</v>
      </c>
      <c r="L42" s="48" t="n">
        <f aca="false">O42/M42</f>
        <v>2.63973913043478</v>
      </c>
      <c r="M42" s="39" t="n">
        <f aca="false">-MEC_8_Expired!F26</f>
        <v>230000</v>
      </c>
      <c r="N42" s="39" t="n">
        <f aca="false">+M42/182</f>
        <v>1263.73626373626</v>
      </c>
      <c r="O42" s="40" t="n">
        <f aca="false">-MEC_8_Expired!I26</f>
        <v>607140</v>
      </c>
      <c r="P42" s="50" t="n">
        <f aca="false">-MEC_8_Expired!J26</f>
        <v>607140</v>
      </c>
      <c r="Q42" s="40" t="n">
        <f aca="false">-MEC_8_Expired!K26</f>
        <v>-0</v>
      </c>
    </row>
    <row r="43" customFormat="false" ht="11.25" hidden="true" customHeight="false" outlineLevel="0" collapsed="false">
      <c r="A43" s="25"/>
      <c r="B43" s="25"/>
      <c r="C43" s="25"/>
      <c r="D43" s="25"/>
      <c r="E43" s="25"/>
      <c r="F43" s="25"/>
      <c r="G43" s="19"/>
      <c r="H43" s="19"/>
      <c r="I43" s="19"/>
      <c r="J43" s="21"/>
      <c r="K43" s="21"/>
      <c r="L43" s="27" t="n">
        <f aca="false">+L41-L42</f>
        <v>-0.0814782608695652</v>
      </c>
      <c r="M43" s="31" t="n">
        <f aca="false">+M42+M41</f>
        <v>0</v>
      </c>
      <c r="N43" s="31" t="n">
        <f aca="false">+N42+N41</f>
        <v>0</v>
      </c>
      <c r="O43" s="32" t="n">
        <f aca="false">+O42+O41</f>
        <v>18740</v>
      </c>
      <c r="P43" s="47" t="n">
        <f aca="false">+P42+P41</f>
        <v>18740</v>
      </c>
      <c r="Q43" s="32" t="n">
        <f aca="false">+Q42+Q41</f>
        <v>-0</v>
      </c>
    </row>
    <row r="44" customFormat="false" ht="11.25" hidden="true" customHeight="false" outlineLevel="0" collapsed="false">
      <c r="A44" s="25"/>
      <c r="B44" s="25"/>
      <c r="C44" s="25"/>
      <c r="D44" s="25"/>
      <c r="E44" s="25"/>
      <c r="F44" s="25"/>
      <c r="G44" s="19"/>
      <c r="H44" s="19"/>
      <c r="I44" s="19"/>
      <c r="J44" s="21"/>
      <c r="K44" s="21"/>
      <c r="L44" s="27"/>
      <c r="M44" s="31"/>
      <c r="N44" s="46"/>
      <c r="O44" s="32"/>
      <c r="P44" s="47"/>
      <c r="Q44" s="32"/>
    </row>
    <row r="45" customFormat="false" ht="11.25" hidden="false" customHeight="false" outlineLevel="0" collapsed="false">
      <c r="A45" s="25" t="n">
        <v>9</v>
      </c>
      <c r="B45" s="25" t="s">
        <v>36</v>
      </c>
      <c r="C45" s="25" t="s">
        <v>59</v>
      </c>
      <c r="D45" s="25"/>
      <c r="E45" s="25" t="s">
        <v>49</v>
      </c>
      <c r="F45" s="26"/>
      <c r="G45" s="25" t="s">
        <v>45</v>
      </c>
      <c r="H45" s="19" t="s">
        <v>60</v>
      </c>
      <c r="I45" s="25"/>
      <c r="J45" s="21" t="n">
        <v>3.23</v>
      </c>
      <c r="K45" s="21" t="n">
        <f aca="false">(SUM(ENA_9!G9:G20)+SUM(ENA_9!H9:H20))/12</f>
        <v>5.2665</v>
      </c>
      <c r="L45" s="27" t="n">
        <f aca="false">-O45/M45</f>
        <v>2.02998356164384</v>
      </c>
      <c r="M45" s="44" t="n">
        <f aca="false">-ENA_9!F22</f>
        <v>1825000</v>
      </c>
      <c r="N45" s="44" t="n">
        <f aca="false">+M45/365</f>
        <v>5000</v>
      </c>
      <c r="O45" s="32" t="n">
        <f aca="false">-ENA_9!I22</f>
        <v>-3704720</v>
      </c>
      <c r="P45" s="24" t="n">
        <f aca="false">-ENA_9!J22</f>
        <v>-0</v>
      </c>
      <c r="Q45" s="24" t="n">
        <f aca="false">-ENA_9!K22</f>
        <v>-3704720</v>
      </c>
    </row>
    <row r="46" customFormat="false" ht="11.25" hidden="false" customHeight="false" outlineLevel="0" collapsed="false">
      <c r="A46" s="25" t="n">
        <v>9</v>
      </c>
      <c r="B46" s="25" t="s">
        <v>36</v>
      </c>
      <c r="C46" s="25" t="s">
        <v>45</v>
      </c>
      <c r="D46" s="25"/>
      <c r="E46" s="25" t="s">
        <v>51</v>
      </c>
      <c r="F46" s="25" t="s">
        <v>42</v>
      </c>
      <c r="G46" s="25" t="s">
        <v>59</v>
      </c>
      <c r="H46" s="19" t="s">
        <v>60</v>
      </c>
      <c r="I46" s="25"/>
      <c r="J46" s="21" t="n">
        <v>3.23</v>
      </c>
      <c r="K46" s="21" t="n">
        <f aca="false">(SUM(ENA_9!G26:G37)+SUM(ENA_9!H26:H37))/12</f>
        <v>5.2665</v>
      </c>
      <c r="L46" s="29" t="n">
        <f aca="false">+O46/M46</f>
        <v>-2.02998356164384</v>
      </c>
      <c r="M46" s="45" t="n">
        <f aca="false">-ENA_9!F39</f>
        <v>-1825000</v>
      </c>
      <c r="N46" s="45" t="n">
        <f aca="false">+M46/365</f>
        <v>-5000</v>
      </c>
      <c r="O46" s="40" t="n">
        <f aca="false">-ENA_9!I39</f>
        <v>3704720</v>
      </c>
      <c r="P46" s="41" t="n">
        <f aca="false">-ENA_9!J39</f>
        <v>-0</v>
      </c>
      <c r="Q46" s="41" t="n">
        <f aca="false">-ENA_9!K39</f>
        <v>3704720</v>
      </c>
    </row>
    <row r="47" customFormat="false" ht="11.25" hidden="false" customHeight="false" outlineLevel="0" collapsed="false">
      <c r="A47" s="25"/>
      <c r="B47" s="25"/>
      <c r="C47" s="26"/>
      <c r="D47" s="25"/>
      <c r="E47" s="26"/>
      <c r="F47" s="26"/>
      <c r="G47" s="26"/>
      <c r="H47" s="26"/>
      <c r="I47" s="25"/>
      <c r="J47" s="26"/>
      <c r="K47" s="26"/>
      <c r="L47" s="27" t="n">
        <f aca="false">+L45+L46</f>
        <v>0</v>
      </c>
      <c r="M47" s="35" t="n">
        <f aca="false">+M45+M46</f>
        <v>0</v>
      </c>
      <c r="N47" s="35" t="n">
        <f aca="false">+N45+N46</f>
        <v>0</v>
      </c>
      <c r="O47" s="42" t="n">
        <f aca="false">+O45+O46</f>
        <v>0</v>
      </c>
      <c r="P47" s="42" t="n">
        <f aca="false">+P45+P46</f>
        <v>-0</v>
      </c>
      <c r="Q47" s="42" t="n">
        <f aca="false">+Q45+Q46</f>
        <v>0</v>
      </c>
    </row>
    <row r="48" customFormat="false" ht="11.25" hidden="false" customHeight="false" outlineLevel="0" collapsed="false">
      <c r="A48" s="25"/>
      <c r="B48" s="25"/>
      <c r="C48" s="26"/>
      <c r="D48" s="25"/>
      <c r="E48" s="26"/>
      <c r="F48" s="26"/>
      <c r="G48" s="26"/>
      <c r="H48" s="26"/>
      <c r="I48" s="25"/>
      <c r="J48" s="26"/>
      <c r="K48" s="26"/>
      <c r="L48" s="27"/>
      <c r="M48" s="35"/>
      <c r="N48" s="53"/>
      <c r="O48" s="42"/>
      <c r="P48" s="42"/>
      <c r="Q48" s="42"/>
    </row>
    <row r="49" customFormat="false" ht="11.25" hidden="false" customHeight="false" outlineLevel="0" collapsed="false">
      <c r="A49" s="25" t="n">
        <v>11</v>
      </c>
      <c r="B49" s="25" t="s">
        <v>36</v>
      </c>
      <c r="C49" s="25" t="s">
        <v>59</v>
      </c>
      <c r="D49" s="25"/>
      <c r="E49" s="25" t="s">
        <v>49</v>
      </c>
      <c r="F49" s="26"/>
      <c r="G49" s="25" t="s">
        <v>45</v>
      </c>
      <c r="H49" s="19" t="s">
        <v>60</v>
      </c>
      <c r="I49" s="25"/>
      <c r="J49" s="21" t="n">
        <v>3.74</v>
      </c>
      <c r="K49" s="21" t="n">
        <f aca="false">(SUM(ENA_11!G9:G20)+SUM(ENA_11!H9:H20))/12</f>
        <v>5.2665</v>
      </c>
      <c r="L49" s="27" t="n">
        <v>0.1</v>
      </c>
      <c r="M49" s="44" t="n">
        <f aca="false">-ENA_11!F22</f>
        <v>1825000</v>
      </c>
      <c r="N49" s="44" t="n">
        <f aca="false">+M49/365</f>
        <v>5000</v>
      </c>
      <c r="O49" s="32" t="n">
        <f aca="false">-ENA_11!I22</f>
        <v>-2773970</v>
      </c>
      <c r="P49" s="24" t="n">
        <f aca="false">-ENA_11!J22</f>
        <v>-0</v>
      </c>
      <c r="Q49" s="24" t="n">
        <f aca="false">-ENA_11!K22</f>
        <v>-2773970</v>
      </c>
    </row>
    <row r="50" customFormat="false" ht="11.25" hidden="false" customHeight="false" outlineLevel="0" collapsed="false">
      <c r="A50" s="25" t="n">
        <v>11</v>
      </c>
      <c r="B50" s="25" t="s">
        <v>36</v>
      </c>
      <c r="C50" s="25" t="s">
        <v>45</v>
      </c>
      <c r="D50" s="25"/>
      <c r="E50" s="25" t="s">
        <v>51</v>
      </c>
      <c r="F50" s="25" t="s">
        <v>42</v>
      </c>
      <c r="G50" s="25" t="s">
        <v>59</v>
      </c>
      <c r="H50" s="19" t="s">
        <v>60</v>
      </c>
      <c r="I50" s="25"/>
      <c r="J50" s="21" t="n">
        <v>3.74</v>
      </c>
      <c r="K50" s="21" t="n">
        <f aca="false">(SUM(ENA_11!G26:G37)+SUM(ENA_11!H26:H37))/12</f>
        <v>5.2665</v>
      </c>
      <c r="L50" s="29" t="n">
        <f aca="false">+O50/M50</f>
        <v>-1.51998356164384</v>
      </c>
      <c r="M50" s="45" t="n">
        <f aca="false">-ENA_11!F39</f>
        <v>-1825000</v>
      </c>
      <c r="N50" s="45" t="n">
        <f aca="false">+M50/365</f>
        <v>-5000</v>
      </c>
      <c r="O50" s="40" t="n">
        <f aca="false">-ENA_11!I39</f>
        <v>2773970</v>
      </c>
      <c r="P50" s="41" t="n">
        <f aca="false">-ENA_11!J39</f>
        <v>-0</v>
      </c>
      <c r="Q50" s="41" t="n">
        <f aca="false">-ENA_11!K39</f>
        <v>2773970</v>
      </c>
    </row>
    <row r="51" customFormat="false" ht="11.25" hidden="false" customHeight="false" outlineLevel="0" collapsed="false">
      <c r="A51" s="25"/>
      <c r="B51" s="25"/>
      <c r="C51" s="26"/>
      <c r="D51" s="25"/>
      <c r="E51" s="26"/>
      <c r="F51" s="26"/>
      <c r="G51" s="26"/>
      <c r="H51" s="26"/>
      <c r="I51" s="25"/>
      <c r="J51" s="26"/>
      <c r="K51" s="26"/>
      <c r="L51" s="27" t="n">
        <f aca="false">+L49+L50</f>
        <v>-1.41998356164384</v>
      </c>
      <c r="M51" s="35" t="n">
        <f aca="false">+M49+M50</f>
        <v>0</v>
      </c>
      <c r="N51" s="35" t="n">
        <f aca="false">+N49+N50</f>
        <v>0</v>
      </c>
      <c r="O51" s="42" t="n">
        <f aca="false">+O49+O50</f>
        <v>0</v>
      </c>
      <c r="P51" s="42" t="n">
        <f aca="false">+P49+P50</f>
        <v>-0</v>
      </c>
      <c r="Q51" s="42" t="n">
        <f aca="false">+Q49+Q50</f>
        <v>0</v>
      </c>
    </row>
    <row r="52" customFormat="false" ht="11.25" hidden="false" customHeight="false" outlineLevel="0" collapsed="false">
      <c r="A52" s="25"/>
      <c r="B52" s="25"/>
      <c r="C52" s="26"/>
      <c r="D52" s="25"/>
      <c r="E52" s="26"/>
      <c r="F52" s="26"/>
      <c r="G52" s="26"/>
      <c r="H52" s="26"/>
      <c r="I52" s="25"/>
      <c r="J52" s="26"/>
      <c r="K52" s="26"/>
      <c r="L52" s="27"/>
      <c r="M52" s="35"/>
      <c r="N52" s="53"/>
      <c r="O52" s="42"/>
      <c r="P52" s="42"/>
      <c r="Q52" s="42"/>
    </row>
    <row r="53" customFormat="false" ht="11.25" hidden="false" customHeight="false" outlineLevel="0" collapsed="false">
      <c r="A53" s="25" t="n">
        <v>12</v>
      </c>
      <c r="B53" s="25" t="s">
        <v>36</v>
      </c>
      <c r="C53" s="25" t="s">
        <v>59</v>
      </c>
      <c r="D53" s="25" t="s">
        <v>61</v>
      </c>
      <c r="E53" s="25" t="s">
        <v>49</v>
      </c>
      <c r="F53" s="26"/>
      <c r="G53" s="25" t="s">
        <v>45</v>
      </c>
      <c r="H53" s="19" t="s">
        <v>60</v>
      </c>
      <c r="I53" s="54" t="n">
        <v>36740</v>
      </c>
      <c r="J53" s="21" t="n">
        <v>3.63</v>
      </c>
      <c r="K53" s="21" t="n">
        <f aca="false">(SUM(ENA_12!G26:G37)+SUM(ENA_12!H26:H37))/12</f>
        <v>5.2665</v>
      </c>
      <c r="L53" s="27" t="n">
        <v>0.1</v>
      </c>
      <c r="M53" s="44" t="n">
        <f aca="false">-ENA_12!F22</f>
        <v>1825000</v>
      </c>
      <c r="N53" s="44" t="n">
        <f aca="false">+M53/365</f>
        <v>5000</v>
      </c>
      <c r="O53" s="32" t="n">
        <f aca="false">-ENA_12!I22</f>
        <v>-2974720</v>
      </c>
      <c r="P53" s="24" t="n">
        <f aca="false">-ENA_12!J22</f>
        <v>-0</v>
      </c>
      <c r="Q53" s="24" t="n">
        <f aca="false">-ENA_12!K22</f>
        <v>-2974720</v>
      </c>
    </row>
    <row r="54" customFormat="false" ht="11.25" hidden="false" customHeight="false" outlineLevel="0" collapsed="false">
      <c r="A54" s="25" t="n">
        <v>12</v>
      </c>
      <c r="B54" s="25" t="s">
        <v>36</v>
      </c>
      <c r="C54" s="25" t="s">
        <v>45</v>
      </c>
      <c r="D54" s="25"/>
      <c r="E54" s="25" t="s">
        <v>51</v>
      </c>
      <c r="F54" s="25" t="s">
        <v>42</v>
      </c>
      <c r="G54" s="25" t="s">
        <v>59</v>
      </c>
      <c r="H54" s="19" t="s">
        <v>60</v>
      </c>
      <c r="I54" s="25"/>
      <c r="J54" s="21" t="n">
        <v>3.63</v>
      </c>
      <c r="K54" s="21" t="n">
        <f aca="false">(SUM(ENA_12!G26:G37)+SUM(ENA_12!H26:H37))/12</f>
        <v>5.2665</v>
      </c>
      <c r="L54" s="29" t="n">
        <f aca="false">+O54/M54</f>
        <v>-1.62998356164384</v>
      </c>
      <c r="M54" s="45" t="n">
        <f aca="false">-ENA_12!F39</f>
        <v>-1825000</v>
      </c>
      <c r="N54" s="45" t="n">
        <f aca="false">+M54/365</f>
        <v>-5000</v>
      </c>
      <c r="O54" s="40" t="n">
        <f aca="false">-ENA_12!I39</f>
        <v>2974720</v>
      </c>
      <c r="P54" s="41" t="n">
        <f aca="false">-ENA_12!J39</f>
        <v>-0</v>
      </c>
      <c r="Q54" s="41" t="n">
        <f aca="false">-ENA_12!K39</f>
        <v>2974720</v>
      </c>
    </row>
    <row r="55" customFormat="false" ht="11.25" hidden="false" customHeight="false" outlineLevel="0" collapsed="false">
      <c r="A55" s="25"/>
      <c r="B55" s="25"/>
      <c r="C55" s="26"/>
      <c r="D55" s="25"/>
      <c r="E55" s="26"/>
      <c r="F55" s="26"/>
      <c r="G55" s="26"/>
      <c r="H55" s="26"/>
      <c r="I55" s="25"/>
      <c r="J55" s="26"/>
      <c r="K55" s="26"/>
      <c r="L55" s="27" t="n">
        <f aca="false">+L53+L54</f>
        <v>-1.52998356164384</v>
      </c>
      <c r="M55" s="35" t="n">
        <f aca="false">+M53+M54</f>
        <v>0</v>
      </c>
      <c r="N55" s="35" t="n">
        <f aca="false">+N53+N54</f>
        <v>0</v>
      </c>
      <c r="O55" s="42" t="n">
        <f aca="false">+O53+O54</f>
        <v>0</v>
      </c>
      <c r="P55" s="42" t="n">
        <f aca="false">+P53+P54</f>
        <v>-0</v>
      </c>
      <c r="Q55" s="42" t="n">
        <f aca="false">+Q53+Q54</f>
        <v>0</v>
      </c>
    </row>
    <row r="56" customFormat="false" ht="11.25" hidden="false" customHeight="false" outlineLevel="0" collapsed="false">
      <c r="A56" s="25"/>
      <c r="B56" s="25"/>
      <c r="C56" s="26"/>
      <c r="D56" s="25"/>
      <c r="E56" s="26"/>
      <c r="F56" s="26"/>
      <c r="G56" s="26"/>
      <c r="H56" s="26"/>
      <c r="I56" s="25"/>
      <c r="J56" s="26"/>
      <c r="K56" s="26"/>
      <c r="L56" s="27"/>
      <c r="M56" s="35"/>
      <c r="N56" s="53"/>
      <c r="O56" s="42"/>
      <c r="P56" s="42"/>
      <c r="Q56" s="42"/>
    </row>
    <row r="57" customFormat="false" ht="11.25" hidden="false" customHeight="false" outlineLevel="0" collapsed="false">
      <c r="A57" s="25" t="n">
        <v>13</v>
      </c>
      <c r="B57" s="25" t="s">
        <v>36</v>
      </c>
      <c r="C57" s="25" t="s">
        <v>59</v>
      </c>
      <c r="D57" s="25" t="s">
        <v>62</v>
      </c>
      <c r="E57" s="25" t="s">
        <v>49</v>
      </c>
      <c r="F57" s="26"/>
      <c r="G57" s="25" t="s">
        <v>45</v>
      </c>
      <c r="H57" s="19" t="s">
        <v>60</v>
      </c>
      <c r="I57" s="54" t="n">
        <v>36754</v>
      </c>
      <c r="J57" s="21" t="n">
        <v>3.585</v>
      </c>
      <c r="K57" s="21" t="n">
        <f aca="false">(SUM(ENA_13!G26:G37)+SUM(ENA_13!H26:H37))/12</f>
        <v>5.2665</v>
      </c>
      <c r="L57" s="27" t="n">
        <v>0.1</v>
      </c>
      <c r="M57" s="44" t="n">
        <f aca="false">-ENA_13!F22</f>
        <v>1825000</v>
      </c>
      <c r="N57" s="44" t="n">
        <f aca="false">+M57/365</f>
        <v>5000</v>
      </c>
      <c r="O57" s="32" t="n">
        <f aca="false">-ENA_13!I22</f>
        <v>-3056845</v>
      </c>
      <c r="P57" s="24" t="n">
        <f aca="false">-ENA_13!J22</f>
        <v>-0</v>
      </c>
      <c r="Q57" s="24" t="n">
        <f aca="false">-ENA_13!K22</f>
        <v>-3056845</v>
      </c>
    </row>
    <row r="58" customFormat="false" ht="11.25" hidden="false" customHeight="false" outlineLevel="0" collapsed="false">
      <c r="A58" s="25" t="n">
        <v>13</v>
      </c>
      <c r="B58" s="25" t="s">
        <v>36</v>
      </c>
      <c r="C58" s="25" t="s">
        <v>45</v>
      </c>
      <c r="D58" s="25"/>
      <c r="E58" s="25" t="s">
        <v>51</v>
      </c>
      <c r="F58" s="25" t="s">
        <v>42</v>
      </c>
      <c r="G58" s="25" t="s">
        <v>59</v>
      </c>
      <c r="H58" s="19" t="s">
        <v>60</v>
      </c>
      <c r="I58" s="25"/>
      <c r="J58" s="21" t="n">
        <v>3.585</v>
      </c>
      <c r="K58" s="21" t="n">
        <f aca="false">(SUM(ENA_12!G26:G37)+SUM(ENA_12!H26:H37))/12</f>
        <v>5.2665</v>
      </c>
      <c r="L58" s="29" t="n">
        <f aca="false">+O58/M58</f>
        <v>-1.67498356164384</v>
      </c>
      <c r="M58" s="45" t="n">
        <f aca="false">-ENA_13!F39</f>
        <v>-1825000</v>
      </c>
      <c r="N58" s="45" t="n">
        <f aca="false">+M58/365</f>
        <v>-5000</v>
      </c>
      <c r="O58" s="40" t="n">
        <f aca="false">-ENA_13!I39</f>
        <v>3056845</v>
      </c>
      <c r="P58" s="41" t="n">
        <f aca="false">-ENA_13!J39</f>
        <v>-0</v>
      </c>
      <c r="Q58" s="41" t="n">
        <f aca="false">-ENA_13!K39</f>
        <v>3056845</v>
      </c>
    </row>
    <row r="59" customFormat="false" ht="11.25" hidden="false" customHeight="false" outlineLevel="0" collapsed="false">
      <c r="A59" s="25"/>
      <c r="B59" s="25"/>
      <c r="C59" s="26"/>
      <c r="D59" s="25"/>
      <c r="E59" s="26"/>
      <c r="F59" s="26"/>
      <c r="G59" s="26"/>
      <c r="H59" s="26"/>
      <c r="I59" s="25"/>
      <c r="J59" s="26"/>
      <c r="K59" s="26"/>
      <c r="L59" s="27" t="n">
        <f aca="false">+L57+L58</f>
        <v>-1.57498356164384</v>
      </c>
      <c r="M59" s="35" t="n">
        <f aca="false">+M57+M58</f>
        <v>0</v>
      </c>
      <c r="N59" s="35" t="n">
        <f aca="false">+N57+N58</f>
        <v>0</v>
      </c>
      <c r="O59" s="42" t="n">
        <f aca="false">+O57+O58</f>
        <v>0</v>
      </c>
      <c r="P59" s="42" t="n">
        <f aca="false">+P57+P58</f>
        <v>-0</v>
      </c>
      <c r="Q59" s="42" t="n">
        <f aca="false">+Q57+Q58</f>
        <v>0</v>
      </c>
    </row>
    <row r="60" customFormat="false" ht="11.25" hidden="false" customHeight="false" outlineLevel="0" collapsed="false">
      <c r="A60" s="25"/>
      <c r="B60" s="25"/>
      <c r="C60" s="26"/>
      <c r="D60" s="25"/>
      <c r="E60" s="26"/>
      <c r="F60" s="26"/>
      <c r="G60" s="26"/>
      <c r="H60" s="26"/>
      <c r="I60" s="25"/>
      <c r="J60" s="26"/>
      <c r="K60" s="26"/>
      <c r="L60" s="27"/>
      <c r="M60" s="44"/>
      <c r="N60" s="53"/>
      <c r="O60" s="42"/>
      <c r="P60" s="42"/>
      <c r="Q60" s="42"/>
    </row>
    <row r="61" customFormat="false" ht="11.25" hidden="false" customHeight="false" outlineLevel="0" collapsed="false">
      <c r="A61" s="25"/>
      <c r="B61" s="25"/>
      <c r="C61" s="26"/>
      <c r="D61" s="25"/>
      <c r="E61" s="26"/>
      <c r="F61" s="26"/>
      <c r="G61" s="26"/>
      <c r="H61" s="26"/>
      <c r="I61" s="25"/>
      <c r="J61" s="26"/>
      <c r="K61" s="26"/>
      <c r="L61" s="27"/>
      <c r="M61" s="35"/>
      <c r="N61" s="53"/>
      <c r="O61" s="42"/>
      <c r="P61" s="42"/>
      <c r="Q61" s="42"/>
    </row>
    <row r="62" customFormat="false" ht="12" hidden="false" customHeight="false" outlineLevel="0" collapsed="false">
      <c r="A62" s="25"/>
      <c r="B62" s="25"/>
      <c r="C62" s="25"/>
      <c r="D62" s="25"/>
      <c r="E62" s="25"/>
      <c r="F62" s="25"/>
      <c r="G62" s="25"/>
      <c r="H62" s="25"/>
      <c r="I62" s="25"/>
      <c r="J62" s="55"/>
      <c r="K62" s="26"/>
      <c r="L62" s="26"/>
      <c r="M62" s="56" t="n">
        <f aca="false">+M59+M55+M51+M47+M35</f>
        <v>0</v>
      </c>
      <c r="N62" s="56" t="n">
        <f aca="false">+N59+N55+N51+N47+N35</f>
        <v>0</v>
      </c>
      <c r="O62" s="57" t="n">
        <f aca="false">+O59+O55+O51+O47+O35</f>
        <v>0</v>
      </c>
      <c r="P62" s="57" t="n">
        <f aca="false">+P59+P55+P51+P47+P35</f>
        <v>0</v>
      </c>
      <c r="Q62" s="57" t="n">
        <f aca="false">+Q59+Q55+Q51+Q47+Q35</f>
        <v>0</v>
      </c>
    </row>
    <row r="63" customFormat="false" ht="11.1" hidden="false" customHeight="true" outlineLevel="0" collapsed="false">
      <c r="A63" s="58"/>
      <c r="B63" s="58"/>
      <c r="C63" s="59"/>
      <c r="D63" s="58"/>
      <c r="E63" s="59"/>
      <c r="F63" s="59"/>
      <c r="G63" s="59"/>
      <c r="H63" s="59"/>
      <c r="I63" s="58"/>
      <c r="J63" s="59"/>
      <c r="K63" s="59"/>
      <c r="L63" s="59"/>
      <c r="M63" s="59"/>
      <c r="N63" s="59"/>
      <c r="O63" s="59"/>
      <c r="P63" s="60"/>
      <c r="Q63" s="61" t="s">
        <v>63</v>
      </c>
    </row>
    <row r="64" customFormat="false" ht="9" hidden="false" customHeight="true" outlineLevel="0" collapsed="false">
      <c r="A64" s="62"/>
      <c r="B64" s="62"/>
      <c r="C64" s="63"/>
      <c r="D64" s="62"/>
      <c r="E64" s="63"/>
      <c r="F64" s="63"/>
      <c r="G64" s="63"/>
      <c r="H64" s="63"/>
      <c r="I64" s="62"/>
      <c r="J64" s="63"/>
      <c r="K64" s="63"/>
      <c r="L64" s="63"/>
      <c r="M64" s="63"/>
      <c r="N64" s="63"/>
      <c r="O64" s="63"/>
      <c r="P64" s="63"/>
      <c r="Q64" s="64"/>
    </row>
    <row r="65" customFormat="false" ht="11.25" hidden="false" customHeight="false" outlineLevel="0" collapsed="false">
      <c r="A65" s="65" t="s">
        <v>64</v>
      </c>
      <c r="B65" s="66"/>
      <c r="C65" s="67"/>
      <c r="D65" s="66"/>
      <c r="E65" s="67"/>
      <c r="F65" s="67"/>
      <c r="G65" s="67"/>
      <c r="H65" s="67"/>
      <c r="I65" s="66"/>
      <c r="J65" s="67"/>
      <c r="K65" s="67"/>
      <c r="L65" s="67"/>
      <c r="M65" s="67"/>
      <c r="N65" s="67"/>
      <c r="O65" s="67"/>
      <c r="P65" s="68"/>
      <c r="Q65" s="67"/>
      <c r="R65" s="69"/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  <c r="AM65" s="69"/>
      <c r="AN65" s="69"/>
      <c r="AO65" s="69"/>
      <c r="AP65" s="69"/>
      <c r="AQ65" s="69"/>
      <c r="AR65" s="69"/>
      <c r="AS65" s="69"/>
      <c r="AT65" s="69"/>
      <c r="AU65" s="69"/>
      <c r="AV65" s="69"/>
      <c r="AW65" s="69"/>
      <c r="AX65" s="69"/>
      <c r="AY65" s="69"/>
      <c r="AZ65" s="69"/>
      <c r="BA65" s="69"/>
      <c r="BB65" s="69"/>
      <c r="BC65" s="69"/>
      <c r="BD65" s="69"/>
      <c r="BE65" s="69"/>
      <c r="BF65" s="69"/>
      <c r="BG65" s="69"/>
      <c r="BH65" s="69"/>
      <c r="BI65" s="69"/>
      <c r="BJ65" s="69"/>
      <c r="BK65" s="69"/>
      <c r="BL65" s="69"/>
      <c r="BM65" s="69"/>
      <c r="BN65" s="69"/>
      <c r="BO65" s="69"/>
      <c r="BP65" s="69"/>
      <c r="BQ65" s="69"/>
      <c r="BR65" s="69"/>
      <c r="BS65" s="69"/>
      <c r="BT65" s="69"/>
      <c r="BU65" s="69"/>
      <c r="BV65" s="69"/>
      <c r="BW65" s="69"/>
      <c r="BX65" s="69"/>
      <c r="BY65" s="69"/>
      <c r="BZ65" s="69"/>
      <c r="CA65" s="69"/>
      <c r="CB65" s="69"/>
      <c r="CC65" s="69"/>
      <c r="CD65" s="69"/>
      <c r="CE65" s="69"/>
      <c r="CF65" s="69"/>
      <c r="CG65" s="69"/>
      <c r="CH65" s="69"/>
      <c r="CI65" s="69"/>
      <c r="CJ65" s="69"/>
      <c r="CK65" s="69"/>
      <c r="CL65" s="69"/>
      <c r="CM65" s="69"/>
      <c r="CN65" s="69"/>
      <c r="CO65" s="69"/>
      <c r="CP65" s="69"/>
      <c r="CQ65" s="69"/>
      <c r="CR65" s="69"/>
      <c r="CS65" s="69"/>
      <c r="CT65" s="69"/>
      <c r="CU65" s="69"/>
      <c r="CV65" s="69"/>
      <c r="CW65" s="69"/>
      <c r="CX65" s="69"/>
      <c r="CY65" s="69"/>
      <c r="CZ65" s="69"/>
      <c r="DA65" s="69"/>
      <c r="DB65" s="69"/>
      <c r="DC65" s="69"/>
      <c r="DD65" s="69"/>
      <c r="DE65" s="69"/>
      <c r="DF65" s="69"/>
      <c r="DG65" s="69"/>
      <c r="DH65" s="69"/>
      <c r="DI65" s="69"/>
      <c r="DJ65" s="69"/>
      <c r="DK65" s="69"/>
      <c r="DL65" s="69"/>
      <c r="DM65" s="69"/>
      <c r="DN65" s="69"/>
      <c r="DO65" s="69"/>
      <c r="DP65" s="69"/>
      <c r="DQ65" s="69"/>
      <c r="DR65" s="69"/>
      <c r="DS65" s="69"/>
      <c r="DT65" s="69"/>
      <c r="DU65" s="69"/>
      <c r="DV65" s="69"/>
      <c r="DW65" s="69"/>
      <c r="DX65" s="69"/>
      <c r="DY65" s="69"/>
      <c r="DZ65" s="69"/>
      <c r="EA65" s="69"/>
      <c r="EB65" s="69"/>
      <c r="EC65" s="69"/>
      <c r="ED65" s="69"/>
      <c r="EE65" s="69"/>
      <c r="EF65" s="69"/>
      <c r="EG65" s="69"/>
      <c r="EH65" s="69"/>
      <c r="EI65" s="69"/>
      <c r="EJ65" s="69"/>
      <c r="EK65" s="69"/>
      <c r="EL65" s="69"/>
      <c r="EM65" s="69"/>
      <c r="EN65" s="69"/>
      <c r="EO65" s="69"/>
      <c r="EP65" s="69"/>
      <c r="EQ65" s="69"/>
      <c r="ER65" s="69"/>
      <c r="ES65" s="69"/>
      <c r="ET65" s="69"/>
      <c r="EU65" s="69"/>
      <c r="EV65" s="69"/>
      <c r="EW65" s="69"/>
      <c r="EX65" s="69"/>
      <c r="EY65" s="69"/>
      <c r="EZ65" s="69"/>
      <c r="FA65" s="69"/>
      <c r="FB65" s="69"/>
      <c r="FC65" s="69"/>
      <c r="FD65" s="69"/>
      <c r="FE65" s="69"/>
      <c r="FF65" s="69"/>
      <c r="FG65" s="69"/>
      <c r="FH65" s="69"/>
      <c r="FI65" s="69"/>
      <c r="FJ65" s="69"/>
      <c r="FK65" s="69"/>
      <c r="FL65" s="69"/>
      <c r="FM65" s="69"/>
      <c r="FN65" s="69"/>
      <c r="FO65" s="69"/>
      <c r="FP65" s="69"/>
      <c r="FQ65" s="69"/>
      <c r="FR65" s="69"/>
      <c r="FS65" s="69"/>
      <c r="FT65" s="69"/>
      <c r="FU65" s="69"/>
      <c r="FV65" s="69"/>
      <c r="FW65" s="69"/>
      <c r="FX65" s="69"/>
      <c r="FY65" s="69"/>
      <c r="FZ65" s="69"/>
      <c r="GA65" s="69"/>
      <c r="GB65" s="69"/>
      <c r="GC65" s="69"/>
      <c r="GD65" s="69"/>
      <c r="GE65" s="69"/>
      <c r="GF65" s="69"/>
      <c r="GG65" s="69"/>
      <c r="GH65" s="69"/>
      <c r="GI65" s="69"/>
      <c r="GJ65" s="69"/>
      <c r="GK65" s="69"/>
      <c r="GL65" s="69"/>
      <c r="GM65" s="69"/>
      <c r="GN65" s="69"/>
      <c r="GO65" s="69"/>
      <c r="GP65" s="69"/>
      <c r="GQ65" s="69"/>
      <c r="GR65" s="69"/>
      <c r="GS65" s="69"/>
      <c r="GT65" s="69"/>
      <c r="GU65" s="69"/>
      <c r="GV65" s="69"/>
      <c r="GW65" s="69"/>
      <c r="GX65" s="69"/>
      <c r="GY65" s="69"/>
      <c r="GZ65" s="69"/>
      <c r="HA65" s="69"/>
      <c r="HB65" s="69"/>
      <c r="HC65" s="69"/>
      <c r="HD65" s="69"/>
      <c r="HE65" s="69"/>
      <c r="HF65" s="69"/>
      <c r="HG65" s="69"/>
      <c r="HH65" s="69"/>
      <c r="HI65" s="69"/>
      <c r="HJ65" s="69"/>
      <c r="HK65" s="69"/>
      <c r="HL65" s="69"/>
      <c r="HM65" s="69"/>
      <c r="HN65" s="69"/>
      <c r="HO65" s="69"/>
      <c r="HP65" s="69"/>
      <c r="HQ65" s="69"/>
      <c r="HR65" s="69"/>
      <c r="HS65" s="69"/>
      <c r="HT65" s="69"/>
      <c r="HU65" s="69"/>
      <c r="HV65" s="69"/>
      <c r="HW65" s="69"/>
      <c r="HX65" s="69"/>
      <c r="HY65" s="69"/>
      <c r="HZ65" s="69"/>
      <c r="IA65" s="69"/>
      <c r="IB65" s="69"/>
      <c r="IC65" s="69"/>
      <c r="ID65" s="69"/>
      <c r="IE65" s="69"/>
      <c r="IF65" s="69"/>
      <c r="IG65" s="69"/>
      <c r="IH65" s="69"/>
      <c r="II65" s="69"/>
      <c r="IJ65" s="69"/>
      <c r="IK65" s="69"/>
      <c r="IL65" s="69"/>
      <c r="IM65" s="69"/>
      <c r="IN65" s="69"/>
      <c r="IO65" s="69"/>
      <c r="IP65" s="69"/>
      <c r="IQ65" s="69"/>
      <c r="IR65" s="69"/>
      <c r="IS65" s="69"/>
      <c r="IT65" s="69"/>
      <c r="IU65" s="69"/>
      <c r="IV65" s="69"/>
      <c r="IW65" s="69"/>
    </row>
    <row r="66" customFormat="false" ht="11.25" hidden="false" customHeight="false" outlineLevel="0" collapsed="false">
      <c r="A66" s="65"/>
      <c r="B66" s="62"/>
      <c r="C66" s="63"/>
      <c r="D66" s="62"/>
      <c r="E66" s="63"/>
      <c r="F66" s="63"/>
      <c r="G66" s="63"/>
      <c r="H66" s="63"/>
      <c r="I66" s="62"/>
      <c r="J66" s="63"/>
      <c r="K66" s="63"/>
      <c r="L66" s="63"/>
      <c r="M66" s="63"/>
      <c r="N66" s="63"/>
      <c r="O66" s="63"/>
      <c r="P66" s="63"/>
      <c r="Q66" s="63"/>
    </row>
    <row r="67" customFormat="false" ht="10.5" hidden="false" customHeight="false" outlineLevel="0" collapsed="false">
      <c r="A67" s="3" t="s">
        <v>65</v>
      </c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</row>
    <row r="68" customFormat="false" ht="10.5" hidden="false" customHeight="false" outlineLevel="0" collapsed="false">
      <c r="A68" s="3" t="s">
        <v>2</v>
      </c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</row>
    <row r="69" customFormat="false" ht="11.25" hidden="false" customHeight="false" outlineLevel="0" collapsed="false">
      <c r="B69" s="2"/>
      <c r="N69" s="7"/>
    </row>
    <row r="70" customFormat="false" ht="10.5" hidden="false" customHeight="false" outlineLevel="0" collapsed="false">
      <c r="A70" s="8" t="s">
        <v>6</v>
      </c>
      <c r="B70" s="9" t="s">
        <v>7</v>
      </c>
      <c r="C70" s="9" t="s">
        <v>8</v>
      </c>
      <c r="D70" s="9" t="s">
        <v>8</v>
      </c>
      <c r="E70" s="9" t="s">
        <v>8</v>
      </c>
      <c r="F70" s="9" t="s">
        <v>9</v>
      </c>
      <c r="G70" s="9" t="s">
        <v>10</v>
      </c>
      <c r="H70" s="9" t="s">
        <v>11</v>
      </c>
      <c r="I70" s="9" t="s">
        <v>12</v>
      </c>
      <c r="J70" s="9" t="s">
        <v>8</v>
      </c>
      <c r="K70" s="9" t="s">
        <v>13</v>
      </c>
      <c r="L70" s="9" t="s">
        <v>14</v>
      </c>
      <c r="M70" s="9" t="s">
        <v>8</v>
      </c>
      <c r="N70" s="10" t="s">
        <v>15</v>
      </c>
      <c r="O70" s="9"/>
      <c r="P70" s="9"/>
      <c r="Q70" s="11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</row>
    <row r="71" customFormat="false" ht="10.5" hidden="false" customHeight="false" outlineLevel="0" collapsed="false">
      <c r="A71" s="12" t="s">
        <v>16</v>
      </c>
      <c r="B71" s="10" t="s">
        <v>17</v>
      </c>
      <c r="C71" s="10" t="s">
        <v>17</v>
      </c>
      <c r="D71" s="10" t="s">
        <v>18</v>
      </c>
      <c r="E71" s="10" t="s">
        <v>19</v>
      </c>
      <c r="F71" s="10"/>
      <c r="G71" s="10" t="s">
        <v>20</v>
      </c>
      <c r="H71" s="10" t="s">
        <v>21</v>
      </c>
      <c r="I71" s="10" t="s">
        <v>22</v>
      </c>
      <c r="J71" s="10" t="s">
        <v>23</v>
      </c>
      <c r="K71" s="10" t="s">
        <v>24</v>
      </c>
      <c r="L71" s="10"/>
      <c r="M71" s="10" t="s">
        <v>25</v>
      </c>
      <c r="N71" s="10"/>
      <c r="O71" s="13" t="s">
        <v>66</v>
      </c>
      <c r="P71" s="13"/>
      <c r="Q71" s="13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</row>
    <row r="72" customFormat="false" ht="10.5" hidden="false" customHeight="false" outlineLevel="0" collapsed="false">
      <c r="A72" s="12"/>
      <c r="B72" s="10"/>
      <c r="C72" s="10"/>
      <c r="D72" s="10"/>
      <c r="E72" s="10"/>
      <c r="F72" s="10"/>
      <c r="G72" s="10" t="s">
        <v>27</v>
      </c>
      <c r="H72" s="10"/>
      <c r="I72" s="10"/>
      <c r="J72" s="10"/>
      <c r="K72" s="10" t="s">
        <v>28</v>
      </c>
      <c r="L72" s="10"/>
      <c r="M72" s="10" t="s">
        <v>67</v>
      </c>
      <c r="N72" s="10"/>
      <c r="O72" s="10" t="s">
        <v>30</v>
      </c>
      <c r="P72" s="10" t="s">
        <v>68</v>
      </c>
      <c r="Q72" s="14" t="s">
        <v>69</v>
      </c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</row>
    <row r="73" customFormat="false" ht="10.5" hidden="false" customHeight="false" outlineLevel="0" collapsed="false">
      <c r="A73" s="12"/>
      <c r="B73" s="10"/>
      <c r="C73" s="10"/>
      <c r="D73" s="10"/>
      <c r="E73" s="10"/>
      <c r="F73" s="10"/>
      <c r="G73" s="10"/>
      <c r="H73" s="10"/>
      <c r="I73" s="10"/>
      <c r="J73" s="10"/>
      <c r="K73" s="10" t="s">
        <v>33</v>
      </c>
      <c r="L73" s="10"/>
      <c r="M73" s="10" t="s">
        <v>70</v>
      </c>
      <c r="N73" s="70"/>
      <c r="O73" s="10" t="s">
        <v>35</v>
      </c>
      <c r="P73" s="10" t="s">
        <v>35</v>
      </c>
      <c r="Q73" s="14" t="s">
        <v>35</v>
      </c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</row>
    <row r="74" customFormat="false" ht="22.5" hidden="true" customHeight="false" outlineLevel="0" collapsed="false">
      <c r="A74" s="71" t="n">
        <v>6</v>
      </c>
      <c r="B74" s="71" t="s">
        <v>52</v>
      </c>
      <c r="C74" s="71" t="s">
        <v>53</v>
      </c>
      <c r="D74" s="71" t="n">
        <v>25834</v>
      </c>
      <c r="E74" s="71" t="s">
        <v>38</v>
      </c>
      <c r="F74" s="71" t="s">
        <v>57</v>
      </c>
      <c r="G74" s="72" t="s">
        <v>54</v>
      </c>
      <c r="H74" s="72" t="s">
        <v>55</v>
      </c>
      <c r="I74" s="73"/>
      <c r="J74" s="74" t="s">
        <v>71</v>
      </c>
      <c r="K74" s="73"/>
      <c r="L74" s="73"/>
      <c r="M74" s="75" t="n">
        <f aca="false">-Elpaso_6!F15</f>
        <v>15000000</v>
      </c>
      <c r="N74" s="76"/>
      <c r="O74" s="77" t="n">
        <f aca="false">-Elpaso_6!I15</f>
        <v>-12115000</v>
      </c>
      <c r="P74" s="73"/>
      <c r="Q74" s="78" t="n">
        <f aca="false">+O74</f>
        <v>-12115000</v>
      </c>
      <c r="R74" s="73"/>
      <c r="S74" s="79"/>
      <c r="T74" s="79"/>
      <c r="U74" s="79"/>
      <c r="V74" s="79"/>
      <c r="W74" s="79"/>
      <c r="X74" s="79"/>
      <c r="Y74" s="79"/>
      <c r="Z74" s="79"/>
      <c r="AA74" s="79"/>
      <c r="AB74" s="79"/>
      <c r="AC74" s="79"/>
      <c r="AD74" s="79"/>
      <c r="AE74" s="79"/>
      <c r="AF74" s="79"/>
      <c r="AG74" s="79"/>
      <c r="AH74" s="79"/>
      <c r="AI74" s="79"/>
      <c r="AJ74" s="79"/>
      <c r="AK74" s="79"/>
      <c r="AL74" s="79"/>
      <c r="AM74" s="79"/>
      <c r="AN74" s="79"/>
      <c r="AO74" s="79"/>
      <c r="AP74" s="79"/>
      <c r="AQ74" s="79"/>
      <c r="AR74" s="79"/>
      <c r="AS74" s="79"/>
      <c r="AT74" s="79"/>
      <c r="AU74" s="79"/>
      <c r="AV74" s="79"/>
      <c r="AW74" s="79"/>
      <c r="AX74" s="79"/>
      <c r="AY74" s="79"/>
      <c r="AZ74" s="79"/>
      <c r="BA74" s="79"/>
      <c r="BB74" s="79"/>
      <c r="BC74" s="79"/>
      <c r="BD74" s="79"/>
      <c r="BE74" s="79"/>
      <c r="BF74" s="79"/>
      <c r="BG74" s="79"/>
      <c r="BH74" s="79"/>
      <c r="BI74" s="79"/>
      <c r="BJ74" s="79"/>
      <c r="BK74" s="79"/>
      <c r="BL74" s="79"/>
      <c r="BM74" s="79"/>
      <c r="BN74" s="79"/>
      <c r="BO74" s="79"/>
      <c r="BP74" s="79"/>
      <c r="BQ74" s="79"/>
      <c r="BR74" s="79"/>
      <c r="BS74" s="79"/>
      <c r="BT74" s="79"/>
      <c r="BU74" s="79"/>
      <c r="BV74" s="79"/>
      <c r="BW74" s="79"/>
      <c r="BX74" s="79"/>
      <c r="BY74" s="79"/>
      <c r="BZ74" s="79"/>
      <c r="CA74" s="79"/>
      <c r="CB74" s="79"/>
      <c r="CC74" s="79"/>
      <c r="CD74" s="79"/>
      <c r="CE74" s="79"/>
      <c r="CF74" s="79"/>
      <c r="CG74" s="79"/>
      <c r="CH74" s="79"/>
      <c r="CI74" s="79"/>
      <c r="CJ74" s="79"/>
      <c r="CK74" s="79"/>
      <c r="CL74" s="79"/>
      <c r="CM74" s="79"/>
      <c r="CN74" s="79"/>
      <c r="CO74" s="79"/>
      <c r="CP74" s="79"/>
      <c r="CQ74" s="79"/>
      <c r="CR74" s="79"/>
      <c r="CS74" s="79"/>
      <c r="CT74" s="79"/>
      <c r="CU74" s="79"/>
      <c r="CV74" s="79"/>
      <c r="CW74" s="79"/>
      <c r="CX74" s="79"/>
      <c r="CY74" s="79"/>
      <c r="CZ74" s="79"/>
      <c r="DA74" s="79"/>
      <c r="DB74" s="79"/>
      <c r="DC74" s="79"/>
      <c r="DD74" s="79"/>
      <c r="DE74" s="79"/>
      <c r="DF74" s="79"/>
      <c r="DG74" s="79"/>
      <c r="DH74" s="79"/>
      <c r="DI74" s="79"/>
      <c r="DJ74" s="79"/>
      <c r="DK74" s="79"/>
      <c r="DL74" s="79"/>
      <c r="DM74" s="79"/>
      <c r="DN74" s="79"/>
      <c r="DO74" s="79"/>
      <c r="DP74" s="79"/>
      <c r="DQ74" s="79"/>
      <c r="DR74" s="79"/>
      <c r="DS74" s="79"/>
      <c r="DT74" s="79"/>
      <c r="DU74" s="79"/>
      <c r="DV74" s="79"/>
      <c r="DW74" s="79"/>
      <c r="DX74" s="79"/>
      <c r="DY74" s="79"/>
      <c r="DZ74" s="79"/>
      <c r="EA74" s="79"/>
      <c r="EB74" s="79"/>
      <c r="EC74" s="79"/>
      <c r="ED74" s="79"/>
      <c r="EE74" s="79"/>
      <c r="EF74" s="79"/>
      <c r="EG74" s="79"/>
      <c r="EH74" s="79"/>
      <c r="EI74" s="79"/>
      <c r="EJ74" s="79"/>
      <c r="EK74" s="79"/>
      <c r="EL74" s="79"/>
      <c r="EM74" s="79"/>
      <c r="EN74" s="79"/>
      <c r="EO74" s="79"/>
      <c r="EP74" s="79"/>
      <c r="EQ74" s="79"/>
      <c r="ER74" s="79"/>
      <c r="ES74" s="79"/>
      <c r="ET74" s="79"/>
      <c r="EU74" s="79"/>
      <c r="EV74" s="79"/>
      <c r="EW74" s="79"/>
      <c r="EX74" s="79"/>
      <c r="EY74" s="79"/>
      <c r="EZ74" s="79"/>
      <c r="FA74" s="79"/>
      <c r="FB74" s="79"/>
      <c r="FC74" s="79"/>
      <c r="FD74" s="79"/>
      <c r="FE74" s="79"/>
      <c r="FF74" s="79"/>
      <c r="FG74" s="79"/>
      <c r="FH74" s="79"/>
      <c r="FI74" s="79"/>
      <c r="FJ74" s="79"/>
      <c r="FK74" s="79"/>
      <c r="FL74" s="79"/>
      <c r="FM74" s="79"/>
      <c r="FN74" s="79"/>
      <c r="FO74" s="79"/>
      <c r="FP74" s="79"/>
      <c r="FQ74" s="79"/>
      <c r="FR74" s="79"/>
      <c r="FS74" s="79"/>
      <c r="FT74" s="79"/>
      <c r="FU74" s="79"/>
      <c r="FV74" s="79"/>
      <c r="FW74" s="79"/>
      <c r="FX74" s="79"/>
      <c r="FY74" s="79"/>
      <c r="FZ74" s="79"/>
      <c r="GA74" s="79"/>
      <c r="GB74" s="79"/>
      <c r="GC74" s="79"/>
      <c r="GD74" s="79"/>
      <c r="GE74" s="79"/>
      <c r="GF74" s="79"/>
      <c r="GG74" s="79"/>
      <c r="GH74" s="79"/>
      <c r="GI74" s="79"/>
      <c r="GJ74" s="79"/>
      <c r="GK74" s="79"/>
      <c r="GL74" s="79"/>
      <c r="GM74" s="79"/>
      <c r="GN74" s="79"/>
      <c r="GO74" s="79"/>
      <c r="GP74" s="79"/>
      <c r="GQ74" s="79"/>
      <c r="GR74" s="79"/>
      <c r="GS74" s="79"/>
      <c r="GT74" s="79"/>
      <c r="GU74" s="79"/>
      <c r="GV74" s="79"/>
      <c r="GW74" s="79"/>
      <c r="GX74" s="79"/>
      <c r="GY74" s="79"/>
      <c r="GZ74" s="79"/>
      <c r="HA74" s="79"/>
      <c r="HB74" s="79"/>
      <c r="HC74" s="79"/>
      <c r="HD74" s="79"/>
      <c r="HE74" s="79"/>
      <c r="HF74" s="79"/>
      <c r="HG74" s="79"/>
      <c r="HH74" s="79"/>
      <c r="HI74" s="79"/>
      <c r="HJ74" s="79"/>
      <c r="HK74" s="79"/>
      <c r="HL74" s="79"/>
      <c r="HM74" s="79"/>
      <c r="HN74" s="79"/>
      <c r="HO74" s="79"/>
      <c r="HP74" s="79"/>
      <c r="HQ74" s="79"/>
      <c r="HR74" s="79"/>
      <c r="HS74" s="79"/>
      <c r="HT74" s="79"/>
      <c r="HU74" s="79"/>
      <c r="HV74" s="79"/>
      <c r="HW74" s="79"/>
      <c r="HX74" s="79"/>
      <c r="HY74" s="79"/>
      <c r="HZ74" s="79"/>
      <c r="IA74" s="79"/>
      <c r="IB74" s="79"/>
      <c r="IC74" s="79"/>
      <c r="ID74" s="79"/>
      <c r="IE74" s="79"/>
      <c r="IF74" s="79"/>
      <c r="IG74" s="79"/>
      <c r="IH74" s="79"/>
      <c r="II74" s="79"/>
      <c r="IJ74" s="79"/>
      <c r="IK74" s="79"/>
      <c r="IL74" s="79"/>
      <c r="IM74" s="79"/>
      <c r="IN74" s="79"/>
      <c r="IO74" s="79"/>
      <c r="IP74" s="79"/>
      <c r="IQ74" s="79"/>
      <c r="IR74" s="79"/>
      <c r="IS74" s="79"/>
      <c r="IT74" s="79"/>
      <c r="IU74" s="79"/>
      <c r="IV74" s="79"/>
      <c r="IW74" s="79"/>
    </row>
    <row r="75" customFormat="false" ht="22.5" hidden="false" customHeight="false" outlineLevel="0" collapsed="false">
      <c r="A75" s="71" t="n">
        <v>6</v>
      </c>
      <c r="B75" s="71" t="s">
        <v>52</v>
      </c>
      <c r="C75" s="71" t="s">
        <v>59</v>
      </c>
      <c r="D75" s="71"/>
      <c r="E75" s="25" t="s">
        <v>49</v>
      </c>
      <c r="F75" s="71" t="s">
        <v>57</v>
      </c>
      <c r="G75" s="72" t="s">
        <v>54</v>
      </c>
      <c r="H75" s="72" t="s">
        <v>72</v>
      </c>
      <c r="I75" s="73"/>
      <c r="J75" s="80" t="n">
        <v>3.3</v>
      </c>
      <c r="K75" s="81" t="n">
        <f aca="false">SUM(Elpaso_6!G9:G13)+SUM(Elpaso_6!H9:H13)/5</f>
        <v>4.1082</v>
      </c>
      <c r="L75" s="81" t="n">
        <f aca="false">+J75-K75</f>
        <v>-0.8082</v>
      </c>
      <c r="M75" s="75" t="n">
        <v>15000000</v>
      </c>
      <c r="N75" s="75" t="n">
        <f aca="false">+M75/153</f>
        <v>98039.2156862745</v>
      </c>
      <c r="O75" s="77" t="n">
        <f aca="false">-Elpaso_6!I15</f>
        <v>-12115000</v>
      </c>
      <c r="P75" s="73"/>
      <c r="Q75" s="78" t="n">
        <f aca="false">+O75</f>
        <v>-12115000</v>
      </c>
      <c r="R75" s="82"/>
      <c r="S75" s="79"/>
      <c r="T75" s="79"/>
      <c r="U75" s="79"/>
      <c r="V75" s="79"/>
      <c r="W75" s="79"/>
      <c r="X75" s="79"/>
      <c r="Y75" s="79"/>
      <c r="Z75" s="79"/>
      <c r="AA75" s="79"/>
      <c r="AB75" s="79"/>
      <c r="AC75" s="79"/>
      <c r="AD75" s="79"/>
      <c r="AE75" s="79"/>
      <c r="AF75" s="79"/>
      <c r="AG75" s="79"/>
      <c r="AH75" s="79"/>
      <c r="AI75" s="79"/>
      <c r="AJ75" s="79"/>
      <c r="AK75" s="79"/>
      <c r="AL75" s="79"/>
      <c r="AM75" s="79"/>
      <c r="AN75" s="79"/>
      <c r="AO75" s="79"/>
      <c r="AP75" s="79"/>
      <c r="AQ75" s="79"/>
      <c r="AR75" s="79"/>
      <c r="AS75" s="79"/>
      <c r="AT75" s="79"/>
      <c r="AU75" s="79"/>
      <c r="AV75" s="79"/>
      <c r="AW75" s="79"/>
      <c r="AX75" s="79"/>
      <c r="AY75" s="79"/>
      <c r="AZ75" s="79"/>
      <c r="BA75" s="79"/>
      <c r="BB75" s="79"/>
      <c r="BC75" s="79"/>
      <c r="BD75" s="79"/>
      <c r="BE75" s="79"/>
      <c r="BF75" s="79"/>
      <c r="BG75" s="79"/>
      <c r="BH75" s="79"/>
      <c r="BI75" s="79"/>
      <c r="BJ75" s="79"/>
      <c r="BK75" s="79"/>
      <c r="BL75" s="79"/>
      <c r="BM75" s="79"/>
      <c r="BN75" s="79"/>
      <c r="BO75" s="79"/>
      <c r="BP75" s="79"/>
      <c r="BQ75" s="79"/>
      <c r="BR75" s="79"/>
      <c r="BS75" s="79"/>
      <c r="BT75" s="79"/>
      <c r="BU75" s="79"/>
      <c r="BV75" s="79"/>
      <c r="BW75" s="79"/>
      <c r="BX75" s="79"/>
      <c r="BY75" s="79"/>
      <c r="BZ75" s="79"/>
      <c r="CA75" s="79"/>
      <c r="CB75" s="79"/>
      <c r="CC75" s="79"/>
      <c r="CD75" s="79"/>
      <c r="CE75" s="79"/>
      <c r="CF75" s="79"/>
      <c r="CG75" s="79"/>
      <c r="CH75" s="79"/>
      <c r="CI75" s="79"/>
      <c r="CJ75" s="79"/>
      <c r="CK75" s="79"/>
      <c r="CL75" s="79"/>
      <c r="CM75" s="79"/>
      <c r="CN75" s="79"/>
      <c r="CO75" s="79"/>
      <c r="CP75" s="79"/>
      <c r="CQ75" s="79"/>
      <c r="CR75" s="79"/>
      <c r="CS75" s="79"/>
      <c r="CT75" s="79"/>
      <c r="CU75" s="79"/>
      <c r="CV75" s="79"/>
      <c r="CW75" s="79"/>
      <c r="CX75" s="79"/>
      <c r="CY75" s="79"/>
      <c r="CZ75" s="79"/>
      <c r="DA75" s="79"/>
      <c r="DB75" s="79"/>
      <c r="DC75" s="79"/>
      <c r="DD75" s="79"/>
      <c r="DE75" s="79"/>
      <c r="DF75" s="79"/>
      <c r="DG75" s="79"/>
      <c r="DH75" s="79"/>
      <c r="DI75" s="79"/>
      <c r="DJ75" s="79"/>
      <c r="DK75" s="79"/>
      <c r="DL75" s="79"/>
      <c r="DM75" s="79"/>
      <c r="DN75" s="79"/>
      <c r="DO75" s="79"/>
      <c r="DP75" s="79"/>
      <c r="DQ75" s="79"/>
      <c r="DR75" s="79"/>
      <c r="DS75" s="79"/>
      <c r="DT75" s="79"/>
      <c r="DU75" s="79"/>
      <c r="DV75" s="79"/>
      <c r="DW75" s="79"/>
      <c r="DX75" s="79"/>
      <c r="DY75" s="79"/>
      <c r="DZ75" s="79"/>
      <c r="EA75" s="79"/>
      <c r="EB75" s="79"/>
      <c r="EC75" s="79"/>
      <c r="ED75" s="79"/>
      <c r="EE75" s="79"/>
      <c r="EF75" s="79"/>
      <c r="EG75" s="79"/>
      <c r="EH75" s="79"/>
      <c r="EI75" s="79"/>
      <c r="EJ75" s="79"/>
      <c r="EK75" s="79"/>
      <c r="EL75" s="79"/>
      <c r="EM75" s="79"/>
      <c r="EN75" s="79"/>
      <c r="EO75" s="79"/>
      <c r="EP75" s="79"/>
      <c r="EQ75" s="79"/>
      <c r="ER75" s="79"/>
      <c r="ES75" s="79"/>
      <c r="ET75" s="79"/>
      <c r="EU75" s="79"/>
      <c r="EV75" s="79"/>
      <c r="EW75" s="79"/>
      <c r="EX75" s="79"/>
      <c r="EY75" s="79"/>
      <c r="EZ75" s="79"/>
      <c r="FA75" s="79"/>
      <c r="FB75" s="79"/>
      <c r="FC75" s="79"/>
      <c r="FD75" s="79"/>
      <c r="FE75" s="79"/>
      <c r="FF75" s="79"/>
      <c r="FG75" s="79"/>
      <c r="FH75" s="79"/>
      <c r="FI75" s="79"/>
      <c r="FJ75" s="79"/>
      <c r="FK75" s="79"/>
      <c r="FL75" s="79"/>
      <c r="FM75" s="79"/>
      <c r="FN75" s="79"/>
      <c r="FO75" s="79"/>
      <c r="FP75" s="79"/>
      <c r="FQ75" s="79"/>
      <c r="FR75" s="79"/>
      <c r="FS75" s="79"/>
      <c r="FT75" s="79"/>
      <c r="FU75" s="79"/>
      <c r="FV75" s="79"/>
      <c r="FW75" s="79"/>
      <c r="FX75" s="79"/>
      <c r="FY75" s="79"/>
      <c r="FZ75" s="79"/>
      <c r="GA75" s="79"/>
      <c r="GB75" s="79"/>
      <c r="GC75" s="79"/>
      <c r="GD75" s="79"/>
      <c r="GE75" s="79"/>
      <c r="GF75" s="79"/>
      <c r="GG75" s="79"/>
      <c r="GH75" s="79"/>
      <c r="GI75" s="79"/>
      <c r="GJ75" s="79"/>
      <c r="GK75" s="79"/>
      <c r="GL75" s="79"/>
      <c r="GM75" s="79"/>
      <c r="GN75" s="79"/>
      <c r="GO75" s="79"/>
      <c r="GP75" s="79"/>
      <c r="GQ75" s="79"/>
      <c r="GR75" s="79"/>
      <c r="GS75" s="79"/>
      <c r="GT75" s="79"/>
      <c r="GU75" s="79"/>
      <c r="GV75" s="79"/>
      <c r="GW75" s="79"/>
      <c r="GX75" s="79"/>
      <c r="GY75" s="79"/>
      <c r="GZ75" s="79"/>
      <c r="HA75" s="79"/>
      <c r="HB75" s="79"/>
      <c r="HC75" s="79"/>
      <c r="HD75" s="79"/>
      <c r="HE75" s="79"/>
      <c r="HF75" s="79"/>
      <c r="HG75" s="79"/>
      <c r="HH75" s="79"/>
      <c r="HI75" s="79"/>
      <c r="HJ75" s="79"/>
      <c r="HK75" s="79"/>
      <c r="HL75" s="79"/>
      <c r="HM75" s="79"/>
      <c r="HN75" s="79"/>
      <c r="HO75" s="79"/>
      <c r="HP75" s="79"/>
      <c r="HQ75" s="79"/>
      <c r="HR75" s="79"/>
      <c r="HS75" s="79"/>
      <c r="HT75" s="79"/>
      <c r="HU75" s="79"/>
      <c r="HV75" s="79"/>
      <c r="HW75" s="79"/>
      <c r="HX75" s="79"/>
      <c r="HY75" s="79"/>
      <c r="HZ75" s="79"/>
      <c r="IA75" s="79"/>
      <c r="IB75" s="79"/>
      <c r="IC75" s="79"/>
      <c r="ID75" s="79"/>
      <c r="IE75" s="79"/>
      <c r="IF75" s="79"/>
      <c r="IG75" s="79"/>
      <c r="IH75" s="79"/>
      <c r="II75" s="79"/>
      <c r="IJ75" s="79"/>
      <c r="IK75" s="79"/>
      <c r="IL75" s="79"/>
      <c r="IM75" s="79"/>
      <c r="IN75" s="79"/>
      <c r="IO75" s="79"/>
      <c r="IP75" s="79"/>
      <c r="IQ75" s="79"/>
      <c r="IR75" s="79"/>
      <c r="IS75" s="79"/>
      <c r="IT75" s="79"/>
      <c r="IU75" s="79"/>
      <c r="IV75" s="79"/>
      <c r="IW75" s="79"/>
    </row>
    <row r="76" customFormat="false" ht="22.5" hidden="false" customHeight="false" outlineLevel="0" collapsed="false">
      <c r="A76" s="71" t="n">
        <v>6</v>
      </c>
      <c r="B76" s="71" t="s">
        <v>52</v>
      </c>
      <c r="C76" s="71" t="s">
        <v>53</v>
      </c>
      <c r="D76" s="71"/>
      <c r="E76" s="25" t="s">
        <v>49</v>
      </c>
      <c r="F76" s="71" t="s">
        <v>57</v>
      </c>
      <c r="G76" s="72" t="s">
        <v>54</v>
      </c>
      <c r="H76" s="72" t="s">
        <v>72</v>
      </c>
      <c r="I76" s="73"/>
      <c r="J76" s="80" t="n">
        <v>2.32</v>
      </c>
      <c r="K76" s="81" t="n">
        <f aca="false">SUM(Elpaso_6!G17:G21)+SUM(Elpaso_6!H17:H21)/5</f>
        <v>4.1082</v>
      </c>
      <c r="L76" s="81" t="n">
        <f aca="false">+J76-K76</f>
        <v>-1.7882</v>
      </c>
      <c r="M76" s="83" t="n">
        <v>-15000000</v>
      </c>
      <c r="N76" s="83" t="n">
        <f aca="false">+M76/153</f>
        <v>-98039.2156862745</v>
      </c>
      <c r="O76" s="84" t="n">
        <f aca="false">-Elpaso_6!I23</f>
        <v>26815000</v>
      </c>
      <c r="P76" s="73"/>
      <c r="Q76" s="84" t="n">
        <f aca="false">+O76</f>
        <v>26815000</v>
      </c>
      <c r="R76" s="73"/>
      <c r="S76" s="79"/>
      <c r="T76" s="79"/>
      <c r="U76" s="79"/>
      <c r="V76" s="79"/>
      <c r="W76" s="79"/>
      <c r="X76" s="79"/>
      <c r="Y76" s="79"/>
      <c r="Z76" s="79"/>
      <c r="AA76" s="79"/>
      <c r="AB76" s="79"/>
      <c r="AC76" s="79"/>
      <c r="AD76" s="79"/>
      <c r="AE76" s="79"/>
      <c r="AF76" s="79"/>
      <c r="AG76" s="79"/>
      <c r="AH76" s="79"/>
      <c r="AI76" s="79"/>
      <c r="AJ76" s="79"/>
      <c r="AK76" s="79"/>
      <c r="AL76" s="79"/>
      <c r="AM76" s="79"/>
      <c r="AN76" s="79"/>
      <c r="AO76" s="79"/>
      <c r="AP76" s="79"/>
      <c r="AQ76" s="79"/>
      <c r="AR76" s="79"/>
      <c r="AS76" s="79"/>
      <c r="AT76" s="79"/>
      <c r="AU76" s="79"/>
      <c r="AV76" s="79"/>
      <c r="AW76" s="79"/>
      <c r="AX76" s="79"/>
      <c r="AY76" s="79"/>
      <c r="AZ76" s="79"/>
      <c r="BA76" s="79"/>
      <c r="BB76" s="79"/>
      <c r="BC76" s="79"/>
      <c r="BD76" s="79"/>
      <c r="BE76" s="79"/>
      <c r="BF76" s="79"/>
      <c r="BG76" s="79"/>
      <c r="BH76" s="79"/>
      <c r="BI76" s="79"/>
      <c r="BJ76" s="79"/>
      <c r="BK76" s="79"/>
      <c r="BL76" s="79"/>
      <c r="BM76" s="79"/>
      <c r="BN76" s="79"/>
      <c r="BO76" s="79"/>
      <c r="BP76" s="79"/>
      <c r="BQ76" s="79"/>
      <c r="BR76" s="79"/>
      <c r="BS76" s="79"/>
      <c r="BT76" s="79"/>
      <c r="BU76" s="79"/>
      <c r="BV76" s="79"/>
      <c r="BW76" s="79"/>
      <c r="BX76" s="79"/>
      <c r="BY76" s="79"/>
      <c r="BZ76" s="79"/>
      <c r="CA76" s="79"/>
      <c r="CB76" s="79"/>
      <c r="CC76" s="79"/>
      <c r="CD76" s="79"/>
      <c r="CE76" s="79"/>
      <c r="CF76" s="79"/>
      <c r="CG76" s="79"/>
      <c r="CH76" s="79"/>
      <c r="CI76" s="79"/>
      <c r="CJ76" s="79"/>
      <c r="CK76" s="79"/>
      <c r="CL76" s="79"/>
      <c r="CM76" s="79"/>
      <c r="CN76" s="79"/>
      <c r="CO76" s="79"/>
      <c r="CP76" s="79"/>
      <c r="CQ76" s="79"/>
      <c r="CR76" s="79"/>
      <c r="CS76" s="79"/>
      <c r="CT76" s="79"/>
      <c r="CU76" s="79"/>
      <c r="CV76" s="79"/>
      <c r="CW76" s="79"/>
      <c r="CX76" s="79"/>
      <c r="CY76" s="79"/>
      <c r="CZ76" s="79"/>
      <c r="DA76" s="79"/>
      <c r="DB76" s="79"/>
      <c r="DC76" s="79"/>
      <c r="DD76" s="79"/>
      <c r="DE76" s="79"/>
      <c r="DF76" s="79"/>
      <c r="DG76" s="79"/>
      <c r="DH76" s="79"/>
      <c r="DI76" s="79"/>
      <c r="DJ76" s="79"/>
      <c r="DK76" s="79"/>
      <c r="DL76" s="79"/>
      <c r="DM76" s="79"/>
      <c r="DN76" s="79"/>
      <c r="DO76" s="79"/>
      <c r="DP76" s="79"/>
      <c r="DQ76" s="79"/>
      <c r="DR76" s="79"/>
      <c r="DS76" s="79"/>
      <c r="DT76" s="79"/>
      <c r="DU76" s="79"/>
      <c r="DV76" s="79"/>
      <c r="DW76" s="79"/>
      <c r="DX76" s="79"/>
      <c r="DY76" s="79"/>
      <c r="DZ76" s="79"/>
      <c r="EA76" s="79"/>
      <c r="EB76" s="79"/>
      <c r="EC76" s="79"/>
      <c r="ED76" s="79"/>
      <c r="EE76" s="79"/>
      <c r="EF76" s="79"/>
      <c r="EG76" s="79"/>
      <c r="EH76" s="79"/>
      <c r="EI76" s="79"/>
      <c r="EJ76" s="79"/>
      <c r="EK76" s="79"/>
      <c r="EL76" s="79"/>
      <c r="EM76" s="79"/>
      <c r="EN76" s="79"/>
      <c r="EO76" s="79"/>
      <c r="EP76" s="79"/>
      <c r="EQ76" s="79"/>
      <c r="ER76" s="79"/>
      <c r="ES76" s="79"/>
      <c r="ET76" s="79"/>
      <c r="EU76" s="79"/>
      <c r="EV76" s="79"/>
      <c r="EW76" s="79"/>
      <c r="EX76" s="79"/>
      <c r="EY76" s="79"/>
      <c r="EZ76" s="79"/>
      <c r="FA76" s="79"/>
      <c r="FB76" s="79"/>
      <c r="FC76" s="79"/>
      <c r="FD76" s="79"/>
      <c r="FE76" s="79"/>
      <c r="FF76" s="79"/>
      <c r="FG76" s="79"/>
      <c r="FH76" s="79"/>
      <c r="FI76" s="79"/>
      <c r="FJ76" s="79"/>
      <c r="FK76" s="79"/>
      <c r="FL76" s="79"/>
      <c r="FM76" s="79"/>
      <c r="FN76" s="79"/>
      <c r="FO76" s="79"/>
      <c r="FP76" s="79"/>
      <c r="FQ76" s="79"/>
      <c r="FR76" s="79"/>
      <c r="FS76" s="79"/>
      <c r="FT76" s="79"/>
      <c r="FU76" s="79"/>
      <c r="FV76" s="79"/>
      <c r="FW76" s="79"/>
      <c r="FX76" s="79"/>
      <c r="FY76" s="79"/>
      <c r="FZ76" s="79"/>
      <c r="GA76" s="79"/>
      <c r="GB76" s="79"/>
      <c r="GC76" s="79"/>
      <c r="GD76" s="79"/>
      <c r="GE76" s="79"/>
      <c r="GF76" s="79"/>
      <c r="GG76" s="79"/>
      <c r="GH76" s="79"/>
      <c r="GI76" s="79"/>
      <c r="GJ76" s="79"/>
      <c r="GK76" s="79"/>
      <c r="GL76" s="79"/>
      <c r="GM76" s="79"/>
      <c r="GN76" s="79"/>
      <c r="GO76" s="79"/>
      <c r="GP76" s="79"/>
      <c r="GQ76" s="79"/>
      <c r="GR76" s="79"/>
      <c r="GS76" s="79"/>
      <c r="GT76" s="79"/>
      <c r="GU76" s="79"/>
      <c r="GV76" s="79"/>
      <c r="GW76" s="79"/>
      <c r="GX76" s="79"/>
      <c r="GY76" s="79"/>
      <c r="GZ76" s="79"/>
      <c r="HA76" s="79"/>
      <c r="HB76" s="79"/>
      <c r="HC76" s="79"/>
      <c r="HD76" s="79"/>
      <c r="HE76" s="79"/>
      <c r="HF76" s="79"/>
      <c r="HG76" s="79"/>
      <c r="HH76" s="79"/>
      <c r="HI76" s="79"/>
      <c r="HJ76" s="79"/>
      <c r="HK76" s="79"/>
      <c r="HL76" s="79"/>
      <c r="HM76" s="79"/>
      <c r="HN76" s="79"/>
      <c r="HO76" s="79"/>
      <c r="HP76" s="79"/>
      <c r="HQ76" s="79"/>
      <c r="HR76" s="79"/>
      <c r="HS76" s="79"/>
      <c r="HT76" s="79"/>
      <c r="HU76" s="79"/>
      <c r="HV76" s="79"/>
      <c r="HW76" s="79"/>
      <c r="HX76" s="79"/>
      <c r="HY76" s="79"/>
      <c r="HZ76" s="79"/>
      <c r="IA76" s="79"/>
      <c r="IB76" s="79"/>
      <c r="IC76" s="79"/>
      <c r="ID76" s="79"/>
      <c r="IE76" s="79"/>
      <c r="IF76" s="79"/>
      <c r="IG76" s="79"/>
      <c r="IH76" s="79"/>
      <c r="II76" s="79"/>
      <c r="IJ76" s="79"/>
      <c r="IK76" s="79"/>
      <c r="IL76" s="79"/>
      <c r="IM76" s="79"/>
      <c r="IN76" s="79"/>
      <c r="IO76" s="79"/>
      <c r="IP76" s="79"/>
      <c r="IQ76" s="79"/>
      <c r="IR76" s="79"/>
      <c r="IS76" s="79"/>
      <c r="IT76" s="79"/>
      <c r="IU76" s="79"/>
      <c r="IV76" s="79"/>
      <c r="IW76" s="79"/>
    </row>
    <row r="77" customFormat="false" ht="11.25" hidden="false" customHeight="false" outlineLevel="0" collapsed="false">
      <c r="A77" s="71"/>
      <c r="B77" s="71"/>
      <c r="C77" s="71"/>
      <c r="D77" s="71"/>
      <c r="E77" s="71"/>
      <c r="F77" s="71"/>
      <c r="G77" s="72"/>
      <c r="H77" s="72"/>
      <c r="I77" s="73"/>
      <c r="J77" s="80"/>
      <c r="K77" s="81"/>
      <c r="L77" s="81"/>
      <c r="M77" s="75" t="n">
        <f aca="false">+M75+M76</f>
        <v>0</v>
      </c>
      <c r="N77" s="75" t="n">
        <f aca="false">+M77/153</f>
        <v>0</v>
      </c>
      <c r="O77" s="77" t="n">
        <f aca="false">+O76+O75</f>
        <v>14700000</v>
      </c>
      <c r="P77" s="73"/>
      <c r="Q77" s="78" t="n">
        <f aca="false">+Q76+Q75</f>
        <v>14700000</v>
      </c>
      <c r="R77" s="73"/>
      <c r="S77" s="79"/>
      <c r="T77" s="79"/>
      <c r="U77" s="79"/>
      <c r="V77" s="79"/>
      <c r="W77" s="79"/>
      <c r="X77" s="79"/>
      <c r="Y77" s="79"/>
      <c r="Z77" s="79"/>
      <c r="AA77" s="79"/>
      <c r="AB77" s="79"/>
      <c r="AC77" s="79"/>
      <c r="AD77" s="79"/>
      <c r="AE77" s="79"/>
      <c r="AF77" s="79"/>
      <c r="AG77" s="79"/>
      <c r="AH77" s="79"/>
      <c r="AI77" s="79"/>
      <c r="AJ77" s="79"/>
      <c r="AK77" s="79"/>
      <c r="AL77" s="79"/>
      <c r="AM77" s="79"/>
      <c r="AN77" s="79"/>
      <c r="AO77" s="79"/>
      <c r="AP77" s="79"/>
      <c r="AQ77" s="79"/>
      <c r="AR77" s="79"/>
      <c r="AS77" s="79"/>
      <c r="AT77" s="79"/>
      <c r="AU77" s="79"/>
      <c r="AV77" s="79"/>
      <c r="AW77" s="79"/>
      <c r="AX77" s="79"/>
      <c r="AY77" s="79"/>
      <c r="AZ77" s="79"/>
      <c r="BA77" s="79"/>
      <c r="BB77" s="79"/>
      <c r="BC77" s="79"/>
      <c r="BD77" s="79"/>
      <c r="BE77" s="79"/>
      <c r="BF77" s="79"/>
      <c r="BG77" s="79"/>
      <c r="BH77" s="79"/>
      <c r="BI77" s="79"/>
      <c r="BJ77" s="79"/>
      <c r="BK77" s="79"/>
      <c r="BL77" s="79"/>
      <c r="BM77" s="79"/>
      <c r="BN77" s="79"/>
      <c r="BO77" s="79"/>
      <c r="BP77" s="79"/>
      <c r="BQ77" s="79"/>
      <c r="BR77" s="79"/>
      <c r="BS77" s="79"/>
      <c r="BT77" s="79"/>
      <c r="BU77" s="79"/>
      <c r="BV77" s="79"/>
      <c r="BW77" s="79"/>
      <c r="BX77" s="79"/>
      <c r="BY77" s="79"/>
      <c r="BZ77" s="79"/>
      <c r="CA77" s="79"/>
      <c r="CB77" s="79"/>
      <c r="CC77" s="79"/>
      <c r="CD77" s="79"/>
      <c r="CE77" s="79"/>
      <c r="CF77" s="79"/>
      <c r="CG77" s="79"/>
      <c r="CH77" s="79"/>
      <c r="CI77" s="79"/>
      <c r="CJ77" s="79"/>
      <c r="CK77" s="79"/>
      <c r="CL77" s="79"/>
      <c r="CM77" s="79"/>
      <c r="CN77" s="79"/>
      <c r="CO77" s="79"/>
      <c r="CP77" s="79"/>
      <c r="CQ77" s="79"/>
      <c r="CR77" s="79"/>
      <c r="CS77" s="79"/>
      <c r="CT77" s="79"/>
      <c r="CU77" s="79"/>
      <c r="CV77" s="79"/>
      <c r="CW77" s="79"/>
      <c r="CX77" s="79"/>
      <c r="CY77" s="79"/>
      <c r="CZ77" s="79"/>
      <c r="DA77" s="79"/>
      <c r="DB77" s="79"/>
      <c r="DC77" s="79"/>
      <c r="DD77" s="79"/>
      <c r="DE77" s="79"/>
      <c r="DF77" s="79"/>
      <c r="DG77" s="79"/>
      <c r="DH77" s="79"/>
      <c r="DI77" s="79"/>
      <c r="DJ77" s="79"/>
      <c r="DK77" s="79"/>
      <c r="DL77" s="79"/>
      <c r="DM77" s="79"/>
      <c r="DN77" s="79"/>
      <c r="DO77" s="79"/>
      <c r="DP77" s="79"/>
      <c r="DQ77" s="79"/>
      <c r="DR77" s="79"/>
      <c r="DS77" s="79"/>
      <c r="DT77" s="79"/>
      <c r="DU77" s="79"/>
      <c r="DV77" s="79"/>
      <c r="DW77" s="79"/>
      <c r="DX77" s="79"/>
      <c r="DY77" s="79"/>
      <c r="DZ77" s="79"/>
      <c r="EA77" s="79"/>
      <c r="EB77" s="79"/>
      <c r="EC77" s="79"/>
      <c r="ED77" s="79"/>
      <c r="EE77" s="79"/>
      <c r="EF77" s="79"/>
      <c r="EG77" s="79"/>
      <c r="EH77" s="79"/>
      <c r="EI77" s="79"/>
      <c r="EJ77" s="79"/>
      <c r="EK77" s="79"/>
      <c r="EL77" s="79"/>
      <c r="EM77" s="79"/>
      <c r="EN77" s="79"/>
      <c r="EO77" s="79"/>
      <c r="EP77" s="79"/>
      <c r="EQ77" s="79"/>
      <c r="ER77" s="79"/>
      <c r="ES77" s="79"/>
      <c r="ET77" s="79"/>
      <c r="EU77" s="79"/>
      <c r="EV77" s="79"/>
      <c r="EW77" s="79"/>
      <c r="EX77" s="79"/>
      <c r="EY77" s="79"/>
      <c r="EZ77" s="79"/>
      <c r="FA77" s="79"/>
      <c r="FB77" s="79"/>
      <c r="FC77" s="79"/>
      <c r="FD77" s="79"/>
      <c r="FE77" s="79"/>
      <c r="FF77" s="79"/>
      <c r="FG77" s="79"/>
      <c r="FH77" s="79"/>
      <c r="FI77" s="79"/>
      <c r="FJ77" s="79"/>
      <c r="FK77" s="79"/>
      <c r="FL77" s="79"/>
      <c r="FM77" s="79"/>
      <c r="FN77" s="79"/>
      <c r="FO77" s="79"/>
      <c r="FP77" s="79"/>
      <c r="FQ77" s="79"/>
      <c r="FR77" s="79"/>
      <c r="FS77" s="79"/>
      <c r="FT77" s="79"/>
      <c r="FU77" s="79"/>
      <c r="FV77" s="79"/>
      <c r="FW77" s="79"/>
      <c r="FX77" s="79"/>
      <c r="FY77" s="79"/>
      <c r="FZ77" s="79"/>
      <c r="GA77" s="79"/>
      <c r="GB77" s="79"/>
      <c r="GC77" s="79"/>
      <c r="GD77" s="79"/>
      <c r="GE77" s="79"/>
      <c r="GF77" s="79"/>
      <c r="GG77" s="79"/>
      <c r="GH77" s="79"/>
      <c r="GI77" s="79"/>
      <c r="GJ77" s="79"/>
      <c r="GK77" s="79"/>
      <c r="GL77" s="79"/>
      <c r="GM77" s="79"/>
      <c r="GN77" s="79"/>
      <c r="GO77" s="79"/>
      <c r="GP77" s="79"/>
      <c r="GQ77" s="79"/>
      <c r="GR77" s="79"/>
      <c r="GS77" s="79"/>
      <c r="GT77" s="79"/>
      <c r="GU77" s="79"/>
      <c r="GV77" s="79"/>
      <c r="GW77" s="79"/>
      <c r="GX77" s="79"/>
      <c r="GY77" s="79"/>
      <c r="GZ77" s="79"/>
      <c r="HA77" s="79"/>
      <c r="HB77" s="79"/>
      <c r="HC77" s="79"/>
      <c r="HD77" s="79"/>
      <c r="HE77" s="79"/>
      <c r="HF77" s="79"/>
      <c r="HG77" s="79"/>
      <c r="HH77" s="79"/>
      <c r="HI77" s="79"/>
      <c r="HJ77" s="79"/>
      <c r="HK77" s="79"/>
      <c r="HL77" s="79"/>
      <c r="HM77" s="79"/>
      <c r="HN77" s="79"/>
      <c r="HO77" s="79"/>
      <c r="HP77" s="79"/>
      <c r="HQ77" s="79"/>
      <c r="HR77" s="79"/>
      <c r="HS77" s="79"/>
      <c r="HT77" s="79"/>
      <c r="HU77" s="79"/>
      <c r="HV77" s="79"/>
      <c r="HW77" s="79"/>
      <c r="HX77" s="79"/>
      <c r="HY77" s="79"/>
      <c r="HZ77" s="79"/>
      <c r="IA77" s="79"/>
      <c r="IB77" s="79"/>
      <c r="IC77" s="79"/>
      <c r="ID77" s="79"/>
      <c r="IE77" s="79"/>
      <c r="IF77" s="79"/>
      <c r="IG77" s="79"/>
      <c r="IH77" s="79"/>
      <c r="II77" s="79"/>
      <c r="IJ77" s="79"/>
      <c r="IK77" s="79"/>
      <c r="IL77" s="79"/>
      <c r="IM77" s="79"/>
      <c r="IN77" s="79"/>
      <c r="IO77" s="79"/>
      <c r="IP77" s="79"/>
      <c r="IQ77" s="79"/>
      <c r="IR77" s="79"/>
      <c r="IS77" s="79"/>
      <c r="IT77" s="79"/>
      <c r="IU77" s="79"/>
      <c r="IV77" s="79"/>
      <c r="IW77" s="79"/>
    </row>
    <row r="78" customFormat="false" ht="11.25" hidden="false" customHeight="false" outlineLevel="0" collapsed="false">
      <c r="A78" s="71"/>
      <c r="B78" s="71"/>
      <c r="C78" s="71"/>
      <c r="D78" s="71"/>
      <c r="E78" s="71"/>
      <c r="F78" s="71"/>
      <c r="G78" s="72"/>
      <c r="H78" s="72"/>
      <c r="I78" s="73"/>
      <c r="J78" s="80"/>
      <c r="K78" s="81"/>
      <c r="L78" s="81"/>
      <c r="M78" s="75"/>
      <c r="N78" s="75"/>
      <c r="O78" s="77"/>
      <c r="P78" s="73"/>
      <c r="Q78" s="85"/>
      <c r="R78" s="73"/>
      <c r="S78" s="79"/>
      <c r="T78" s="79"/>
      <c r="U78" s="79"/>
      <c r="V78" s="79"/>
      <c r="W78" s="79"/>
      <c r="X78" s="79"/>
      <c r="Y78" s="79"/>
      <c r="Z78" s="79"/>
      <c r="AA78" s="79"/>
      <c r="AB78" s="79"/>
      <c r="AC78" s="79"/>
      <c r="AD78" s="79"/>
      <c r="AE78" s="79"/>
      <c r="AF78" s="79"/>
      <c r="AG78" s="79"/>
      <c r="AH78" s="79"/>
      <c r="AI78" s="79"/>
      <c r="AJ78" s="79"/>
      <c r="AK78" s="79"/>
      <c r="AL78" s="79"/>
      <c r="AM78" s="79"/>
      <c r="AN78" s="79"/>
      <c r="AO78" s="79"/>
      <c r="AP78" s="79"/>
      <c r="AQ78" s="79"/>
      <c r="AR78" s="79"/>
      <c r="AS78" s="79"/>
      <c r="AT78" s="79"/>
      <c r="AU78" s="79"/>
      <c r="AV78" s="79"/>
      <c r="AW78" s="79"/>
      <c r="AX78" s="79"/>
      <c r="AY78" s="79"/>
      <c r="AZ78" s="79"/>
      <c r="BA78" s="79"/>
      <c r="BB78" s="79"/>
      <c r="BC78" s="79"/>
      <c r="BD78" s="79"/>
      <c r="BE78" s="79"/>
      <c r="BF78" s="79"/>
      <c r="BG78" s="79"/>
      <c r="BH78" s="79"/>
      <c r="BI78" s="79"/>
      <c r="BJ78" s="79"/>
      <c r="BK78" s="79"/>
      <c r="BL78" s="79"/>
      <c r="BM78" s="79"/>
      <c r="BN78" s="79"/>
      <c r="BO78" s="79"/>
      <c r="BP78" s="79"/>
      <c r="BQ78" s="79"/>
      <c r="BR78" s="79"/>
      <c r="BS78" s="79"/>
      <c r="BT78" s="79"/>
      <c r="BU78" s="79"/>
      <c r="BV78" s="79"/>
      <c r="BW78" s="79"/>
      <c r="BX78" s="79"/>
      <c r="BY78" s="79"/>
      <c r="BZ78" s="79"/>
      <c r="CA78" s="79"/>
      <c r="CB78" s="79"/>
      <c r="CC78" s="79"/>
      <c r="CD78" s="79"/>
      <c r="CE78" s="79"/>
      <c r="CF78" s="79"/>
      <c r="CG78" s="79"/>
      <c r="CH78" s="79"/>
      <c r="CI78" s="79"/>
      <c r="CJ78" s="79"/>
      <c r="CK78" s="79"/>
      <c r="CL78" s="79"/>
      <c r="CM78" s="79"/>
      <c r="CN78" s="79"/>
      <c r="CO78" s="79"/>
      <c r="CP78" s="79"/>
      <c r="CQ78" s="79"/>
      <c r="CR78" s="79"/>
      <c r="CS78" s="79"/>
      <c r="CT78" s="79"/>
      <c r="CU78" s="79"/>
      <c r="CV78" s="79"/>
      <c r="CW78" s="79"/>
      <c r="CX78" s="79"/>
      <c r="CY78" s="79"/>
      <c r="CZ78" s="79"/>
      <c r="DA78" s="79"/>
      <c r="DB78" s="79"/>
      <c r="DC78" s="79"/>
      <c r="DD78" s="79"/>
      <c r="DE78" s="79"/>
      <c r="DF78" s="79"/>
      <c r="DG78" s="79"/>
      <c r="DH78" s="79"/>
      <c r="DI78" s="79"/>
      <c r="DJ78" s="79"/>
      <c r="DK78" s="79"/>
      <c r="DL78" s="79"/>
      <c r="DM78" s="79"/>
      <c r="DN78" s="79"/>
      <c r="DO78" s="79"/>
      <c r="DP78" s="79"/>
      <c r="DQ78" s="79"/>
      <c r="DR78" s="79"/>
      <c r="DS78" s="79"/>
      <c r="DT78" s="79"/>
      <c r="DU78" s="79"/>
      <c r="DV78" s="79"/>
      <c r="DW78" s="79"/>
      <c r="DX78" s="79"/>
      <c r="DY78" s="79"/>
      <c r="DZ78" s="79"/>
      <c r="EA78" s="79"/>
      <c r="EB78" s="79"/>
      <c r="EC78" s="79"/>
      <c r="ED78" s="79"/>
      <c r="EE78" s="79"/>
      <c r="EF78" s="79"/>
      <c r="EG78" s="79"/>
      <c r="EH78" s="79"/>
      <c r="EI78" s="79"/>
      <c r="EJ78" s="79"/>
      <c r="EK78" s="79"/>
      <c r="EL78" s="79"/>
      <c r="EM78" s="79"/>
      <c r="EN78" s="79"/>
      <c r="EO78" s="79"/>
      <c r="EP78" s="79"/>
      <c r="EQ78" s="79"/>
      <c r="ER78" s="79"/>
      <c r="ES78" s="79"/>
      <c r="ET78" s="79"/>
      <c r="EU78" s="79"/>
      <c r="EV78" s="79"/>
      <c r="EW78" s="79"/>
      <c r="EX78" s="79"/>
      <c r="EY78" s="79"/>
      <c r="EZ78" s="79"/>
      <c r="FA78" s="79"/>
      <c r="FB78" s="79"/>
      <c r="FC78" s="79"/>
      <c r="FD78" s="79"/>
      <c r="FE78" s="79"/>
      <c r="FF78" s="79"/>
      <c r="FG78" s="79"/>
      <c r="FH78" s="79"/>
      <c r="FI78" s="79"/>
      <c r="FJ78" s="79"/>
      <c r="FK78" s="79"/>
      <c r="FL78" s="79"/>
      <c r="FM78" s="79"/>
      <c r="FN78" s="79"/>
      <c r="FO78" s="79"/>
      <c r="FP78" s="79"/>
      <c r="FQ78" s="79"/>
      <c r="FR78" s="79"/>
      <c r="FS78" s="79"/>
      <c r="FT78" s="79"/>
      <c r="FU78" s="79"/>
      <c r="FV78" s="79"/>
      <c r="FW78" s="79"/>
      <c r="FX78" s="79"/>
      <c r="FY78" s="79"/>
      <c r="FZ78" s="79"/>
      <c r="GA78" s="79"/>
      <c r="GB78" s="79"/>
      <c r="GC78" s="79"/>
      <c r="GD78" s="79"/>
      <c r="GE78" s="79"/>
      <c r="GF78" s="79"/>
      <c r="GG78" s="79"/>
      <c r="GH78" s="79"/>
      <c r="GI78" s="79"/>
      <c r="GJ78" s="79"/>
      <c r="GK78" s="79"/>
      <c r="GL78" s="79"/>
      <c r="GM78" s="79"/>
      <c r="GN78" s="79"/>
      <c r="GO78" s="79"/>
      <c r="GP78" s="79"/>
      <c r="GQ78" s="79"/>
      <c r="GR78" s="79"/>
      <c r="GS78" s="79"/>
      <c r="GT78" s="79"/>
      <c r="GU78" s="79"/>
      <c r="GV78" s="79"/>
      <c r="GW78" s="79"/>
      <c r="GX78" s="79"/>
      <c r="GY78" s="79"/>
      <c r="GZ78" s="79"/>
      <c r="HA78" s="79"/>
      <c r="HB78" s="79"/>
      <c r="HC78" s="79"/>
      <c r="HD78" s="79"/>
      <c r="HE78" s="79"/>
      <c r="HF78" s="79"/>
      <c r="HG78" s="79"/>
      <c r="HH78" s="79"/>
      <c r="HI78" s="79"/>
      <c r="HJ78" s="79"/>
      <c r="HK78" s="79"/>
      <c r="HL78" s="79"/>
      <c r="HM78" s="79"/>
      <c r="HN78" s="79"/>
      <c r="HO78" s="79"/>
      <c r="HP78" s="79"/>
      <c r="HQ78" s="79"/>
      <c r="HR78" s="79"/>
      <c r="HS78" s="79"/>
      <c r="HT78" s="79"/>
      <c r="HU78" s="79"/>
      <c r="HV78" s="79"/>
      <c r="HW78" s="79"/>
      <c r="HX78" s="79"/>
      <c r="HY78" s="79"/>
      <c r="HZ78" s="79"/>
      <c r="IA78" s="79"/>
      <c r="IB78" s="79"/>
      <c r="IC78" s="79"/>
      <c r="ID78" s="79"/>
      <c r="IE78" s="79"/>
      <c r="IF78" s="79"/>
      <c r="IG78" s="79"/>
      <c r="IH78" s="79"/>
      <c r="II78" s="79"/>
      <c r="IJ78" s="79"/>
      <c r="IK78" s="79"/>
      <c r="IL78" s="79"/>
      <c r="IM78" s="79"/>
      <c r="IN78" s="79"/>
      <c r="IO78" s="79"/>
      <c r="IP78" s="79"/>
      <c r="IQ78" s="79"/>
      <c r="IR78" s="79"/>
      <c r="IS78" s="79"/>
      <c r="IT78" s="79"/>
      <c r="IU78" s="79"/>
      <c r="IV78" s="79"/>
      <c r="IW78" s="79"/>
    </row>
    <row r="79" customFormat="false" ht="22.5" hidden="false" customHeight="false" outlineLevel="0" collapsed="false">
      <c r="A79" s="73"/>
      <c r="B79" s="71" t="s">
        <v>52</v>
      </c>
      <c r="C79" s="86" t="s">
        <v>73</v>
      </c>
      <c r="D79" s="73"/>
      <c r="E79" s="25" t="s">
        <v>49</v>
      </c>
      <c r="F79" s="71"/>
      <c r="G79" s="87" t="s">
        <v>74</v>
      </c>
      <c r="H79" s="86" t="s">
        <v>75</v>
      </c>
      <c r="I79" s="73"/>
      <c r="J79" s="80" t="n">
        <v>0.94</v>
      </c>
      <c r="K79" s="80" t="n">
        <v>0.9</v>
      </c>
      <c r="L79" s="80" t="n">
        <v>0.04</v>
      </c>
      <c r="M79" s="75" t="n">
        <f aca="false">+[1]Summary!$F$36</f>
        <v>62401635.28848</v>
      </c>
      <c r="N79" s="75" t="n">
        <f aca="false">+M79/730</f>
        <v>85481.692176</v>
      </c>
      <c r="O79" s="77" t="n">
        <f aca="false">-[1]Summary!$I$36</f>
        <v>1530952.71604023</v>
      </c>
      <c r="P79" s="77" t="n">
        <f aca="false">-[1]Summary!$J$36</f>
        <v>64767.0936164992</v>
      </c>
      <c r="Q79" s="78" t="n">
        <f aca="false">-[1]Summary!$K$36</f>
        <v>1466185.62242373</v>
      </c>
      <c r="R79" s="88"/>
      <c r="S79" s="79"/>
      <c r="T79" s="79"/>
      <c r="U79" s="79"/>
      <c r="V79" s="79"/>
      <c r="W79" s="79"/>
      <c r="X79" s="79"/>
      <c r="Y79" s="79"/>
      <c r="Z79" s="79"/>
      <c r="AA79" s="79"/>
      <c r="AB79" s="79"/>
      <c r="AC79" s="79"/>
      <c r="AD79" s="79"/>
      <c r="AE79" s="79"/>
      <c r="AF79" s="79"/>
      <c r="AG79" s="79"/>
      <c r="AH79" s="79"/>
      <c r="AI79" s="79"/>
      <c r="AJ79" s="79"/>
      <c r="AK79" s="79"/>
      <c r="AL79" s="79"/>
      <c r="AM79" s="79"/>
      <c r="AN79" s="79"/>
      <c r="AO79" s="79"/>
      <c r="AP79" s="79"/>
      <c r="AQ79" s="79"/>
      <c r="AR79" s="79"/>
      <c r="AS79" s="79"/>
      <c r="AT79" s="79"/>
      <c r="AU79" s="79"/>
      <c r="AV79" s="79"/>
      <c r="AW79" s="79"/>
      <c r="AX79" s="79"/>
      <c r="AY79" s="79"/>
      <c r="AZ79" s="79"/>
      <c r="BA79" s="79"/>
      <c r="BB79" s="79"/>
      <c r="BC79" s="79"/>
      <c r="BD79" s="79"/>
      <c r="BE79" s="79"/>
      <c r="BF79" s="79"/>
      <c r="BG79" s="79"/>
      <c r="BH79" s="79"/>
      <c r="BI79" s="79"/>
      <c r="BJ79" s="79"/>
      <c r="BK79" s="79"/>
      <c r="BL79" s="79"/>
      <c r="BM79" s="79"/>
      <c r="BN79" s="79"/>
      <c r="BO79" s="79"/>
      <c r="BP79" s="79"/>
      <c r="BQ79" s="79"/>
      <c r="BR79" s="79"/>
      <c r="BS79" s="79"/>
      <c r="BT79" s="79"/>
      <c r="BU79" s="79"/>
      <c r="BV79" s="79"/>
      <c r="BW79" s="79"/>
      <c r="BX79" s="79"/>
      <c r="BY79" s="79"/>
      <c r="BZ79" s="79"/>
      <c r="CA79" s="79"/>
      <c r="CB79" s="79"/>
      <c r="CC79" s="79"/>
      <c r="CD79" s="79"/>
      <c r="CE79" s="79"/>
      <c r="CF79" s="79"/>
      <c r="CG79" s="79"/>
      <c r="CH79" s="79"/>
      <c r="CI79" s="79"/>
      <c r="CJ79" s="79"/>
      <c r="CK79" s="79"/>
      <c r="CL79" s="79"/>
      <c r="CM79" s="79"/>
      <c r="CN79" s="79"/>
      <c r="CO79" s="79"/>
      <c r="CP79" s="79"/>
      <c r="CQ79" s="79"/>
      <c r="CR79" s="79"/>
      <c r="CS79" s="79"/>
      <c r="CT79" s="79"/>
      <c r="CU79" s="79"/>
      <c r="CV79" s="79"/>
      <c r="CW79" s="79"/>
      <c r="CX79" s="79"/>
      <c r="CY79" s="79"/>
      <c r="CZ79" s="79"/>
      <c r="DA79" s="79"/>
      <c r="DB79" s="79"/>
      <c r="DC79" s="79"/>
      <c r="DD79" s="79"/>
      <c r="DE79" s="79"/>
      <c r="DF79" s="79"/>
      <c r="DG79" s="79"/>
      <c r="DH79" s="79"/>
      <c r="DI79" s="79"/>
      <c r="DJ79" s="79"/>
      <c r="DK79" s="79"/>
      <c r="DL79" s="79"/>
      <c r="DM79" s="79"/>
      <c r="DN79" s="79"/>
      <c r="DO79" s="79"/>
      <c r="DP79" s="79"/>
      <c r="DQ79" s="79"/>
      <c r="DR79" s="79"/>
      <c r="DS79" s="79"/>
      <c r="DT79" s="79"/>
      <c r="DU79" s="79"/>
      <c r="DV79" s="79"/>
      <c r="DW79" s="79"/>
      <c r="DX79" s="79"/>
      <c r="DY79" s="79"/>
      <c r="DZ79" s="79"/>
      <c r="EA79" s="79"/>
      <c r="EB79" s="79"/>
      <c r="EC79" s="79"/>
      <c r="ED79" s="79"/>
      <c r="EE79" s="79"/>
      <c r="EF79" s="79"/>
      <c r="EG79" s="79"/>
      <c r="EH79" s="79"/>
      <c r="EI79" s="79"/>
      <c r="EJ79" s="79"/>
      <c r="EK79" s="79"/>
      <c r="EL79" s="79"/>
      <c r="EM79" s="79"/>
      <c r="EN79" s="79"/>
      <c r="EO79" s="79"/>
      <c r="EP79" s="79"/>
      <c r="EQ79" s="79"/>
      <c r="ER79" s="79"/>
      <c r="ES79" s="79"/>
      <c r="ET79" s="79"/>
      <c r="EU79" s="79"/>
      <c r="EV79" s="79"/>
      <c r="EW79" s="79"/>
      <c r="EX79" s="79"/>
      <c r="EY79" s="79"/>
      <c r="EZ79" s="79"/>
      <c r="FA79" s="79"/>
      <c r="FB79" s="79"/>
      <c r="FC79" s="79"/>
      <c r="FD79" s="79"/>
      <c r="FE79" s="79"/>
      <c r="FF79" s="79"/>
      <c r="FG79" s="79"/>
      <c r="FH79" s="79"/>
      <c r="FI79" s="79"/>
      <c r="FJ79" s="79"/>
      <c r="FK79" s="79"/>
      <c r="FL79" s="79"/>
      <c r="FM79" s="79"/>
      <c r="FN79" s="79"/>
      <c r="FO79" s="79"/>
      <c r="FP79" s="79"/>
      <c r="FQ79" s="79"/>
      <c r="FR79" s="79"/>
      <c r="FS79" s="79"/>
      <c r="FT79" s="79"/>
      <c r="FU79" s="79"/>
      <c r="FV79" s="79"/>
      <c r="FW79" s="79"/>
      <c r="FX79" s="79"/>
      <c r="FY79" s="79"/>
      <c r="FZ79" s="79"/>
      <c r="GA79" s="79"/>
      <c r="GB79" s="79"/>
      <c r="GC79" s="79"/>
      <c r="GD79" s="79"/>
      <c r="GE79" s="79"/>
      <c r="GF79" s="79"/>
      <c r="GG79" s="79"/>
      <c r="GH79" s="79"/>
      <c r="GI79" s="79"/>
      <c r="GJ79" s="79"/>
      <c r="GK79" s="79"/>
      <c r="GL79" s="79"/>
      <c r="GM79" s="79"/>
      <c r="GN79" s="79"/>
      <c r="GO79" s="79"/>
      <c r="GP79" s="79"/>
      <c r="GQ79" s="79"/>
      <c r="GR79" s="79"/>
      <c r="GS79" s="79"/>
      <c r="GT79" s="79"/>
      <c r="GU79" s="79"/>
      <c r="GV79" s="79"/>
      <c r="GW79" s="79"/>
      <c r="GX79" s="79"/>
      <c r="GY79" s="79"/>
      <c r="GZ79" s="79"/>
      <c r="HA79" s="79"/>
      <c r="HB79" s="79"/>
      <c r="HC79" s="79"/>
      <c r="HD79" s="79"/>
      <c r="HE79" s="79"/>
      <c r="HF79" s="79"/>
      <c r="HG79" s="79"/>
      <c r="HH79" s="79"/>
      <c r="HI79" s="79"/>
      <c r="HJ79" s="79"/>
      <c r="HK79" s="79"/>
      <c r="HL79" s="79"/>
      <c r="HM79" s="79"/>
      <c r="HN79" s="79"/>
      <c r="HO79" s="79"/>
      <c r="HP79" s="79"/>
      <c r="HQ79" s="79"/>
      <c r="HR79" s="79"/>
      <c r="HS79" s="79"/>
      <c r="HT79" s="79"/>
      <c r="HU79" s="79"/>
      <c r="HV79" s="79"/>
      <c r="HW79" s="79"/>
      <c r="HX79" s="79"/>
      <c r="HY79" s="79"/>
      <c r="HZ79" s="79"/>
      <c r="IA79" s="79"/>
      <c r="IB79" s="79"/>
      <c r="IC79" s="79"/>
      <c r="ID79" s="79"/>
      <c r="IE79" s="79"/>
      <c r="IF79" s="79"/>
      <c r="IG79" s="79"/>
      <c r="IH79" s="79"/>
      <c r="II79" s="79"/>
      <c r="IJ79" s="79"/>
      <c r="IK79" s="79"/>
      <c r="IL79" s="79"/>
      <c r="IM79" s="79"/>
      <c r="IN79" s="79"/>
      <c r="IO79" s="79"/>
      <c r="IP79" s="79"/>
      <c r="IQ79" s="79"/>
      <c r="IR79" s="79"/>
      <c r="IS79" s="79"/>
      <c r="IT79" s="79"/>
      <c r="IU79" s="79"/>
      <c r="IV79" s="79"/>
      <c r="IW79" s="79"/>
    </row>
    <row r="80" customFormat="false" ht="11.25" hidden="false" customHeight="false" outlineLevel="0" collapsed="false">
      <c r="A80" s="25"/>
      <c r="B80" s="25"/>
      <c r="C80" s="25"/>
      <c r="D80" s="25"/>
      <c r="E80" s="25"/>
      <c r="F80" s="25"/>
      <c r="G80" s="26"/>
      <c r="H80" s="26"/>
      <c r="I80" s="25"/>
      <c r="J80" s="26"/>
      <c r="K80" s="26"/>
      <c r="L80" s="26"/>
      <c r="M80" s="31"/>
      <c r="N80" s="31"/>
      <c r="O80" s="47"/>
      <c r="P80" s="89"/>
      <c r="Q80" s="89"/>
    </row>
    <row r="81" customFormat="false" ht="11.25" hidden="false" customHeight="false" outlineLevel="0" collapsed="false">
      <c r="A81" s="25" t="n">
        <v>10</v>
      </c>
      <c r="B81" s="25" t="s">
        <v>36</v>
      </c>
      <c r="C81" s="25" t="s">
        <v>76</v>
      </c>
      <c r="D81" s="25"/>
      <c r="E81" s="25" t="s">
        <v>49</v>
      </c>
      <c r="F81" s="26"/>
      <c r="G81" s="25" t="s">
        <v>45</v>
      </c>
      <c r="H81" s="19" t="s">
        <v>60</v>
      </c>
      <c r="I81" s="25"/>
      <c r="J81" s="21" t="n">
        <v>3</v>
      </c>
      <c r="K81" s="21"/>
      <c r="L81" s="27" t="n">
        <v>0.1</v>
      </c>
      <c r="M81" s="44"/>
      <c r="N81" s="44"/>
      <c r="O81" s="32" t="n">
        <f aca="false">-'ENA_10-Expired'!I22</f>
        <v>-182500</v>
      </c>
      <c r="P81" s="32" t="n">
        <f aca="false">+O81</f>
        <v>-182500</v>
      </c>
      <c r="Q81" s="32" t="n">
        <v>0</v>
      </c>
    </row>
    <row r="82" customFormat="false" ht="11.25" hidden="false" customHeight="false" outlineLevel="0" collapsed="false">
      <c r="A82" s="25"/>
      <c r="B82" s="90"/>
      <c r="C82" s="90"/>
      <c r="D82" s="25"/>
      <c r="E82" s="90"/>
      <c r="F82" s="38"/>
      <c r="G82" s="90"/>
      <c r="H82" s="38"/>
      <c r="I82" s="63"/>
      <c r="J82" s="26"/>
      <c r="K82" s="38"/>
      <c r="L82" s="38"/>
      <c r="M82" s="91"/>
      <c r="N82" s="91"/>
      <c r="O82" s="24"/>
      <c r="P82" s="43"/>
      <c r="Q82" s="24"/>
    </row>
    <row r="83" customFormat="false" ht="11.25" hidden="false" customHeight="false" outlineLevel="0" collapsed="false">
      <c r="A83" s="25" t="n">
        <v>18</v>
      </c>
      <c r="B83" s="25" t="s">
        <v>52</v>
      </c>
      <c r="C83" s="25" t="s">
        <v>77</v>
      </c>
      <c r="D83" s="25" t="n">
        <v>1009351</v>
      </c>
      <c r="E83" s="25" t="s">
        <v>49</v>
      </c>
      <c r="F83" s="26"/>
      <c r="G83" s="26"/>
      <c r="H83" s="54" t="n">
        <v>36857</v>
      </c>
      <c r="I83" s="54" t="n">
        <v>36797</v>
      </c>
      <c r="J83" s="47" t="n">
        <v>0.07</v>
      </c>
      <c r="K83" s="26"/>
      <c r="L83" s="27"/>
      <c r="M83" s="44" t="n">
        <v>155000</v>
      </c>
      <c r="N83" s="53"/>
      <c r="O83" s="32" t="n">
        <f aca="false">+M83*J83</f>
        <v>10850</v>
      </c>
      <c r="P83" s="32" t="n">
        <f aca="false">+O83</f>
        <v>10850</v>
      </c>
      <c r="Q83" s="32" t="n">
        <v>0</v>
      </c>
    </row>
    <row r="84" customFormat="false" ht="11.25" hidden="false" customHeight="false" outlineLevel="0" collapsed="false">
      <c r="A84" s="25"/>
      <c r="B84" s="25"/>
      <c r="C84" s="26"/>
      <c r="D84" s="25"/>
      <c r="E84" s="26"/>
      <c r="F84" s="26"/>
      <c r="G84" s="26"/>
      <c r="H84" s="25"/>
      <c r="I84" s="25"/>
      <c r="J84" s="26"/>
      <c r="K84" s="26"/>
      <c r="L84" s="27"/>
      <c r="M84" s="35"/>
      <c r="N84" s="53"/>
      <c r="O84" s="42"/>
      <c r="P84" s="42"/>
      <c r="Q84" s="42"/>
    </row>
    <row r="85" customFormat="false" ht="11.25" hidden="false" customHeight="false" outlineLevel="0" collapsed="false">
      <c r="A85" s="25" t="n">
        <v>19</v>
      </c>
      <c r="B85" s="25" t="s">
        <v>52</v>
      </c>
      <c r="C85" s="25" t="s">
        <v>59</v>
      </c>
      <c r="D85" s="25" t="s">
        <v>78</v>
      </c>
      <c r="E85" s="25" t="s">
        <v>49</v>
      </c>
      <c r="F85" s="26"/>
      <c r="G85" s="26"/>
      <c r="H85" s="54" t="n">
        <v>36857</v>
      </c>
      <c r="I85" s="54" t="n">
        <v>36790</v>
      </c>
      <c r="J85" s="47" t="n">
        <v>0.05</v>
      </c>
      <c r="K85" s="26"/>
      <c r="L85" s="27"/>
      <c r="M85" s="44" t="n">
        <v>-155000</v>
      </c>
      <c r="N85" s="53"/>
      <c r="O85" s="32" t="n">
        <f aca="false">+M85*J85</f>
        <v>-7750</v>
      </c>
      <c r="P85" s="32" t="n">
        <f aca="false">+O85</f>
        <v>-7750</v>
      </c>
      <c r="Q85" s="32" t="n">
        <v>0</v>
      </c>
    </row>
    <row r="86" customFormat="false" ht="11.25" hidden="false" customHeight="false" outlineLevel="0" collapsed="false">
      <c r="A86" s="25"/>
      <c r="B86" s="25"/>
      <c r="C86" s="25"/>
      <c r="D86" s="25"/>
      <c r="E86" s="25"/>
      <c r="F86" s="26"/>
      <c r="G86" s="26"/>
      <c r="H86" s="54"/>
      <c r="I86" s="54"/>
      <c r="J86" s="47"/>
      <c r="K86" s="26"/>
      <c r="L86" s="27"/>
      <c r="M86" s="44"/>
      <c r="N86" s="53"/>
      <c r="O86" s="32"/>
      <c r="P86" s="43"/>
      <c r="Q86" s="24"/>
    </row>
    <row r="87" customFormat="false" ht="11.25" hidden="false" customHeight="false" outlineLevel="0" collapsed="false">
      <c r="A87" s="25" t="n">
        <v>20</v>
      </c>
      <c r="B87" s="25" t="s">
        <v>52</v>
      </c>
      <c r="C87" s="25" t="s">
        <v>59</v>
      </c>
      <c r="D87" s="25" t="s">
        <v>79</v>
      </c>
      <c r="E87" s="25" t="s">
        <v>49</v>
      </c>
      <c r="F87" s="26"/>
      <c r="G87" s="26"/>
      <c r="H87" s="54" t="n">
        <v>36857</v>
      </c>
      <c r="I87" s="54" t="n">
        <v>36815</v>
      </c>
      <c r="J87" s="92" t="n">
        <v>0.775</v>
      </c>
      <c r="K87" s="26"/>
      <c r="L87" s="27"/>
      <c r="M87" s="44" t="n">
        <v>-500000</v>
      </c>
      <c r="N87" s="53"/>
      <c r="O87" s="32" t="n">
        <v>-17500</v>
      </c>
      <c r="P87" s="24" t="n">
        <v>-17500</v>
      </c>
      <c r="Q87" s="24" t="n">
        <v>0</v>
      </c>
    </row>
    <row r="88" customFormat="false" ht="11.25" hidden="false" customHeight="false" outlineLevel="0" collapsed="false">
      <c r="A88" s="25"/>
      <c r="B88" s="90"/>
      <c r="C88" s="90"/>
      <c r="D88" s="25"/>
      <c r="E88" s="90"/>
      <c r="F88" s="90"/>
      <c r="G88" s="38"/>
      <c r="I88" s="26"/>
      <c r="J88" s="25"/>
      <c r="K88" s="38"/>
      <c r="L88" s="38"/>
      <c r="M88" s="31"/>
      <c r="N88" s="30"/>
      <c r="O88" s="47"/>
      <c r="P88" s="89"/>
      <c r="Q88" s="89"/>
    </row>
    <row r="89" customFormat="false" ht="11.25" hidden="false" customHeight="false" outlineLevel="0" collapsed="false">
      <c r="A89" s="25"/>
      <c r="B89" s="25" t="s">
        <v>52</v>
      </c>
      <c r="C89" s="25" t="s">
        <v>59</v>
      </c>
      <c r="D89" s="25" t="s">
        <v>80</v>
      </c>
      <c r="E89" s="25" t="s">
        <v>49</v>
      </c>
      <c r="F89" s="26"/>
      <c r="G89" s="25" t="s">
        <v>59</v>
      </c>
      <c r="H89" s="25" t="s">
        <v>81</v>
      </c>
      <c r="I89" s="54" t="n">
        <v>36846</v>
      </c>
      <c r="J89" s="92" t="n">
        <v>5.885</v>
      </c>
      <c r="K89" s="26"/>
      <c r="L89" s="27"/>
      <c r="M89" s="44" t="n">
        <f aca="false">-'ENA #QA4309.1-Expired'!F24</f>
        <v>124995</v>
      </c>
      <c r="N89" s="93" t="n">
        <f aca="false">+M89/13</f>
        <v>9615</v>
      </c>
      <c r="O89" s="32" t="n">
        <f aca="false">-'ENA #QA4309.1-Expired'!I24</f>
        <v>679011.3</v>
      </c>
      <c r="P89" s="32" t="n">
        <f aca="false">-'ENA #QA4309.1-Expired'!J24</f>
        <v>679011.3</v>
      </c>
      <c r="Q89" s="32" t="n">
        <f aca="false">-'ENA #QA4309.1-Expired'!K24</f>
        <v>-0</v>
      </c>
    </row>
    <row r="90" customFormat="false" ht="11.25" hidden="false" customHeight="false" outlineLevel="0" collapsed="false">
      <c r="A90" s="25"/>
      <c r="B90" s="25" t="s">
        <v>59</v>
      </c>
      <c r="C90" s="25" t="s">
        <v>52</v>
      </c>
      <c r="D90" s="25" t="s">
        <v>80</v>
      </c>
      <c r="E90" s="25" t="s">
        <v>49</v>
      </c>
      <c r="F90" s="26"/>
      <c r="G90" s="25" t="s">
        <v>52</v>
      </c>
      <c r="H90" s="25" t="s">
        <v>81</v>
      </c>
      <c r="I90" s="54" t="n">
        <v>36846</v>
      </c>
      <c r="J90" s="26"/>
      <c r="K90" s="21" t="n">
        <f aca="false">SUM('ENA #QA4309.1-Expired'!G27:G39)/13</f>
        <v>6.08115384615385</v>
      </c>
      <c r="L90" s="27"/>
      <c r="M90" s="45" t="n">
        <f aca="false">-'ENA #QA4309.1-Expired'!F40</f>
        <v>-124995</v>
      </c>
      <c r="N90" s="94" t="n">
        <f aca="false">+M90/13</f>
        <v>-9615</v>
      </c>
      <c r="O90" s="40" t="n">
        <f aca="false">-'ENA #QA4309.1-Expired'!I40</f>
        <v>-702856.5</v>
      </c>
      <c r="P90" s="40" t="n">
        <f aca="false">-'ENA #QA4309.1-Expired'!J40</f>
        <v>-702856.5</v>
      </c>
      <c r="Q90" s="40" t="n">
        <f aca="false">-'ENA #QA4309.1-Expired'!K40</f>
        <v>-0</v>
      </c>
    </row>
    <row r="91" customFormat="false" ht="11.25" hidden="false" customHeight="false" outlineLevel="0" collapsed="false">
      <c r="A91" s="25"/>
      <c r="B91" s="25"/>
      <c r="C91" s="26"/>
      <c r="D91" s="25"/>
      <c r="E91" s="26"/>
      <c r="F91" s="26"/>
      <c r="G91" s="26"/>
      <c r="H91" s="25"/>
      <c r="I91" s="25"/>
      <c r="J91" s="26"/>
      <c r="K91" s="26"/>
      <c r="L91" s="27"/>
      <c r="M91" s="44" t="n">
        <f aca="false">+M89+M90</f>
        <v>0</v>
      </c>
      <c r="N91" s="53" t="n">
        <f aca="false">+N89+N90</f>
        <v>0</v>
      </c>
      <c r="O91" s="32" t="n">
        <f aca="false">+O89+O90</f>
        <v>-23845.2</v>
      </c>
      <c r="P91" s="32" t="n">
        <f aca="false">+P89+P90</f>
        <v>-23845.2</v>
      </c>
      <c r="Q91" s="42" t="n">
        <f aca="false">+Q89+Q90</f>
        <v>-0</v>
      </c>
    </row>
    <row r="92" customFormat="false" ht="11.25" hidden="false" customHeight="false" outlineLevel="0" collapsed="false">
      <c r="A92" s="25"/>
      <c r="B92" s="25"/>
      <c r="C92" s="26"/>
      <c r="D92" s="25"/>
      <c r="E92" s="26"/>
      <c r="F92" s="26"/>
      <c r="G92" s="26"/>
      <c r="H92" s="25"/>
      <c r="I92" s="25"/>
      <c r="J92" s="26"/>
      <c r="K92" s="26"/>
      <c r="L92" s="27"/>
      <c r="M92" s="44"/>
      <c r="N92" s="53"/>
      <c r="O92" s="42"/>
      <c r="P92" s="42"/>
      <c r="Q92" s="42"/>
    </row>
    <row r="93" customFormat="false" ht="11.25" hidden="false" customHeight="false" outlineLevel="0" collapsed="false">
      <c r="A93" s="25"/>
      <c r="B93" s="25" t="s">
        <v>59</v>
      </c>
      <c r="C93" s="25" t="s">
        <v>52</v>
      </c>
      <c r="D93" s="25" t="s">
        <v>82</v>
      </c>
      <c r="E93" s="25" t="s">
        <v>49</v>
      </c>
      <c r="F93" s="26"/>
      <c r="G93" s="25" t="s">
        <v>52</v>
      </c>
      <c r="H93" s="25" t="s">
        <v>81</v>
      </c>
      <c r="I93" s="54" t="n">
        <v>36846</v>
      </c>
      <c r="J93" s="92" t="n">
        <v>5.855</v>
      </c>
      <c r="K93" s="26"/>
      <c r="L93" s="27"/>
      <c r="M93" s="44" t="n">
        <f aca="false">-'ENA #QA5217.1-Expired'!F24</f>
        <v>-124995</v>
      </c>
      <c r="N93" s="93" t="n">
        <f aca="false">+M93/13</f>
        <v>-9615</v>
      </c>
      <c r="O93" s="32" t="n">
        <f aca="false">-'ENA #QA5217.1-Expired'!I24</f>
        <v>-731845.725</v>
      </c>
      <c r="P93" s="32" t="n">
        <f aca="false">-'ENA #QA5217.1-Expired'!J24</f>
        <v>-731845.725</v>
      </c>
      <c r="Q93" s="32" t="n">
        <f aca="false">-'ENA #QA5217.1-Expired'!K24</f>
        <v>-0</v>
      </c>
    </row>
    <row r="94" customFormat="false" ht="11.25" hidden="false" customHeight="false" outlineLevel="0" collapsed="false">
      <c r="A94" s="25"/>
      <c r="B94" s="25" t="s">
        <v>52</v>
      </c>
      <c r="C94" s="25" t="s">
        <v>59</v>
      </c>
      <c r="D94" s="25" t="s">
        <v>82</v>
      </c>
      <c r="E94" s="25" t="s">
        <v>49</v>
      </c>
      <c r="F94" s="26"/>
      <c r="G94" s="25" t="s">
        <v>59</v>
      </c>
      <c r="H94" s="25" t="s">
        <v>81</v>
      </c>
      <c r="I94" s="54" t="n">
        <v>36846</v>
      </c>
      <c r="J94" s="26"/>
      <c r="K94" s="21" t="n">
        <f aca="false">SUM('ENA #QA5217.1-Expired'!G27:G39)/13</f>
        <v>6.09038461538462</v>
      </c>
      <c r="L94" s="27"/>
      <c r="M94" s="45" t="n">
        <f aca="false">-'ENA #QA5217.1-Expired'!F40</f>
        <v>124995</v>
      </c>
      <c r="N94" s="94" t="n">
        <f aca="false">+M94/13</f>
        <v>9615</v>
      </c>
      <c r="O94" s="40" t="n">
        <f aca="false">-'ENA #QA5217.1-Expired'!I40</f>
        <v>761267.625</v>
      </c>
      <c r="P94" s="40" t="n">
        <f aca="false">-'ENA #QA5217.1-Expired'!J40</f>
        <v>761267.625</v>
      </c>
      <c r="Q94" s="40" t="n">
        <f aca="false">-'ENA #QA5217.1-Expired'!K40</f>
        <v>-0</v>
      </c>
    </row>
    <row r="95" customFormat="false" ht="11.25" hidden="false" customHeight="false" outlineLevel="0" collapsed="false">
      <c r="A95" s="25"/>
      <c r="B95" s="25"/>
      <c r="C95" s="26"/>
      <c r="D95" s="25"/>
      <c r="E95" s="26"/>
      <c r="F95" s="26"/>
      <c r="G95" s="26"/>
      <c r="H95" s="25"/>
      <c r="I95" s="25"/>
      <c r="J95" s="26"/>
      <c r="K95" s="26"/>
      <c r="L95" s="27"/>
      <c r="M95" s="44" t="n">
        <f aca="false">+M93+M94</f>
        <v>0</v>
      </c>
      <c r="N95" s="53" t="n">
        <f aca="false">+N93+N94</f>
        <v>0</v>
      </c>
      <c r="O95" s="32" t="n">
        <f aca="false">+O93+O94</f>
        <v>29421.9</v>
      </c>
      <c r="P95" s="32" t="n">
        <f aca="false">+P93+P94</f>
        <v>29421.9</v>
      </c>
      <c r="Q95" s="42" t="n">
        <f aca="false">+Q93+Q94</f>
        <v>-0</v>
      </c>
    </row>
    <row r="96" customFormat="false" ht="11.25" hidden="false" customHeight="false" outlineLevel="0" collapsed="false">
      <c r="A96" s="25"/>
      <c r="B96" s="90"/>
      <c r="C96" s="90"/>
      <c r="D96" s="25"/>
      <c r="E96" s="38"/>
      <c r="F96" s="38"/>
      <c r="G96" s="38"/>
      <c r="H96" s="38"/>
      <c r="I96" s="62"/>
      <c r="J96" s="26"/>
      <c r="K96" s="38"/>
      <c r="L96" s="95"/>
      <c r="M96" s="96"/>
      <c r="N96" s="53"/>
      <c r="O96" s="42"/>
      <c r="P96" s="42"/>
      <c r="Q96" s="97"/>
    </row>
    <row r="97" customFormat="false" ht="12" hidden="false" customHeight="false" outlineLevel="0" collapsed="false">
      <c r="A97" s="25"/>
      <c r="B97" s="90"/>
      <c r="C97" s="90"/>
      <c r="D97" s="25"/>
      <c r="E97" s="90"/>
      <c r="F97" s="38"/>
      <c r="G97" s="90"/>
      <c r="H97" s="38"/>
      <c r="I97" s="63"/>
      <c r="J97" s="26"/>
      <c r="K97" s="38"/>
      <c r="L97" s="38"/>
      <c r="M97" s="56" t="n">
        <f aca="false">+M95+M91+M87+M85+M83+M79+M77</f>
        <v>61901635.28848</v>
      </c>
      <c r="N97" s="91"/>
      <c r="O97" s="98" t="n">
        <f aca="false">+O95+O91+O87+O85+O83+O81+O79+O77</f>
        <v>16039629.4160402</v>
      </c>
      <c r="P97" s="98" t="n">
        <f aca="false">+P95+P91+P87+P85+P83+P81+P79+P77</f>
        <v>-126556.206383501</v>
      </c>
      <c r="Q97" s="98" t="n">
        <f aca="false">+Q95+Q91+Q87+Q85+Q83+Q81+Q79+Q77</f>
        <v>16166185.6224237</v>
      </c>
    </row>
    <row r="98" customFormat="false" ht="12" hidden="false" customHeight="false" outlineLevel="0" collapsed="false">
      <c r="A98" s="58"/>
      <c r="B98" s="99"/>
      <c r="C98" s="99"/>
      <c r="D98" s="58"/>
      <c r="E98" s="99"/>
      <c r="F98" s="60"/>
      <c r="G98" s="99"/>
      <c r="H98" s="60"/>
      <c r="I98" s="7"/>
      <c r="J98" s="59"/>
      <c r="K98" s="60"/>
      <c r="L98" s="60"/>
      <c r="M98" s="100"/>
      <c r="N98" s="100"/>
      <c r="O98" s="101"/>
      <c r="P98" s="101"/>
      <c r="Q98" s="101"/>
    </row>
    <row r="99" customFormat="false" ht="11.25" hidden="false" customHeight="false" outlineLevel="0" collapsed="false">
      <c r="A99" s="63"/>
      <c r="B99" s="63"/>
      <c r="C99" s="63"/>
      <c r="D99" s="62"/>
      <c r="E99" s="63"/>
      <c r="F99" s="63"/>
      <c r="G99" s="63"/>
      <c r="H99" s="63"/>
      <c r="I99" s="63"/>
      <c r="J99" s="63"/>
      <c r="K99" s="63"/>
      <c r="L99" s="63"/>
      <c r="M99" s="102"/>
      <c r="N99" s="102"/>
      <c r="O99" s="103"/>
      <c r="P99" s="103"/>
      <c r="Q99" s="103"/>
    </row>
    <row r="100" customFormat="false" ht="12" hidden="false" customHeight="true" outlineLevel="0" collapsed="false">
      <c r="M100" s="104"/>
    </row>
    <row r="101" customFormat="false" ht="11.25" hidden="false" customHeight="false" outlineLevel="0" collapsed="false">
      <c r="A101" s="105" t="s">
        <v>83</v>
      </c>
      <c r="Q101" s="106"/>
    </row>
    <row r="102" customFormat="false" ht="11.25" hidden="false" customHeight="false" outlineLevel="0" collapsed="false">
      <c r="A102" s="105" t="s">
        <v>84</v>
      </c>
      <c r="B102" s="105"/>
      <c r="C102" s="105"/>
    </row>
    <row r="103" customFormat="false" ht="11.25" hidden="false" customHeight="false" outlineLevel="0" collapsed="false">
      <c r="A103" s="105" t="s">
        <v>85</v>
      </c>
      <c r="B103" s="105"/>
      <c r="C103" s="105"/>
    </row>
  </sheetData>
  <mergeCells count="9">
    <mergeCell ref="A1:Q1"/>
    <mergeCell ref="A2:Q2"/>
    <mergeCell ref="A3:Q3"/>
    <mergeCell ref="A5:Q5"/>
    <mergeCell ref="A7:Q7"/>
    <mergeCell ref="O10:Q10"/>
    <mergeCell ref="A67:Q67"/>
    <mergeCell ref="A68:Q68"/>
    <mergeCell ref="O71:Q71"/>
  </mergeCells>
  <printOptions headings="false" gridLines="false" gridLinesSet="true" horizontalCentered="true" verticalCentered="true"/>
  <pageMargins left="0.25" right="0.25" top="0.179861111111111" bottom="0.35" header="0.511811023622047" footer="0.220138888888889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&amp;L&amp;"Arial,Italic"&amp;8&amp;D&amp;T&amp;R&amp;"Arial,Italic"&amp;8G:/Common/TW Fuel Hedge/Fixed2_Summary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1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0.71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4.28"/>
    <col collapsed="false" customWidth="true" hidden="false" outlineLevel="0" max="8" min="8" style="0" width="10.71"/>
    <col collapsed="false" customWidth="true" hidden="false" outlineLevel="0" max="9" min="9" style="0" width="14.99"/>
    <col collapsed="false" customWidth="true" hidden="false" outlineLevel="0" max="10" min="10" style="0" width="13.41"/>
    <col collapsed="false" customWidth="true" hidden="false" outlineLevel="0" max="11" min="11" style="0" width="14.99"/>
  </cols>
  <sheetData>
    <row r="1" customFormat="false" ht="15" hidden="false" customHeight="false" outlineLevel="0" collapsed="false">
      <c r="A1" s="107" t="s">
        <v>100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customFormat="false" ht="15" hidden="false" customHeight="false" outlineLevel="0" collapsed="false">
      <c r="A2" s="107" t="s">
        <v>87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customFormat="false" ht="15.75" hidden="false" customHeight="false" outlineLevel="0" collapsed="false">
      <c r="A3" s="107" t="s">
        <v>116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4" customFormat="false" ht="15.75" hidden="false" customHeight="false" outlineLevel="0" collapsed="false">
      <c r="A4" s="144" t="s">
        <v>123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</row>
    <row r="5" customFormat="false" ht="12.75" hidden="false" customHeight="false" outlineLevel="0" collapsed="false">
      <c r="A5" s="168"/>
      <c r="B5" s="168"/>
      <c r="C5" s="168"/>
    </row>
    <row r="6" customFormat="false" ht="12.75" hidden="false" customHeight="false" outlineLevel="0" collapsed="false">
      <c r="A6" s="113" t="s">
        <v>89</v>
      </c>
      <c r="B6" s="114" t="s">
        <v>8</v>
      </c>
      <c r="C6" s="114" t="s">
        <v>8</v>
      </c>
      <c r="D6" s="111" t="s">
        <v>52</v>
      </c>
      <c r="E6" s="111"/>
      <c r="F6" s="111" t="s">
        <v>118</v>
      </c>
      <c r="G6" s="111" t="s">
        <v>59</v>
      </c>
      <c r="H6" s="111"/>
      <c r="I6" s="169" t="s">
        <v>93</v>
      </c>
      <c r="J6" s="169"/>
      <c r="K6" s="169"/>
    </row>
    <row r="7" customFormat="false" ht="12.75" hidden="false" customHeight="false" outlineLevel="0" collapsed="false">
      <c r="A7" s="113" t="s">
        <v>22</v>
      </c>
      <c r="B7" s="114" t="s">
        <v>18</v>
      </c>
      <c r="C7" s="114" t="s">
        <v>17</v>
      </c>
      <c r="D7" s="114" t="s">
        <v>90</v>
      </c>
      <c r="E7" s="114"/>
      <c r="F7" s="114" t="s">
        <v>119</v>
      </c>
      <c r="G7" s="114" t="s">
        <v>120</v>
      </c>
      <c r="H7" s="114"/>
      <c r="I7" s="120" t="s">
        <v>93</v>
      </c>
      <c r="J7" s="120"/>
      <c r="K7" s="120"/>
    </row>
    <row r="8" customFormat="false" ht="12.75" hidden="false" customHeight="false" outlineLevel="0" collapsed="false">
      <c r="A8" s="170"/>
      <c r="B8" s="170"/>
      <c r="C8" s="170"/>
      <c r="D8" s="114" t="s">
        <v>23</v>
      </c>
      <c r="E8" s="114"/>
      <c r="F8" s="114"/>
      <c r="G8" s="114" t="s">
        <v>23</v>
      </c>
      <c r="H8" s="114"/>
      <c r="I8" s="114" t="s">
        <v>30</v>
      </c>
      <c r="J8" s="114" t="s">
        <v>31</v>
      </c>
      <c r="K8" s="115" t="s">
        <v>32</v>
      </c>
    </row>
    <row r="9" customFormat="false" ht="12.75" hidden="false" customHeight="false" outlineLevel="0" collapsed="false">
      <c r="A9" s="113"/>
      <c r="B9" s="114"/>
      <c r="C9" s="114"/>
      <c r="D9" s="114"/>
      <c r="E9" s="114"/>
      <c r="F9" s="114"/>
      <c r="G9" s="114" t="s">
        <v>124</v>
      </c>
      <c r="H9" s="114"/>
      <c r="I9" s="114"/>
      <c r="J9" s="114"/>
      <c r="K9" s="115"/>
    </row>
    <row r="10" customFormat="false" ht="12.75" hidden="false" customHeight="false" outlineLevel="0" collapsed="false">
      <c r="A10" s="116"/>
      <c r="B10" s="117"/>
      <c r="C10" s="117"/>
      <c r="D10" s="171"/>
      <c r="E10" s="117"/>
      <c r="F10" s="117"/>
      <c r="G10" s="118" t="s">
        <v>125</v>
      </c>
      <c r="H10" s="119" t="s">
        <v>14</v>
      </c>
      <c r="I10" s="119" t="s">
        <v>96</v>
      </c>
      <c r="J10" s="119" t="s">
        <v>96</v>
      </c>
      <c r="K10" s="120" t="s">
        <v>96</v>
      </c>
    </row>
    <row r="11" customFormat="false" ht="12.75" hidden="false" customHeight="false" outlineLevel="0" collapsed="false">
      <c r="A11" s="172" t="n">
        <v>36848</v>
      </c>
      <c r="B11" s="122"/>
      <c r="C11" s="123" t="s">
        <v>59</v>
      </c>
      <c r="D11" s="124" t="n">
        <v>5.855</v>
      </c>
      <c r="E11" s="122"/>
      <c r="F11" s="125" t="n">
        <v>9615</v>
      </c>
      <c r="G11" s="124"/>
      <c r="H11" s="124"/>
      <c r="I11" s="126" t="n">
        <f aca="false">+D11*F11</f>
        <v>56295.825</v>
      </c>
      <c r="J11" s="127" t="n">
        <f aca="false">+I11</f>
        <v>56295.825</v>
      </c>
      <c r="K11" s="127"/>
    </row>
    <row r="12" customFormat="false" ht="12.75" hidden="false" customHeight="false" outlineLevel="0" collapsed="false">
      <c r="A12" s="172" t="n">
        <f aca="false">+A11+1</f>
        <v>36849</v>
      </c>
      <c r="B12" s="122"/>
      <c r="C12" s="123" t="s">
        <v>59</v>
      </c>
      <c r="D12" s="124" t="n">
        <v>5.855</v>
      </c>
      <c r="E12" s="122"/>
      <c r="F12" s="125" t="n">
        <v>9615</v>
      </c>
      <c r="G12" s="124"/>
      <c r="H12" s="124"/>
      <c r="I12" s="126" t="n">
        <f aca="false">+D12*F12</f>
        <v>56295.825</v>
      </c>
      <c r="J12" s="127" t="n">
        <f aca="false">+I12</f>
        <v>56295.825</v>
      </c>
      <c r="K12" s="127"/>
    </row>
    <row r="13" customFormat="false" ht="12.75" hidden="false" customHeight="false" outlineLevel="0" collapsed="false">
      <c r="A13" s="172" t="n">
        <f aca="false">+A12+1</f>
        <v>36850</v>
      </c>
      <c r="B13" s="122"/>
      <c r="C13" s="123" t="s">
        <v>59</v>
      </c>
      <c r="D13" s="124" t="n">
        <v>5.855</v>
      </c>
      <c r="E13" s="122"/>
      <c r="F13" s="125" t="n">
        <v>9615</v>
      </c>
      <c r="G13" s="124"/>
      <c r="H13" s="124"/>
      <c r="I13" s="126" t="n">
        <f aca="false">+D13*F13</f>
        <v>56295.825</v>
      </c>
      <c r="J13" s="127" t="n">
        <f aca="false">+I13</f>
        <v>56295.825</v>
      </c>
      <c r="K13" s="127"/>
    </row>
    <row r="14" customFormat="false" ht="12.75" hidden="false" customHeight="false" outlineLevel="0" collapsed="false">
      <c r="A14" s="172" t="n">
        <f aca="false">+A13+1</f>
        <v>36851</v>
      </c>
      <c r="B14" s="122"/>
      <c r="C14" s="123" t="s">
        <v>59</v>
      </c>
      <c r="D14" s="124" t="n">
        <v>5.855</v>
      </c>
      <c r="E14" s="122"/>
      <c r="F14" s="125" t="n">
        <v>9615</v>
      </c>
      <c r="G14" s="124"/>
      <c r="H14" s="124"/>
      <c r="I14" s="126" t="n">
        <f aca="false">+D14*F14</f>
        <v>56295.825</v>
      </c>
      <c r="J14" s="127" t="n">
        <f aca="false">+I14</f>
        <v>56295.825</v>
      </c>
      <c r="K14" s="127"/>
    </row>
    <row r="15" customFormat="false" ht="12.75" hidden="false" customHeight="false" outlineLevel="0" collapsed="false">
      <c r="A15" s="172" t="n">
        <f aca="false">+A14+1</f>
        <v>36852</v>
      </c>
      <c r="B15" s="122"/>
      <c r="C15" s="123" t="s">
        <v>59</v>
      </c>
      <c r="D15" s="124" t="n">
        <v>5.855</v>
      </c>
      <c r="E15" s="122"/>
      <c r="F15" s="125" t="n">
        <v>9615</v>
      </c>
      <c r="G15" s="124"/>
      <c r="H15" s="124"/>
      <c r="I15" s="126" t="n">
        <f aca="false">+D15*F15</f>
        <v>56295.825</v>
      </c>
      <c r="J15" s="127" t="n">
        <f aca="false">+I15</f>
        <v>56295.825</v>
      </c>
      <c r="K15" s="127"/>
    </row>
    <row r="16" customFormat="false" ht="12.75" hidden="false" customHeight="false" outlineLevel="0" collapsed="false">
      <c r="A16" s="172" t="n">
        <f aca="false">+A15+1</f>
        <v>36853</v>
      </c>
      <c r="B16" s="122"/>
      <c r="C16" s="123" t="s">
        <v>59</v>
      </c>
      <c r="D16" s="124" t="n">
        <v>5.855</v>
      </c>
      <c r="E16" s="122"/>
      <c r="F16" s="125" t="n">
        <v>9615</v>
      </c>
      <c r="G16" s="124"/>
      <c r="H16" s="124"/>
      <c r="I16" s="126" t="n">
        <f aca="false">+D16*F16</f>
        <v>56295.825</v>
      </c>
      <c r="J16" s="127" t="n">
        <f aca="false">+I16</f>
        <v>56295.825</v>
      </c>
      <c r="K16" s="127"/>
    </row>
    <row r="17" customFormat="false" ht="12.75" hidden="false" customHeight="false" outlineLevel="0" collapsed="false">
      <c r="A17" s="172" t="n">
        <f aca="false">+A16+1</f>
        <v>36854</v>
      </c>
      <c r="B17" s="122"/>
      <c r="C17" s="123" t="s">
        <v>59</v>
      </c>
      <c r="D17" s="124" t="n">
        <v>5.855</v>
      </c>
      <c r="E17" s="122"/>
      <c r="F17" s="125" t="n">
        <v>9615</v>
      </c>
      <c r="G17" s="124"/>
      <c r="H17" s="124"/>
      <c r="I17" s="126" t="n">
        <f aca="false">+D17*F17</f>
        <v>56295.825</v>
      </c>
      <c r="J17" s="127" t="n">
        <f aca="false">+I17</f>
        <v>56295.825</v>
      </c>
      <c r="K17" s="127"/>
    </row>
    <row r="18" customFormat="false" ht="12.75" hidden="false" customHeight="false" outlineLevel="0" collapsed="false">
      <c r="A18" s="172" t="n">
        <f aca="false">+A17+1</f>
        <v>36855</v>
      </c>
      <c r="B18" s="122"/>
      <c r="C18" s="123" t="s">
        <v>59</v>
      </c>
      <c r="D18" s="124" t="n">
        <v>5.855</v>
      </c>
      <c r="E18" s="122"/>
      <c r="F18" s="125" t="n">
        <v>9615</v>
      </c>
      <c r="G18" s="124"/>
      <c r="H18" s="124"/>
      <c r="I18" s="126" t="n">
        <f aca="false">+D18*F18</f>
        <v>56295.825</v>
      </c>
      <c r="J18" s="127" t="n">
        <f aca="false">+I18</f>
        <v>56295.825</v>
      </c>
      <c r="K18" s="127"/>
    </row>
    <row r="19" customFormat="false" ht="12.75" hidden="false" customHeight="false" outlineLevel="0" collapsed="false">
      <c r="A19" s="172" t="n">
        <f aca="false">+A18+1</f>
        <v>36856</v>
      </c>
      <c r="B19" s="122"/>
      <c r="C19" s="123" t="s">
        <v>59</v>
      </c>
      <c r="D19" s="124" t="n">
        <v>5.855</v>
      </c>
      <c r="E19" s="122"/>
      <c r="F19" s="125" t="n">
        <v>9615</v>
      </c>
      <c r="G19" s="124"/>
      <c r="H19" s="124"/>
      <c r="I19" s="126" t="n">
        <f aca="false">+D19*F19</f>
        <v>56295.825</v>
      </c>
      <c r="J19" s="127" t="n">
        <f aca="false">+I19</f>
        <v>56295.825</v>
      </c>
      <c r="K19" s="127"/>
    </row>
    <row r="20" customFormat="false" ht="12.75" hidden="false" customHeight="false" outlineLevel="0" collapsed="false">
      <c r="A20" s="172" t="n">
        <f aca="false">+A19+1</f>
        <v>36857</v>
      </c>
      <c r="B20" s="122"/>
      <c r="C20" s="123" t="s">
        <v>59</v>
      </c>
      <c r="D20" s="124" t="n">
        <v>5.855</v>
      </c>
      <c r="E20" s="122"/>
      <c r="F20" s="125" t="n">
        <v>9615</v>
      </c>
      <c r="G20" s="124"/>
      <c r="H20" s="124"/>
      <c r="I20" s="126" t="n">
        <f aca="false">+D20*F20</f>
        <v>56295.825</v>
      </c>
      <c r="J20" s="127" t="n">
        <f aca="false">+I20</f>
        <v>56295.825</v>
      </c>
      <c r="K20" s="127"/>
    </row>
    <row r="21" customFormat="false" ht="12.75" hidden="false" customHeight="false" outlineLevel="0" collapsed="false">
      <c r="A21" s="172" t="n">
        <f aca="false">+A20+1</f>
        <v>36858</v>
      </c>
      <c r="B21" s="122"/>
      <c r="C21" s="123" t="s">
        <v>59</v>
      </c>
      <c r="D21" s="124" t="n">
        <v>5.855</v>
      </c>
      <c r="E21" s="122"/>
      <c r="F21" s="125" t="n">
        <v>9615</v>
      </c>
      <c r="G21" s="124"/>
      <c r="H21" s="124"/>
      <c r="I21" s="126" t="n">
        <f aca="false">+D21*F21</f>
        <v>56295.825</v>
      </c>
      <c r="J21" s="127" t="n">
        <f aca="false">+I21</f>
        <v>56295.825</v>
      </c>
      <c r="K21" s="127"/>
    </row>
    <row r="22" customFormat="false" ht="12.75" hidden="false" customHeight="false" outlineLevel="0" collapsed="false">
      <c r="A22" s="172" t="n">
        <f aca="false">+A21+1</f>
        <v>36859</v>
      </c>
      <c r="B22" s="122"/>
      <c r="C22" s="123" t="s">
        <v>59</v>
      </c>
      <c r="D22" s="124" t="n">
        <v>5.855</v>
      </c>
      <c r="E22" s="122"/>
      <c r="F22" s="125" t="n">
        <v>9615</v>
      </c>
      <c r="G22" s="124"/>
      <c r="H22" s="124"/>
      <c r="I22" s="126" t="n">
        <f aca="false">+D22*F22</f>
        <v>56295.825</v>
      </c>
      <c r="J22" s="127" t="n">
        <f aca="false">+I22</f>
        <v>56295.825</v>
      </c>
      <c r="K22" s="127"/>
    </row>
    <row r="23" customFormat="false" ht="12.75" hidden="false" customHeight="false" outlineLevel="0" collapsed="false">
      <c r="A23" s="172" t="n">
        <f aca="false">+A22+1</f>
        <v>36860</v>
      </c>
      <c r="B23" s="122"/>
      <c r="C23" s="123" t="s">
        <v>59</v>
      </c>
      <c r="D23" s="124" t="n">
        <v>5.855</v>
      </c>
      <c r="E23" s="122"/>
      <c r="F23" s="125" t="n">
        <v>9615</v>
      </c>
      <c r="G23" s="122"/>
      <c r="H23" s="124"/>
      <c r="I23" s="126" t="n">
        <f aca="false">+D23*F23</f>
        <v>56295.825</v>
      </c>
      <c r="J23" s="127" t="n">
        <f aca="false">+I23</f>
        <v>56295.825</v>
      </c>
      <c r="K23" s="127"/>
    </row>
    <row r="24" customFormat="false" ht="12.75" hidden="false" customHeight="false" outlineLevel="0" collapsed="false">
      <c r="A24" s="172"/>
      <c r="B24" s="122"/>
      <c r="C24" s="122"/>
      <c r="D24" s="122"/>
      <c r="E24" s="122"/>
      <c r="F24" s="129" t="n">
        <f aca="false">SUM(F11:F23)</f>
        <v>124995</v>
      </c>
      <c r="G24" s="122"/>
      <c r="H24" s="122"/>
      <c r="I24" s="130" t="n">
        <f aca="false">SUM(I11:I23)</f>
        <v>731845.725</v>
      </c>
      <c r="J24" s="130" t="n">
        <f aca="false">SUM(J11:J23)</f>
        <v>731845.725</v>
      </c>
      <c r="K24" s="130" t="n">
        <f aca="false">SUM(K11:K23)</f>
        <v>0</v>
      </c>
    </row>
    <row r="25" customFormat="false" ht="12.75" hidden="false" customHeight="false" outlineLevel="0" collapsed="false">
      <c r="A25" s="172"/>
      <c r="B25" s="122"/>
      <c r="C25" s="122"/>
      <c r="D25" s="122"/>
      <c r="E25" s="122"/>
      <c r="F25" s="131"/>
      <c r="G25" s="122"/>
      <c r="H25" s="122"/>
      <c r="I25" s="132"/>
      <c r="J25" s="133"/>
      <c r="K25" s="133"/>
    </row>
    <row r="26" customFormat="false" ht="12.75" hidden="false" customHeight="false" outlineLevel="0" collapsed="false">
      <c r="A26" s="172"/>
      <c r="B26" s="122"/>
      <c r="C26" s="122"/>
      <c r="D26" s="122"/>
      <c r="E26" s="122"/>
      <c r="F26" s="181"/>
      <c r="G26" s="174"/>
      <c r="H26" s="122"/>
      <c r="I26" s="133"/>
      <c r="J26" s="133"/>
      <c r="K26" s="133"/>
    </row>
    <row r="27" customFormat="false" ht="12.75" hidden="false" customHeight="false" outlineLevel="0" collapsed="false">
      <c r="A27" s="172" t="n">
        <v>36848</v>
      </c>
      <c r="B27" s="122"/>
      <c r="C27" s="123" t="s">
        <v>52</v>
      </c>
      <c r="D27" s="124"/>
      <c r="E27" s="122"/>
      <c r="F27" s="125" t="n">
        <v>-9615</v>
      </c>
      <c r="G27" s="124" t="n">
        <v>5.635</v>
      </c>
      <c r="H27" s="124"/>
      <c r="I27" s="126" t="n">
        <f aca="false">+G27*F27</f>
        <v>-54180.525</v>
      </c>
      <c r="J27" s="127" t="n">
        <f aca="false">+I27</f>
        <v>-54180.525</v>
      </c>
      <c r="K27" s="127"/>
    </row>
    <row r="28" customFormat="false" ht="12.75" hidden="false" customHeight="false" outlineLevel="0" collapsed="false">
      <c r="A28" s="172" t="n">
        <f aca="false">+A27+1</f>
        <v>36849</v>
      </c>
      <c r="B28" s="122"/>
      <c r="C28" s="123" t="s">
        <v>52</v>
      </c>
      <c r="D28" s="124"/>
      <c r="E28" s="122"/>
      <c r="F28" s="125" t="n">
        <v>-9615</v>
      </c>
      <c r="G28" s="124" t="n">
        <v>5.635</v>
      </c>
      <c r="H28" s="124"/>
      <c r="I28" s="126" t="n">
        <f aca="false">+G28*F28</f>
        <v>-54180.525</v>
      </c>
      <c r="J28" s="127" t="n">
        <f aca="false">+I28</f>
        <v>-54180.525</v>
      </c>
      <c r="K28" s="127"/>
    </row>
    <row r="29" customFormat="false" ht="12.75" hidden="false" customHeight="false" outlineLevel="0" collapsed="false">
      <c r="A29" s="172" t="n">
        <f aca="false">+A28+1</f>
        <v>36850</v>
      </c>
      <c r="B29" s="122"/>
      <c r="C29" s="123" t="s">
        <v>52</v>
      </c>
      <c r="D29" s="124"/>
      <c r="E29" s="122"/>
      <c r="F29" s="125" t="n">
        <v>-9615</v>
      </c>
      <c r="G29" s="124" t="n">
        <v>5.635</v>
      </c>
      <c r="H29" s="124"/>
      <c r="I29" s="126" t="n">
        <f aca="false">+G29*F29</f>
        <v>-54180.525</v>
      </c>
      <c r="J29" s="127" t="n">
        <f aca="false">+I29</f>
        <v>-54180.525</v>
      </c>
      <c r="K29" s="127"/>
    </row>
    <row r="30" customFormat="false" ht="12.75" hidden="false" customHeight="false" outlineLevel="0" collapsed="false">
      <c r="A30" s="172" t="n">
        <f aca="false">+A29+1</f>
        <v>36851</v>
      </c>
      <c r="B30" s="122"/>
      <c r="C30" s="123" t="s">
        <v>52</v>
      </c>
      <c r="D30" s="124"/>
      <c r="E30" s="122"/>
      <c r="F30" s="125" t="n">
        <v>-9615</v>
      </c>
      <c r="G30" s="124" t="n">
        <v>6.235</v>
      </c>
      <c r="H30" s="124"/>
      <c r="I30" s="126" t="n">
        <f aca="false">+G30*F30</f>
        <v>-59949.525</v>
      </c>
      <c r="J30" s="127" t="n">
        <f aca="false">+I30</f>
        <v>-59949.525</v>
      </c>
      <c r="K30" s="127"/>
    </row>
    <row r="31" customFormat="false" ht="12.75" hidden="false" customHeight="false" outlineLevel="0" collapsed="false">
      <c r="A31" s="172" t="n">
        <f aca="false">+A30+1</f>
        <v>36852</v>
      </c>
      <c r="B31" s="122"/>
      <c r="C31" s="123" t="s">
        <v>52</v>
      </c>
      <c r="D31" s="124"/>
      <c r="E31" s="122"/>
      <c r="F31" s="125" t="n">
        <v>-9615</v>
      </c>
      <c r="G31" s="124" t="n">
        <v>6.34</v>
      </c>
      <c r="H31" s="124"/>
      <c r="I31" s="126" t="n">
        <f aca="false">+G31*F31</f>
        <v>-60959.1</v>
      </c>
      <c r="J31" s="127" t="n">
        <f aca="false">+I31</f>
        <v>-60959.1</v>
      </c>
      <c r="K31" s="127"/>
    </row>
    <row r="32" customFormat="false" ht="12.75" hidden="false" customHeight="false" outlineLevel="0" collapsed="false">
      <c r="A32" s="172" t="n">
        <f aca="false">+A31+1</f>
        <v>36853</v>
      </c>
      <c r="B32" s="122"/>
      <c r="C32" s="123" t="s">
        <v>52</v>
      </c>
      <c r="D32" s="124"/>
      <c r="E32" s="122"/>
      <c r="F32" s="125" t="n">
        <v>-9615</v>
      </c>
      <c r="G32" s="124" t="n">
        <v>6.315</v>
      </c>
      <c r="H32" s="124"/>
      <c r="I32" s="126" t="n">
        <f aca="false">+G32*F32</f>
        <v>-60718.725</v>
      </c>
      <c r="J32" s="127" t="n">
        <f aca="false">+I32</f>
        <v>-60718.725</v>
      </c>
      <c r="K32" s="127"/>
    </row>
    <row r="33" customFormat="false" ht="12.75" hidden="false" customHeight="false" outlineLevel="0" collapsed="false">
      <c r="A33" s="172" t="n">
        <f aca="false">+A32+1</f>
        <v>36854</v>
      </c>
      <c r="B33" s="122"/>
      <c r="C33" s="123" t="s">
        <v>52</v>
      </c>
      <c r="D33" s="124"/>
      <c r="E33" s="122"/>
      <c r="F33" s="125" t="n">
        <v>-9615</v>
      </c>
      <c r="G33" s="124" t="n">
        <v>6.315</v>
      </c>
      <c r="H33" s="124"/>
      <c r="I33" s="126" t="n">
        <f aca="false">+G33*F33</f>
        <v>-60718.725</v>
      </c>
      <c r="J33" s="127" t="n">
        <f aca="false">+I33</f>
        <v>-60718.725</v>
      </c>
      <c r="K33" s="127"/>
    </row>
    <row r="34" customFormat="false" ht="12.75" hidden="false" customHeight="false" outlineLevel="0" collapsed="false">
      <c r="A34" s="172" t="n">
        <f aca="false">+A33+1</f>
        <v>36855</v>
      </c>
      <c r="B34" s="122"/>
      <c r="C34" s="123" t="s">
        <v>52</v>
      </c>
      <c r="D34" s="124"/>
      <c r="E34" s="122"/>
      <c r="F34" s="125" t="n">
        <v>-9615</v>
      </c>
      <c r="G34" s="124" t="n">
        <v>6.315</v>
      </c>
      <c r="H34" s="124"/>
      <c r="I34" s="126" t="n">
        <f aca="false">+G34*F34</f>
        <v>-60718.725</v>
      </c>
      <c r="J34" s="127" t="n">
        <f aca="false">+I34</f>
        <v>-60718.725</v>
      </c>
      <c r="K34" s="127"/>
    </row>
    <row r="35" customFormat="false" ht="12.75" hidden="false" customHeight="false" outlineLevel="0" collapsed="false">
      <c r="A35" s="172" t="n">
        <f aca="false">+A34+1</f>
        <v>36856</v>
      </c>
      <c r="B35" s="122"/>
      <c r="C35" s="123" t="s">
        <v>52</v>
      </c>
      <c r="D35" s="124"/>
      <c r="E35" s="122"/>
      <c r="F35" s="125" t="n">
        <v>-9615</v>
      </c>
      <c r="G35" s="124" t="n">
        <v>6.315</v>
      </c>
      <c r="H35" s="124"/>
      <c r="I35" s="126" t="n">
        <f aca="false">+G35*F35</f>
        <v>-60718.725</v>
      </c>
      <c r="J35" s="127" t="n">
        <f aca="false">+I35</f>
        <v>-60718.725</v>
      </c>
      <c r="K35" s="127"/>
    </row>
    <row r="36" customFormat="false" ht="12.75" hidden="false" customHeight="false" outlineLevel="0" collapsed="false">
      <c r="A36" s="172" t="n">
        <f aca="false">+A35+1</f>
        <v>36857</v>
      </c>
      <c r="B36" s="122"/>
      <c r="C36" s="123" t="s">
        <v>52</v>
      </c>
      <c r="D36" s="124"/>
      <c r="E36" s="122"/>
      <c r="F36" s="125" t="n">
        <v>-9615</v>
      </c>
      <c r="G36" s="124" t="n">
        <v>6.315</v>
      </c>
      <c r="H36" s="124"/>
      <c r="I36" s="126" t="n">
        <f aca="false">+G36*F36</f>
        <v>-60718.725</v>
      </c>
      <c r="J36" s="127" t="n">
        <f aca="false">+I36</f>
        <v>-60718.725</v>
      </c>
      <c r="K36" s="127"/>
    </row>
    <row r="37" customFormat="false" ht="12.75" hidden="false" customHeight="false" outlineLevel="0" collapsed="false">
      <c r="A37" s="172" t="n">
        <f aca="false">+A36+1</f>
        <v>36858</v>
      </c>
      <c r="B37" s="122"/>
      <c r="C37" s="123" t="s">
        <v>52</v>
      </c>
      <c r="D37" s="124"/>
      <c r="E37" s="122"/>
      <c r="F37" s="125" t="n">
        <v>-9615</v>
      </c>
      <c r="G37" s="124" t="n">
        <v>6.245</v>
      </c>
      <c r="H37" s="124"/>
      <c r="I37" s="126" t="n">
        <f aca="false">+G37*F37</f>
        <v>-60045.675</v>
      </c>
      <c r="J37" s="127" t="n">
        <f aca="false">+I37</f>
        <v>-60045.675</v>
      </c>
      <c r="K37" s="127"/>
    </row>
    <row r="38" customFormat="false" ht="12.75" hidden="false" customHeight="false" outlineLevel="0" collapsed="false">
      <c r="A38" s="172" t="n">
        <f aca="false">+A37+1</f>
        <v>36859</v>
      </c>
      <c r="B38" s="122"/>
      <c r="C38" s="123" t="s">
        <v>52</v>
      </c>
      <c r="D38" s="124"/>
      <c r="E38" s="122"/>
      <c r="F38" s="125" t="n">
        <v>-9615</v>
      </c>
      <c r="G38" s="124" t="n">
        <v>5.925</v>
      </c>
      <c r="H38" s="124"/>
      <c r="I38" s="126" t="n">
        <f aca="false">+G38*F38</f>
        <v>-56968.875</v>
      </c>
      <c r="J38" s="127" t="n">
        <f aca="false">+I38</f>
        <v>-56968.875</v>
      </c>
      <c r="K38" s="127"/>
    </row>
    <row r="39" customFormat="false" ht="12.75" hidden="false" customHeight="false" outlineLevel="0" collapsed="false">
      <c r="A39" s="172" t="n">
        <f aca="false">+A38+1</f>
        <v>36860</v>
      </c>
      <c r="B39" s="122"/>
      <c r="C39" s="123" t="s">
        <v>52</v>
      </c>
      <c r="D39" s="124"/>
      <c r="E39" s="122"/>
      <c r="F39" s="125" t="n">
        <v>-9615</v>
      </c>
      <c r="G39" s="124" t="n">
        <v>5.95</v>
      </c>
      <c r="H39" s="124"/>
      <c r="I39" s="126" t="n">
        <f aca="false">+G39*F39</f>
        <v>-57209.25</v>
      </c>
      <c r="J39" s="127" t="n">
        <f aca="false">+I39</f>
        <v>-57209.25</v>
      </c>
      <c r="K39" s="127"/>
    </row>
    <row r="40" customFormat="false" ht="12.75" hidden="false" customHeight="false" outlineLevel="0" collapsed="false">
      <c r="A40" s="172"/>
      <c r="B40" s="122"/>
      <c r="C40" s="122"/>
      <c r="D40" s="122"/>
      <c r="E40" s="122"/>
      <c r="F40" s="129" t="n">
        <f aca="false">SUM(F27:F39)</f>
        <v>-124995</v>
      </c>
      <c r="G40" s="122"/>
      <c r="H40" s="122"/>
      <c r="I40" s="130" t="n">
        <f aca="false">SUM(I27:I39)</f>
        <v>-761267.625</v>
      </c>
      <c r="J40" s="130" t="n">
        <f aca="false">SUM(J27:J39)</f>
        <v>-761267.625</v>
      </c>
      <c r="K40" s="130" t="n">
        <f aca="false">SUM(K27:K39)</f>
        <v>0</v>
      </c>
    </row>
    <row r="41" customFormat="false" ht="12.75" hidden="false" customHeight="false" outlineLevel="0" collapsed="false">
      <c r="A41" s="172"/>
      <c r="B41" s="122"/>
      <c r="C41" s="122"/>
      <c r="D41" s="122"/>
      <c r="E41" s="122"/>
      <c r="F41" s="181"/>
      <c r="G41" s="174"/>
      <c r="H41" s="122"/>
      <c r="I41" s="133"/>
      <c r="J41" s="133"/>
      <c r="K41" s="133"/>
    </row>
    <row r="42" customFormat="false" ht="13.5" hidden="false" customHeight="false" outlineLevel="0" collapsed="false">
      <c r="A42" s="172"/>
      <c r="B42" s="122"/>
      <c r="C42" s="122"/>
      <c r="D42" s="122"/>
      <c r="E42" s="122"/>
      <c r="F42" s="139" t="n">
        <f aca="false">+F40+F24</f>
        <v>0</v>
      </c>
      <c r="G42" s="174"/>
      <c r="H42" s="122"/>
      <c r="I42" s="173" t="n">
        <f aca="false">+I40+I24</f>
        <v>-29421.9</v>
      </c>
      <c r="J42" s="182" t="n">
        <f aca="false">+J40+J24</f>
        <v>-29421.9</v>
      </c>
      <c r="K42" s="182" t="n">
        <f aca="false">+K40+K24</f>
        <v>0</v>
      </c>
    </row>
    <row r="43" customFormat="false" ht="13.5" hidden="false" customHeight="false" outlineLevel="0" collapsed="false">
      <c r="A43" s="172"/>
      <c r="B43" s="122"/>
      <c r="C43" s="122"/>
      <c r="D43" s="122"/>
      <c r="E43" s="122"/>
      <c r="F43" s="181"/>
      <c r="G43" s="174"/>
      <c r="H43" s="122"/>
      <c r="I43" s="133"/>
      <c r="J43" s="133"/>
      <c r="K43" s="133"/>
    </row>
    <row r="44" customFormat="false" ht="12.75" hidden="false" customHeight="false" outlineLevel="0" collapsed="false">
      <c r="A44" s="172"/>
      <c r="B44" s="122"/>
      <c r="C44" s="122"/>
      <c r="D44" s="122"/>
      <c r="E44" s="122"/>
      <c r="F44" s="181"/>
      <c r="G44" s="174"/>
      <c r="H44" s="122"/>
      <c r="I44" s="133"/>
      <c r="J44" s="133"/>
      <c r="K44" s="133"/>
    </row>
    <row r="45" customFormat="false" ht="12.75" hidden="false" customHeight="false" outlineLevel="0" collapsed="false">
      <c r="A45" s="172"/>
      <c r="B45" s="122"/>
      <c r="C45" s="122"/>
      <c r="D45" s="122"/>
      <c r="E45" s="122"/>
      <c r="F45" s="181"/>
      <c r="G45" s="174"/>
      <c r="H45" s="122"/>
      <c r="I45" s="133"/>
      <c r="J45" s="133"/>
      <c r="K45" s="133"/>
    </row>
    <row r="46" customFormat="false" ht="12.75" hidden="false" customHeight="false" outlineLevel="0" collapsed="false">
      <c r="A46" s="172"/>
      <c r="B46" s="122"/>
      <c r="C46" s="122"/>
      <c r="D46" s="122"/>
      <c r="E46" s="122"/>
      <c r="F46" s="174"/>
      <c r="G46" s="175"/>
      <c r="H46" s="135"/>
      <c r="I46" s="128"/>
      <c r="J46" s="128"/>
      <c r="K46" s="128"/>
    </row>
    <row r="47" customFormat="false" ht="12.75" hidden="false" customHeight="false" outlineLevel="0" collapsed="false">
      <c r="A47" s="172"/>
      <c r="B47" s="122"/>
      <c r="C47" s="123"/>
      <c r="D47" s="124"/>
      <c r="E47" s="122"/>
      <c r="F47" s="125"/>
      <c r="G47" s="124"/>
      <c r="H47" s="124"/>
      <c r="I47" s="126"/>
      <c r="J47" s="127"/>
      <c r="K47" s="127"/>
    </row>
    <row r="48" customFormat="false" ht="12.75" hidden="false" customHeight="false" outlineLevel="0" collapsed="false">
      <c r="A48" s="176"/>
      <c r="B48" s="141"/>
      <c r="C48" s="177"/>
      <c r="D48" s="178"/>
      <c r="E48" s="141"/>
      <c r="F48" s="146"/>
      <c r="G48" s="178"/>
      <c r="H48" s="178"/>
      <c r="I48" s="147"/>
      <c r="J48" s="179"/>
      <c r="K48" s="179"/>
    </row>
    <row r="49" customFormat="false" ht="12.75" hidden="false" customHeight="false" outlineLevel="0" collapsed="false">
      <c r="A49" s="180"/>
    </row>
    <row r="50" customFormat="false" ht="12.75" hidden="false" customHeight="false" outlineLevel="0" collapsed="false">
      <c r="A50" s="180"/>
    </row>
    <row r="51" customFormat="false" ht="12.75" hidden="false" customHeight="false" outlineLevel="0" collapsed="false">
      <c r="A51" s="180"/>
    </row>
    <row r="52" customFormat="false" ht="12.75" hidden="false" customHeight="false" outlineLevel="0" collapsed="false">
      <c r="A52" s="180"/>
    </row>
    <row r="53" customFormat="false" ht="12.75" hidden="false" customHeight="false" outlineLevel="0" collapsed="false">
      <c r="A53" s="180"/>
    </row>
    <row r="54" customFormat="false" ht="12.75" hidden="false" customHeight="false" outlineLevel="0" collapsed="false">
      <c r="A54" s="180"/>
    </row>
    <row r="55" customFormat="false" ht="12.75" hidden="false" customHeight="false" outlineLevel="0" collapsed="false">
      <c r="A55" s="180"/>
    </row>
    <row r="56" customFormat="false" ht="12.75" hidden="false" customHeight="false" outlineLevel="0" collapsed="false">
      <c r="A56" s="180"/>
    </row>
    <row r="57" customFormat="false" ht="12.75" hidden="false" customHeight="false" outlineLevel="0" collapsed="false">
      <c r="A57" s="180"/>
    </row>
    <row r="58" customFormat="false" ht="12.75" hidden="false" customHeight="false" outlineLevel="0" collapsed="false">
      <c r="A58" s="180"/>
    </row>
    <row r="59" customFormat="false" ht="12.75" hidden="false" customHeight="false" outlineLevel="0" collapsed="false">
      <c r="A59" s="180"/>
    </row>
    <row r="60" customFormat="false" ht="12.75" hidden="false" customHeight="false" outlineLevel="0" collapsed="false">
      <c r="A60" s="180"/>
    </row>
    <row r="61" customFormat="false" ht="12.75" hidden="false" customHeight="false" outlineLevel="0" collapsed="false">
      <c r="A61" s="180"/>
    </row>
    <row r="62" customFormat="false" ht="12.75" hidden="false" customHeight="false" outlineLevel="0" collapsed="false">
      <c r="A62" s="180"/>
    </row>
    <row r="63" customFormat="false" ht="12.75" hidden="false" customHeight="false" outlineLevel="0" collapsed="false">
      <c r="A63" s="180"/>
    </row>
    <row r="64" customFormat="false" ht="12.75" hidden="false" customHeight="false" outlineLevel="0" collapsed="false">
      <c r="A64" s="180"/>
    </row>
    <row r="65" customFormat="false" ht="12.75" hidden="false" customHeight="false" outlineLevel="0" collapsed="false">
      <c r="A65" s="180"/>
    </row>
    <row r="66" customFormat="false" ht="12.75" hidden="false" customHeight="false" outlineLevel="0" collapsed="false">
      <c r="A66" s="180"/>
    </row>
    <row r="67" customFormat="false" ht="12.75" hidden="false" customHeight="false" outlineLevel="0" collapsed="false">
      <c r="A67" s="180"/>
    </row>
    <row r="68" customFormat="false" ht="12.75" hidden="false" customHeight="false" outlineLevel="0" collapsed="false">
      <c r="A68" s="180"/>
    </row>
    <row r="69" customFormat="false" ht="12.75" hidden="false" customHeight="false" outlineLevel="0" collapsed="false">
      <c r="A69" s="180"/>
    </row>
    <row r="70" customFormat="false" ht="12.75" hidden="false" customHeight="false" outlineLevel="0" collapsed="false">
      <c r="A70" s="180"/>
    </row>
    <row r="71" customFormat="false" ht="12.75" hidden="false" customHeight="false" outlineLevel="0" collapsed="false">
      <c r="A71" s="180"/>
    </row>
    <row r="72" customFormat="false" ht="12.75" hidden="false" customHeight="false" outlineLevel="0" collapsed="false">
      <c r="A72" s="180"/>
    </row>
    <row r="73" customFormat="false" ht="12.75" hidden="false" customHeight="false" outlineLevel="0" collapsed="false">
      <c r="A73" s="180"/>
    </row>
    <row r="74" customFormat="false" ht="12.75" hidden="false" customHeight="false" outlineLevel="0" collapsed="false">
      <c r="A74" s="180"/>
    </row>
    <row r="75" customFormat="false" ht="12.75" hidden="false" customHeight="false" outlineLevel="0" collapsed="false">
      <c r="A75" s="180"/>
    </row>
    <row r="76" customFormat="false" ht="12.75" hidden="false" customHeight="false" outlineLevel="0" collapsed="false">
      <c r="A76" s="180"/>
    </row>
    <row r="77" customFormat="false" ht="12.75" hidden="false" customHeight="false" outlineLevel="0" collapsed="false">
      <c r="A77" s="180"/>
    </row>
    <row r="78" customFormat="false" ht="12.75" hidden="false" customHeight="false" outlineLevel="0" collapsed="false">
      <c r="A78" s="180"/>
    </row>
    <row r="79" customFormat="false" ht="12.75" hidden="false" customHeight="false" outlineLevel="0" collapsed="false">
      <c r="A79" s="180"/>
    </row>
    <row r="80" customFormat="false" ht="12.75" hidden="false" customHeight="false" outlineLevel="0" collapsed="false">
      <c r="A80" s="180"/>
    </row>
    <row r="81" customFormat="false" ht="12.75" hidden="false" customHeight="false" outlineLevel="0" collapsed="false">
      <c r="A81" s="180"/>
    </row>
    <row r="82" customFormat="false" ht="12.75" hidden="false" customHeight="false" outlineLevel="0" collapsed="false">
      <c r="A82" s="180"/>
    </row>
    <row r="83" customFormat="false" ht="12.75" hidden="false" customHeight="false" outlineLevel="0" collapsed="false">
      <c r="A83" s="180"/>
    </row>
    <row r="84" customFormat="false" ht="12.75" hidden="false" customHeight="false" outlineLevel="0" collapsed="false">
      <c r="A84" s="180"/>
    </row>
    <row r="85" customFormat="false" ht="12.75" hidden="false" customHeight="false" outlineLevel="0" collapsed="false">
      <c r="A85" s="180"/>
    </row>
    <row r="86" customFormat="false" ht="12.75" hidden="false" customHeight="false" outlineLevel="0" collapsed="false">
      <c r="A86" s="180"/>
    </row>
    <row r="87" customFormat="false" ht="12.75" hidden="false" customHeight="false" outlineLevel="0" collapsed="false">
      <c r="A87" s="180"/>
    </row>
    <row r="88" customFormat="false" ht="12.75" hidden="false" customHeight="false" outlineLevel="0" collapsed="false">
      <c r="A88" s="180"/>
    </row>
    <row r="89" customFormat="false" ht="12.75" hidden="false" customHeight="false" outlineLevel="0" collapsed="false">
      <c r="A89" s="180"/>
    </row>
    <row r="90" customFormat="false" ht="12.75" hidden="false" customHeight="false" outlineLevel="0" collapsed="false">
      <c r="A90" s="180"/>
    </row>
    <row r="91" customFormat="false" ht="12.75" hidden="false" customHeight="false" outlineLevel="0" collapsed="false">
      <c r="A91" s="180"/>
    </row>
    <row r="92" customFormat="false" ht="12.75" hidden="false" customHeight="false" outlineLevel="0" collapsed="false">
      <c r="A92" s="180"/>
    </row>
    <row r="93" customFormat="false" ht="12.75" hidden="false" customHeight="false" outlineLevel="0" collapsed="false">
      <c r="A93" s="180"/>
    </row>
    <row r="94" customFormat="false" ht="12.75" hidden="false" customHeight="false" outlineLevel="0" collapsed="false">
      <c r="A94" s="180"/>
    </row>
    <row r="95" customFormat="false" ht="12.75" hidden="false" customHeight="false" outlineLevel="0" collapsed="false">
      <c r="A95" s="180"/>
    </row>
    <row r="96" customFormat="false" ht="12.75" hidden="false" customHeight="false" outlineLevel="0" collapsed="false">
      <c r="A96" s="180"/>
    </row>
    <row r="97" customFormat="false" ht="12.75" hidden="false" customHeight="false" outlineLevel="0" collapsed="false">
      <c r="A97" s="180"/>
    </row>
    <row r="98" customFormat="false" ht="12.75" hidden="false" customHeight="false" outlineLevel="0" collapsed="false">
      <c r="A98" s="180"/>
    </row>
    <row r="99" customFormat="false" ht="12.75" hidden="false" customHeight="false" outlineLevel="0" collapsed="false">
      <c r="A99" s="180"/>
    </row>
    <row r="100" customFormat="false" ht="12.75" hidden="false" customHeight="false" outlineLevel="0" collapsed="false">
      <c r="A100" s="180"/>
    </row>
    <row r="101" customFormat="false" ht="12.75" hidden="false" customHeight="false" outlineLevel="0" collapsed="false">
      <c r="A101" s="180"/>
    </row>
    <row r="102" customFormat="false" ht="12.75" hidden="false" customHeight="false" outlineLevel="0" collapsed="false">
      <c r="A102" s="180"/>
    </row>
    <row r="103" customFormat="false" ht="12.75" hidden="false" customHeight="false" outlineLevel="0" collapsed="false">
      <c r="A103" s="180"/>
    </row>
    <row r="104" customFormat="false" ht="12.75" hidden="false" customHeight="false" outlineLevel="0" collapsed="false">
      <c r="A104" s="180"/>
    </row>
    <row r="105" customFormat="false" ht="12.75" hidden="false" customHeight="false" outlineLevel="0" collapsed="false">
      <c r="A105" s="180"/>
    </row>
    <row r="106" customFormat="false" ht="12.75" hidden="false" customHeight="false" outlineLevel="0" collapsed="false">
      <c r="A106" s="180"/>
    </row>
    <row r="107" customFormat="false" ht="12.75" hidden="false" customHeight="false" outlineLevel="0" collapsed="false">
      <c r="A107" s="180"/>
    </row>
    <row r="108" customFormat="false" ht="12.75" hidden="false" customHeight="false" outlineLevel="0" collapsed="false">
      <c r="A108" s="180"/>
    </row>
    <row r="109" customFormat="false" ht="12.75" hidden="false" customHeight="false" outlineLevel="0" collapsed="false">
      <c r="A109" s="180"/>
    </row>
    <row r="110" customFormat="false" ht="12.75" hidden="false" customHeight="false" outlineLevel="0" collapsed="false">
      <c r="A110" s="180"/>
    </row>
    <row r="111" customFormat="false" ht="12.75" hidden="false" customHeight="false" outlineLevel="0" collapsed="false">
      <c r="A111" s="180"/>
    </row>
    <row r="112" customFormat="false" ht="12.75" hidden="false" customHeight="false" outlineLevel="0" collapsed="false">
      <c r="A112" s="180"/>
    </row>
    <row r="113" customFormat="false" ht="12.75" hidden="false" customHeight="false" outlineLevel="0" collapsed="false">
      <c r="A113" s="180"/>
    </row>
    <row r="114" customFormat="false" ht="12.75" hidden="false" customHeight="false" outlineLevel="0" collapsed="false">
      <c r="A114" s="180"/>
    </row>
    <row r="115" customFormat="false" ht="12.75" hidden="false" customHeight="false" outlineLevel="0" collapsed="false">
      <c r="A115" s="180"/>
    </row>
    <row r="116" customFormat="false" ht="12.75" hidden="false" customHeight="false" outlineLevel="0" collapsed="false">
      <c r="A116" s="180"/>
    </row>
    <row r="117" customFormat="false" ht="12.75" hidden="false" customHeight="false" outlineLevel="0" collapsed="false">
      <c r="A117" s="180"/>
    </row>
    <row r="118" customFormat="false" ht="12.75" hidden="false" customHeight="false" outlineLevel="0" collapsed="false">
      <c r="A118" s="180"/>
    </row>
    <row r="119" customFormat="false" ht="12.75" hidden="false" customHeight="false" outlineLevel="0" collapsed="false">
      <c r="A119" s="180"/>
    </row>
    <row r="120" customFormat="false" ht="12.75" hidden="false" customHeight="false" outlineLevel="0" collapsed="false">
      <c r="A120" s="180"/>
    </row>
  </sheetData>
  <mergeCells count="6">
    <mergeCell ref="A1:K1"/>
    <mergeCell ref="A2:K2"/>
    <mergeCell ref="A3:K3"/>
    <mergeCell ref="A4:K4"/>
    <mergeCell ref="I6:K6"/>
    <mergeCell ref="I7:K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8" activeCellId="0" sqref="A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0.71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4.28"/>
    <col collapsed="false" customWidth="true" hidden="false" outlineLevel="0" max="8" min="8" style="0" width="10.71"/>
    <col collapsed="false" customWidth="true" hidden="false" outlineLevel="0" max="9" min="9" style="0" width="14.99"/>
    <col collapsed="false" customWidth="true" hidden="false" outlineLevel="0" max="10" min="10" style="0" width="13.41"/>
    <col collapsed="false" customWidth="true" hidden="false" outlineLevel="0" max="11" min="11" style="0" width="14.99"/>
  </cols>
  <sheetData>
    <row r="1" customFormat="false" ht="15" hidden="false" customHeight="false" outlineLevel="0" collapsed="false">
      <c r="A1" s="107" t="s">
        <v>100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customFormat="false" ht="15" hidden="false" customHeight="false" outlineLevel="0" collapsed="false">
      <c r="A2" s="107" t="s">
        <v>87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customFormat="false" ht="15.75" hidden="false" customHeight="false" outlineLevel="0" collapsed="false">
      <c r="A3" s="107" t="s">
        <v>126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4" customFormat="false" ht="15.75" hidden="false" customHeight="false" outlineLevel="0" collapsed="false">
      <c r="A4" s="144" t="s">
        <v>127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</row>
    <row r="6" customFormat="false" ht="12.75" hidden="false" customHeight="false" outlineLevel="0" collapsed="false">
      <c r="A6" s="110" t="s">
        <v>89</v>
      </c>
      <c r="B6" s="111" t="s">
        <v>8</v>
      </c>
      <c r="C6" s="111" t="s">
        <v>8</v>
      </c>
      <c r="D6" s="111" t="s">
        <v>128</v>
      </c>
      <c r="E6" s="111"/>
      <c r="F6" s="111" t="s">
        <v>91</v>
      </c>
      <c r="G6" s="111" t="s">
        <v>120</v>
      </c>
      <c r="H6" s="111" t="s">
        <v>28</v>
      </c>
      <c r="I6" s="112" t="s">
        <v>93</v>
      </c>
      <c r="J6" s="112"/>
      <c r="K6" s="112"/>
    </row>
    <row r="7" customFormat="false" ht="12.75" hidden="false" customHeight="false" outlineLevel="0" collapsed="false">
      <c r="A7" s="113" t="s">
        <v>22</v>
      </c>
      <c r="B7" s="114" t="s">
        <v>18</v>
      </c>
      <c r="C7" s="114" t="s">
        <v>17</v>
      </c>
      <c r="D7" s="114" t="s">
        <v>23</v>
      </c>
      <c r="E7" s="114"/>
      <c r="F7" s="114" t="s">
        <v>94</v>
      </c>
      <c r="G7" s="114" t="s">
        <v>23</v>
      </c>
      <c r="H7" s="114" t="s">
        <v>23</v>
      </c>
      <c r="I7" s="114" t="s">
        <v>30</v>
      </c>
      <c r="J7" s="114" t="s">
        <v>31</v>
      </c>
      <c r="K7" s="115" t="s">
        <v>32</v>
      </c>
    </row>
    <row r="8" customFormat="false" ht="12.75" hidden="false" customHeight="false" outlineLevel="0" collapsed="false">
      <c r="A8" s="116"/>
      <c r="B8" s="117"/>
      <c r="C8" s="117"/>
      <c r="D8" s="117"/>
      <c r="E8" s="117"/>
      <c r="F8" s="117"/>
      <c r="G8" s="118"/>
      <c r="H8" s="119"/>
      <c r="I8" s="119" t="s">
        <v>96</v>
      </c>
      <c r="J8" s="119" t="s">
        <v>96</v>
      </c>
      <c r="K8" s="120" t="s">
        <v>96</v>
      </c>
    </row>
    <row r="9" customFormat="false" ht="12.75" hidden="false" customHeight="false" outlineLevel="0" collapsed="false">
      <c r="A9" s="121" t="n">
        <v>36831</v>
      </c>
      <c r="B9" s="122"/>
      <c r="C9" s="123" t="s">
        <v>53</v>
      </c>
      <c r="D9" s="124" t="n">
        <v>1</v>
      </c>
      <c r="E9" s="122"/>
      <c r="F9" s="125" t="n">
        <v>155000</v>
      </c>
      <c r="G9" s="124" t="n">
        <f aca="false">+[4]Curves!$C$23-[4]Curves!$C$30</f>
        <v>0.743</v>
      </c>
      <c r="H9" s="124"/>
      <c r="I9" s="126" t="n">
        <f aca="false">(-G9+D9)*F9</f>
        <v>39835</v>
      </c>
      <c r="J9" s="127" t="n">
        <f aca="false">+I9</f>
        <v>39835</v>
      </c>
      <c r="K9" s="127"/>
    </row>
    <row r="10" customFormat="false" ht="12.75" hidden="false" customHeight="false" outlineLevel="0" collapsed="false">
      <c r="A10" s="121"/>
      <c r="B10" s="122"/>
      <c r="C10" s="123" t="s">
        <v>129</v>
      </c>
      <c r="D10" s="124"/>
      <c r="E10" s="122"/>
      <c r="F10" s="125"/>
      <c r="G10" s="122"/>
      <c r="H10" s="124"/>
      <c r="I10" s="126"/>
      <c r="J10" s="127"/>
      <c r="K10" s="127"/>
    </row>
    <row r="11" customFormat="false" ht="12.75" hidden="false" customHeight="false" outlineLevel="0" collapsed="false">
      <c r="A11" s="121"/>
      <c r="B11" s="122"/>
      <c r="C11" s="123"/>
      <c r="D11" s="124"/>
      <c r="E11" s="122"/>
      <c r="F11" s="125"/>
      <c r="G11" s="122"/>
      <c r="H11" s="124"/>
      <c r="I11" s="126"/>
      <c r="J11" s="127"/>
      <c r="K11" s="127"/>
    </row>
    <row r="12" customFormat="false" ht="13.5" hidden="false" customHeight="false" outlineLevel="0" collapsed="false">
      <c r="A12" s="122"/>
      <c r="B12" s="122"/>
      <c r="C12" s="122"/>
      <c r="D12" s="122"/>
      <c r="E12" s="122"/>
      <c r="F12" s="139" t="n">
        <f aca="false">SUM(F9:F11)</f>
        <v>155000</v>
      </c>
      <c r="G12" s="122"/>
      <c r="H12" s="183"/>
      <c r="I12" s="173" t="n">
        <f aca="false">SUM(I9:I11)</f>
        <v>39835</v>
      </c>
      <c r="J12" s="173" t="n">
        <f aca="false">SUM(J9:J11)</f>
        <v>39835</v>
      </c>
      <c r="K12" s="173" t="n">
        <f aca="false">SUM(K9:K11)</f>
        <v>0</v>
      </c>
    </row>
    <row r="13" customFormat="false" ht="13.5" hidden="false" customHeight="false" outlineLevel="0" collapsed="false">
      <c r="A13" s="122"/>
      <c r="B13" s="122"/>
      <c r="C13" s="122"/>
      <c r="D13" s="122"/>
      <c r="E13" s="122"/>
      <c r="F13" s="131"/>
      <c r="G13" s="122"/>
      <c r="H13" s="122"/>
      <c r="I13" s="132"/>
      <c r="J13" s="133"/>
      <c r="K13" s="133"/>
    </row>
    <row r="14" customFormat="false" ht="12.75" hidden="false" customHeight="false" outlineLevel="0" collapsed="false">
      <c r="A14" s="122"/>
      <c r="B14" s="122"/>
      <c r="C14" s="122"/>
      <c r="D14" s="124"/>
      <c r="E14" s="122"/>
      <c r="F14" s="122"/>
      <c r="G14" s="136"/>
      <c r="H14" s="135"/>
      <c r="I14" s="122"/>
      <c r="J14" s="128"/>
      <c r="K14" s="128"/>
    </row>
    <row r="15" customFormat="false" ht="12.75" hidden="false" customHeight="false" outlineLevel="0" collapsed="false">
      <c r="A15" s="141"/>
      <c r="B15" s="141"/>
      <c r="C15" s="141"/>
      <c r="D15" s="141"/>
      <c r="E15" s="141"/>
      <c r="F15" s="141"/>
      <c r="G15" s="141"/>
      <c r="H15" s="141"/>
      <c r="I15" s="141"/>
      <c r="J15" s="142"/>
      <c r="K15" s="142"/>
    </row>
    <row r="17" customFormat="false" ht="12.75" hidden="false" customHeight="false" outlineLevel="0" collapsed="false">
      <c r="A17" s="105" t="s">
        <v>130</v>
      </c>
    </row>
    <row r="19" customFormat="false" ht="12.75" hidden="false" customHeight="false" outlineLevel="0" collapsed="false">
      <c r="A19" s="184" t="n">
        <v>37226</v>
      </c>
      <c r="B19" s="0" t="n">
        <v>4.785</v>
      </c>
    </row>
    <row r="20" customFormat="false" ht="12.75" hidden="false" customHeight="false" outlineLevel="0" collapsed="false">
      <c r="A20" s="184" t="n">
        <v>37438</v>
      </c>
      <c r="B20" s="168" t="n">
        <v>4.042</v>
      </c>
    </row>
    <row r="21" customFormat="false" ht="12.75" hidden="false" customHeight="false" outlineLevel="0" collapsed="false">
      <c r="A21" s="184"/>
      <c r="B21" s="0" t="n">
        <f aca="false">+B19-B20</f>
        <v>0.743</v>
      </c>
      <c r="C21" s="0" t="s">
        <v>131</v>
      </c>
    </row>
  </sheetData>
  <mergeCells count="5">
    <mergeCell ref="A1:K1"/>
    <mergeCell ref="A2:K2"/>
    <mergeCell ref="A3:K3"/>
    <mergeCell ref="A4:K4"/>
    <mergeCell ref="I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0.71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4.28"/>
    <col collapsed="false" customWidth="true" hidden="false" outlineLevel="0" max="8" min="8" style="0" width="10.71"/>
    <col collapsed="false" customWidth="true" hidden="false" outlineLevel="0" max="9" min="9" style="0" width="14.99"/>
    <col collapsed="false" customWidth="true" hidden="false" outlineLevel="0" max="10" min="10" style="0" width="13.41"/>
    <col collapsed="false" customWidth="true" hidden="false" outlineLevel="0" max="11" min="11" style="0" width="14.99"/>
  </cols>
  <sheetData>
    <row r="1" customFormat="false" ht="15" hidden="false" customHeight="false" outlineLevel="0" collapsed="false">
      <c r="A1" s="107" t="s">
        <v>100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customFormat="false" ht="15" hidden="false" customHeight="false" outlineLevel="0" collapsed="false">
      <c r="A2" s="107" t="s">
        <v>87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customFormat="false" ht="15.75" hidden="false" customHeight="false" outlineLevel="0" collapsed="false">
      <c r="A3" s="107" t="s">
        <v>132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4" customFormat="false" ht="15.75" hidden="false" customHeight="false" outlineLevel="0" collapsed="false">
      <c r="A4" s="108"/>
      <c r="B4" s="108"/>
      <c r="C4" s="108"/>
      <c r="D4" s="108"/>
      <c r="E4" s="108"/>
      <c r="F4" s="108"/>
      <c r="G4" s="108"/>
      <c r="H4" s="108"/>
      <c r="I4" s="108"/>
      <c r="J4" s="109"/>
      <c r="K4" s="109"/>
    </row>
    <row r="6" customFormat="false" ht="12.75" hidden="false" customHeight="false" outlineLevel="0" collapsed="false">
      <c r="A6" s="110" t="s">
        <v>89</v>
      </c>
      <c r="B6" s="111" t="s">
        <v>8</v>
      </c>
      <c r="C6" s="111" t="s">
        <v>8</v>
      </c>
      <c r="D6" s="111" t="s">
        <v>90</v>
      </c>
      <c r="E6" s="111"/>
      <c r="F6" s="111" t="s">
        <v>91</v>
      </c>
      <c r="G6" s="111" t="s">
        <v>68</v>
      </c>
      <c r="H6" s="111" t="s">
        <v>28</v>
      </c>
      <c r="I6" s="112" t="s">
        <v>93</v>
      </c>
      <c r="J6" s="112"/>
      <c r="K6" s="112"/>
    </row>
    <row r="7" customFormat="false" ht="12.75" hidden="false" customHeight="false" outlineLevel="0" collapsed="false">
      <c r="A7" s="113" t="s">
        <v>22</v>
      </c>
      <c r="B7" s="114" t="s">
        <v>18</v>
      </c>
      <c r="C7" s="114" t="s">
        <v>17</v>
      </c>
      <c r="D7" s="114" t="s">
        <v>23</v>
      </c>
      <c r="E7" s="114"/>
      <c r="F7" s="114" t="s">
        <v>94</v>
      </c>
      <c r="G7" s="114" t="s">
        <v>23</v>
      </c>
      <c r="H7" s="114" t="s">
        <v>23</v>
      </c>
      <c r="I7" s="114" t="s">
        <v>30</v>
      </c>
      <c r="J7" s="114" t="s">
        <v>31</v>
      </c>
      <c r="K7" s="115" t="s">
        <v>32</v>
      </c>
    </row>
    <row r="8" customFormat="false" ht="12.75" hidden="false" customHeight="false" outlineLevel="0" collapsed="false">
      <c r="A8" s="116"/>
      <c r="B8" s="117"/>
      <c r="C8" s="117"/>
      <c r="D8" s="117"/>
      <c r="E8" s="117"/>
      <c r="F8" s="117"/>
      <c r="G8" s="118"/>
      <c r="H8" s="119"/>
      <c r="I8" s="119" t="s">
        <v>96</v>
      </c>
      <c r="J8" s="119" t="s">
        <v>96</v>
      </c>
      <c r="K8" s="120" t="s">
        <v>96</v>
      </c>
    </row>
    <row r="9" customFormat="false" ht="12.75" hidden="false" customHeight="false" outlineLevel="0" collapsed="false">
      <c r="A9" s="121" t="n">
        <v>36831</v>
      </c>
      <c r="B9" s="122"/>
      <c r="C9" s="123" t="s">
        <v>133</v>
      </c>
      <c r="D9" s="124" t="n">
        <v>0.05</v>
      </c>
      <c r="E9" s="122"/>
      <c r="F9" s="125" t="n">
        <v>155000</v>
      </c>
      <c r="G9" s="124"/>
      <c r="H9" s="124"/>
      <c r="I9" s="126" t="n">
        <f aca="false">-F9*D9</f>
        <v>-7750</v>
      </c>
      <c r="J9" s="127" t="n">
        <f aca="false">+I9</f>
        <v>-7750</v>
      </c>
      <c r="K9" s="127"/>
    </row>
    <row r="10" customFormat="false" ht="12.75" hidden="false" customHeight="false" outlineLevel="0" collapsed="false">
      <c r="A10" s="121"/>
      <c r="B10" s="122"/>
      <c r="C10" s="123"/>
      <c r="D10" s="124"/>
      <c r="E10" s="122"/>
      <c r="F10" s="125"/>
      <c r="G10" s="122"/>
      <c r="H10" s="124"/>
      <c r="I10" s="126"/>
      <c r="J10" s="127"/>
      <c r="K10" s="127"/>
    </row>
    <row r="11" customFormat="false" ht="12.75" hidden="false" customHeight="false" outlineLevel="0" collapsed="false">
      <c r="A11" s="121"/>
      <c r="B11" s="122"/>
      <c r="C11" s="123"/>
      <c r="D11" s="124"/>
      <c r="E11" s="122"/>
      <c r="F11" s="125"/>
      <c r="G11" s="122"/>
      <c r="H11" s="124"/>
      <c r="I11" s="126"/>
      <c r="J11" s="127"/>
      <c r="K11" s="127"/>
    </row>
    <row r="12" customFormat="false" ht="13.5" hidden="false" customHeight="false" outlineLevel="0" collapsed="false">
      <c r="A12" s="122"/>
      <c r="B12" s="122"/>
      <c r="C12" s="122"/>
      <c r="D12" s="122"/>
      <c r="E12" s="122"/>
      <c r="F12" s="139" t="n">
        <f aca="false">SUM(F9:F11)</f>
        <v>155000</v>
      </c>
      <c r="G12" s="122"/>
      <c r="H12" s="183"/>
      <c r="I12" s="173" t="n">
        <f aca="false">SUM(I9:I11)</f>
        <v>-7750</v>
      </c>
      <c r="J12" s="173" t="n">
        <f aca="false">SUM(J9:J11)</f>
        <v>-7750</v>
      </c>
      <c r="K12" s="173" t="n">
        <f aca="false">SUM(K9:K11)</f>
        <v>0</v>
      </c>
    </row>
    <row r="13" customFormat="false" ht="13.5" hidden="false" customHeight="false" outlineLevel="0" collapsed="false">
      <c r="A13" s="122"/>
      <c r="B13" s="122"/>
      <c r="C13" s="122"/>
      <c r="D13" s="122"/>
      <c r="E13" s="122"/>
      <c r="F13" s="131"/>
      <c r="G13" s="122"/>
      <c r="H13" s="122"/>
      <c r="I13" s="132"/>
      <c r="J13" s="133"/>
      <c r="K13" s="133"/>
    </row>
    <row r="14" customFormat="false" ht="12.75" hidden="false" customHeight="false" outlineLevel="0" collapsed="false">
      <c r="A14" s="122"/>
      <c r="B14" s="122"/>
      <c r="C14" s="122"/>
      <c r="D14" s="124"/>
      <c r="E14" s="122"/>
      <c r="F14" s="122"/>
      <c r="G14" s="136"/>
      <c r="H14" s="135"/>
      <c r="I14" s="122"/>
      <c r="J14" s="128"/>
      <c r="K14" s="128"/>
    </row>
    <row r="15" customFormat="false" ht="12.75" hidden="false" customHeight="false" outlineLevel="0" collapsed="false">
      <c r="A15" s="141"/>
      <c r="B15" s="141"/>
      <c r="C15" s="141"/>
      <c r="D15" s="141"/>
      <c r="E15" s="141"/>
      <c r="F15" s="141"/>
      <c r="G15" s="141"/>
      <c r="H15" s="141"/>
      <c r="I15" s="141"/>
      <c r="J15" s="142"/>
      <c r="K15" s="142"/>
    </row>
    <row r="17" customFormat="false" ht="12.75" hidden="false" customHeight="false" outlineLevel="0" collapsed="false">
      <c r="A17" s="105" t="s">
        <v>99</v>
      </c>
    </row>
  </sheetData>
  <mergeCells count="4">
    <mergeCell ref="A1:K1"/>
    <mergeCell ref="A2:K2"/>
    <mergeCell ref="A3:K3"/>
    <mergeCell ref="I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8" activeCellId="0" sqref="C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7.28"/>
    <col collapsed="false" customWidth="true" hidden="false" outlineLevel="0" max="4" min="4" style="0" width="10.71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4.28"/>
    <col collapsed="false" customWidth="true" hidden="false" outlineLevel="0" max="8" min="8" style="0" width="10.71"/>
    <col collapsed="false" customWidth="true" hidden="false" outlineLevel="0" max="9" min="9" style="0" width="14.99"/>
    <col collapsed="false" customWidth="true" hidden="false" outlineLevel="0" max="10" min="10" style="0" width="13.41"/>
    <col collapsed="false" customWidth="true" hidden="false" outlineLevel="0" max="11" min="11" style="0" width="14.99"/>
  </cols>
  <sheetData>
    <row r="1" customFormat="false" ht="15" hidden="false" customHeight="false" outlineLevel="0" collapsed="false">
      <c r="A1" s="107" t="s">
        <v>134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customFormat="false" ht="15" hidden="false" customHeight="false" outlineLevel="0" collapsed="false">
      <c r="A2" s="107" t="s">
        <v>87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customFormat="false" ht="15.75" hidden="false" customHeight="false" outlineLevel="0" collapsed="false">
      <c r="A3" s="107" t="s">
        <v>135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4" customFormat="false" ht="15.75" hidden="false" customHeight="false" outlineLevel="0" collapsed="false">
      <c r="A4" s="108"/>
      <c r="B4" s="108"/>
      <c r="C4" s="108"/>
      <c r="D4" s="108"/>
      <c r="E4" s="108"/>
      <c r="F4" s="108"/>
      <c r="G4" s="108"/>
      <c r="H4" s="108"/>
      <c r="I4" s="108"/>
      <c r="J4" s="109"/>
      <c r="K4" s="109"/>
    </row>
    <row r="6" customFormat="false" ht="12.75" hidden="false" customHeight="false" outlineLevel="0" collapsed="false">
      <c r="A6" s="110" t="s">
        <v>89</v>
      </c>
      <c r="B6" s="111" t="s">
        <v>8</v>
      </c>
      <c r="C6" s="111" t="s">
        <v>8</v>
      </c>
      <c r="D6" s="111" t="s">
        <v>90</v>
      </c>
      <c r="E6" s="111"/>
      <c r="F6" s="111" t="s">
        <v>91</v>
      </c>
      <c r="G6" s="111" t="s">
        <v>68</v>
      </c>
      <c r="H6" s="111" t="s">
        <v>28</v>
      </c>
      <c r="I6" s="112" t="s">
        <v>93</v>
      </c>
      <c r="J6" s="112"/>
      <c r="K6" s="112"/>
    </row>
    <row r="7" customFormat="false" ht="12.75" hidden="false" customHeight="false" outlineLevel="0" collapsed="false">
      <c r="A7" s="113" t="s">
        <v>22</v>
      </c>
      <c r="B7" s="114" t="s">
        <v>18</v>
      </c>
      <c r="C7" s="114" t="s">
        <v>17</v>
      </c>
      <c r="D7" s="114" t="s">
        <v>23</v>
      </c>
      <c r="E7" s="114"/>
      <c r="F7" s="114" t="s">
        <v>94</v>
      </c>
      <c r="G7" s="114" t="s">
        <v>23</v>
      </c>
      <c r="H7" s="114" t="s">
        <v>23</v>
      </c>
      <c r="I7" s="114" t="s">
        <v>30</v>
      </c>
      <c r="J7" s="114" t="s">
        <v>31</v>
      </c>
      <c r="K7" s="115" t="s">
        <v>32</v>
      </c>
    </row>
    <row r="8" customFormat="false" ht="12.75" hidden="false" customHeight="false" outlineLevel="0" collapsed="false">
      <c r="A8" s="116"/>
      <c r="B8" s="117"/>
      <c r="C8" s="117"/>
      <c r="D8" s="117"/>
      <c r="E8" s="117"/>
      <c r="F8" s="117"/>
      <c r="G8" s="118"/>
      <c r="H8" s="119"/>
      <c r="I8" s="119" t="s">
        <v>96</v>
      </c>
      <c r="J8" s="119" t="s">
        <v>96</v>
      </c>
      <c r="K8" s="120" t="s">
        <v>96</v>
      </c>
    </row>
    <row r="9" customFormat="false" ht="12.75" hidden="false" customHeight="false" outlineLevel="0" collapsed="false">
      <c r="A9" s="121" t="n">
        <v>36831</v>
      </c>
      <c r="B9" s="122"/>
      <c r="C9" s="123" t="s">
        <v>136</v>
      </c>
      <c r="D9" s="124" t="n">
        <v>0.07</v>
      </c>
      <c r="E9" s="122"/>
      <c r="F9" s="125" t="n">
        <f aca="false">-5000*31</f>
        <v>-155000</v>
      </c>
      <c r="G9" s="124"/>
      <c r="H9" s="124"/>
      <c r="I9" s="126" t="n">
        <f aca="false">-F9*D9</f>
        <v>10850</v>
      </c>
      <c r="J9" s="127" t="n">
        <f aca="false">+I9</f>
        <v>10850</v>
      </c>
      <c r="K9" s="127"/>
    </row>
    <row r="10" customFormat="false" ht="12.75" hidden="false" customHeight="false" outlineLevel="0" collapsed="false">
      <c r="A10" s="121"/>
      <c r="B10" s="122"/>
      <c r="C10" s="123"/>
      <c r="D10" s="124"/>
      <c r="E10" s="122"/>
      <c r="F10" s="125"/>
      <c r="G10" s="124"/>
      <c r="H10" s="124"/>
      <c r="I10" s="126"/>
      <c r="J10" s="127"/>
      <c r="K10" s="127"/>
    </row>
    <row r="11" customFormat="false" ht="12.75" hidden="false" customHeight="false" outlineLevel="0" collapsed="false">
      <c r="A11" s="121"/>
      <c r="B11" s="122"/>
      <c r="C11" s="123"/>
      <c r="D11" s="124"/>
      <c r="E11" s="122"/>
      <c r="F11" s="125"/>
      <c r="H11" s="124"/>
      <c r="I11" s="126"/>
      <c r="J11" s="128"/>
      <c r="K11" s="127"/>
    </row>
    <row r="12" customFormat="false" ht="13.5" hidden="false" customHeight="false" outlineLevel="0" collapsed="false">
      <c r="A12" s="122"/>
      <c r="B12" s="122"/>
      <c r="C12" s="122"/>
      <c r="D12" s="122"/>
      <c r="E12" s="122"/>
      <c r="F12" s="139" t="n">
        <f aca="false">SUM(F9:F10)</f>
        <v>-155000</v>
      </c>
      <c r="G12" s="122"/>
      <c r="H12" s="183"/>
      <c r="I12" s="173" t="n">
        <f aca="false">SUM(I9:I10)</f>
        <v>10850</v>
      </c>
      <c r="J12" s="173" t="n">
        <f aca="false">SUM(J9:J10)</f>
        <v>10850</v>
      </c>
      <c r="K12" s="173" t="n">
        <f aca="false">SUM(K9:K10)</f>
        <v>0</v>
      </c>
    </row>
    <row r="13" customFormat="false" ht="13.5" hidden="false" customHeight="false" outlineLevel="0" collapsed="false">
      <c r="A13" s="122"/>
      <c r="B13" s="122"/>
      <c r="C13" s="122"/>
      <c r="D13" s="122"/>
      <c r="E13" s="122"/>
      <c r="F13" s="131"/>
      <c r="G13" s="122"/>
      <c r="H13" s="122"/>
      <c r="I13" s="132"/>
      <c r="J13" s="133"/>
      <c r="K13" s="133"/>
    </row>
    <row r="14" customFormat="false" ht="12.75" hidden="false" customHeight="false" outlineLevel="0" collapsed="false">
      <c r="A14" s="122"/>
      <c r="B14" s="122"/>
      <c r="C14" s="122"/>
      <c r="D14" s="122"/>
      <c r="E14" s="122"/>
      <c r="F14" s="122"/>
      <c r="G14" s="122"/>
      <c r="H14" s="122"/>
      <c r="I14" s="122"/>
      <c r="J14" s="128"/>
      <c r="K14" s="128"/>
    </row>
    <row r="15" customFormat="false" ht="12.75" hidden="false" customHeight="false" outlineLevel="0" collapsed="false">
      <c r="A15" s="141"/>
      <c r="B15" s="141"/>
      <c r="C15" s="141"/>
      <c r="D15" s="141"/>
      <c r="E15" s="141"/>
      <c r="F15" s="141"/>
      <c r="G15" s="141"/>
      <c r="H15" s="141"/>
      <c r="I15" s="141"/>
      <c r="J15" s="142"/>
      <c r="K15" s="142"/>
    </row>
    <row r="17" customFormat="false" ht="12.75" hidden="false" customHeight="false" outlineLevel="0" collapsed="false">
      <c r="A17" s="105" t="s">
        <v>99</v>
      </c>
    </row>
  </sheetData>
  <mergeCells count="4">
    <mergeCell ref="A1:K1"/>
    <mergeCell ref="A2:K2"/>
    <mergeCell ref="A3:K3"/>
    <mergeCell ref="I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0.71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4.28"/>
    <col collapsed="false" customWidth="true" hidden="false" outlineLevel="0" max="8" min="8" style="0" width="10.71"/>
    <col collapsed="false" customWidth="true" hidden="false" outlineLevel="0" max="9" min="9" style="0" width="14.99"/>
    <col collapsed="false" customWidth="true" hidden="false" outlineLevel="0" max="10" min="10" style="0" width="13.41"/>
    <col collapsed="false" customWidth="true" hidden="false" outlineLevel="0" max="11" min="11" style="0" width="14.99"/>
  </cols>
  <sheetData>
    <row r="1" customFormat="false" ht="15" hidden="false" customHeight="false" outlineLevel="0" collapsed="false">
      <c r="A1" s="107" t="s">
        <v>100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customFormat="false" ht="15" hidden="false" customHeight="false" outlineLevel="0" collapsed="false">
      <c r="A2" s="107" t="s">
        <v>87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customFormat="false" ht="15.75" hidden="false" customHeight="false" outlineLevel="0" collapsed="false">
      <c r="A3" s="107" t="s">
        <v>137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4" customFormat="false" ht="15.75" hidden="false" customHeight="false" outlineLevel="0" collapsed="false">
      <c r="A4" s="144" t="s">
        <v>138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</row>
    <row r="6" customFormat="false" ht="12.75" hidden="false" customHeight="false" outlineLevel="0" collapsed="false">
      <c r="A6" s="110" t="s">
        <v>89</v>
      </c>
      <c r="B6" s="111" t="s">
        <v>8</v>
      </c>
      <c r="C6" s="111" t="s">
        <v>8</v>
      </c>
      <c r="D6" s="111" t="s">
        <v>128</v>
      </c>
      <c r="E6" s="111"/>
      <c r="F6" s="111" t="s">
        <v>91</v>
      </c>
      <c r="G6" s="111" t="s">
        <v>120</v>
      </c>
      <c r="H6" s="111" t="s">
        <v>28</v>
      </c>
      <c r="I6" s="112" t="s">
        <v>93</v>
      </c>
      <c r="J6" s="112"/>
      <c r="K6" s="112"/>
    </row>
    <row r="7" customFormat="false" ht="12.75" hidden="false" customHeight="false" outlineLevel="0" collapsed="false">
      <c r="A7" s="113" t="s">
        <v>22</v>
      </c>
      <c r="B7" s="114" t="s">
        <v>18</v>
      </c>
      <c r="C7" s="114" t="s">
        <v>17</v>
      </c>
      <c r="D7" s="114" t="s">
        <v>23</v>
      </c>
      <c r="E7" s="114"/>
      <c r="F7" s="114" t="s">
        <v>94</v>
      </c>
      <c r="G7" s="114" t="s">
        <v>23</v>
      </c>
      <c r="H7" s="114" t="s">
        <v>23</v>
      </c>
      <c r="I7" s="114" t="s">
        <v>30</v>
      </c>
      <c r="J7" s="114" t="s">
        <v>31</v>
      </c>
      <c r="K7" s="115" t="s">
        <v>32</v>
      </c>
    </row>
    <row r="8" customFormat="false" ht="12.75" hidden="false" customHeight="false" outlineLevel="0" collapsed="false">
      <c r="A8" s="116"/>
      <c r="B8" s="117"/>
      <c r="C8" s="117"/>
      <c r="D8" s="117"/>
      <c r="E8" s="117"/>
      <c r="F8" s="117"/>
      <c r="G8" s="118"/>
      <c r="H8" s="119"/>
      <c r="I8" s="119" t="s">
        <v>96</v>
      </c>
      <c r="J8" s="119" t="s">
        <v>96</v>
      </c>
      <c r="K8" s="120" t="s">
        <v>96</v>
      </c>
    </row>
    <row r="9" customFormat="false" ht="12.75" hidden="false" customHeight="false" outlineLevel="0" collapsed="false">
      <c r="A9" s="121" t="n">
        <v>36831</v>
      </c>
      <c r="B9" s="122"/>
      <c r="C9" s="123" t="s">
        <v>133</v>
      </c>
      <c r="D9" s="124" t="n">
        <v>0.775</v>
      </c>
      <c r="E9" s="122"/>
      <c r="F9" s="125" t="n">
        <v>500000</v>
      </c>
      <c r="G9" s="124" t="n">
        <f aca="false">+[4]Curves!$C$23-[4]Curves!$C$30</f>
        <v>0.743</v>
      </c>
      <c r="H9" s="124"/>
      <c r="I9" s="126" t="n">
        <f aca="false">(-G9+D9)*F9</f>
        <v>15999.9999999998</v>
      </c>
      <c r="J9" s="127" t="n">
        <f aca="false">+I9</f>
        <v>15999.9999999998</v>
      </c>
      <c r="K9" s="127"/>
    </row>
    <row r="10" customFormat="false" ht="12.75" hidden="false" customHeight="false" outlineLevel="0" collapsed="false">
      <c r="A10" s="121"/>
      <c r="B10" s="122"/>
      <c r="C10" s="123"/>
      <c r="D10" s="124"/>
      <c r="E10" s="122"/>
      <c r="F10" s="125"/>
      <c r="G10" s="122"/>
      <c r="H10" s="124"/>
      <c r="I10" s="126"/>
      <c r="J10" s="127"/>
      <c r="K10" s="127"/>
    </row>
    <row r="11" customFormat="false" ht="12.75" hidden="false" customHeight="false" outlineLevel="0" collapsed="false">
      <c r="A11" s="121"/>
      <c r="B11" s="122"/>
      <c r="C11" s="123"/>
      <c r="D11" s="124"/>
      <c r="E11" s="122"/>
      <c r="F11" s="125"/>
      <c r="G11" s="122"/>
      <c r="H11" s="124"/>
      <c r="I11" s="126"/>
      <c r="J11" s="127"/>
      <c r="K11" s="127"/>
    </row>
    <row r="12" customFormat="false" ht="13.5" hidden="false" customHeight="false" outlineLevel="0" collapsed="false">
      <c r="A12" s="122"/>
      <c r="B12" s="122"/>
      <c r="C12" s="122"/>
      <c r="D12" s="122"/>
      <c r="E12" s="122"/>
      <c r="F12" s="139" t="n">
        <f aca="false">SUM(F9:F11)</f>
        <v>500000</v>
      </c>
      <c r="G12" s="122"/>
      <c r="H12" s="183"/>
      <c r="I12" s="173" t="n">
        <f aca="false">SUM(I9:I11)</f>
        <v>15999.9999999998</v>
      </c>
      <c r="J12" s="173" t="n">
        <f aca="false">SUM(J9:J11)</f>
        <v>15999.9999999998</v>
      </c>
      <c r="K12" s="173" t="n">
        <f aca="false">SUM(K9:K11)</f>
        <v>0</v>
      </c>
    </row>
    <row r="13" customFormat="false" ht="13.5" hidden="false" customHeight="false" outlineLevel="0" collapsed="false">
      <c r="A13" s="122"/>
      <c r="B13" s="122"/>
      <c r="C13" s="122"/>
      <c r="D13" s="122"/>
      <c r="E13" s="122"/>
      <c r="F13" s="131"/>
      <c r="G13" s="122"/>
      <c r="H13" s="122"/>
      <c r="I13" s="132"/>
      <c r="J13" s="133"/>
      <c r="K13" s="133"/>
    </row>
    <row r="14" customFormat="false" ht="12.75" hidden="false" customHeight="false" outlineLevel="0" collapsed="false">
      <c r="A14" s="122"/>
      <c r="B14" s="122"/>
      <c r="C14" s="122"/>
      <c r="D14" s="124"/>
      <c r="E14" s="122"/>
      <c r="F14" s="122"/>
      <c r="G14" s="136"/>
      <c r="H14" s="135"/>
      <c r="I14" s="122"/>
      <c r="J14" s="128"/>
      <c r="K14" s="128"/>
    </row>
    <row r="15" customFormat="false" ht="12.75" hidden="false" customHeight="false" outlineLevel="0" collapsed="false">
      <c r="A15" s="141"/>
      <c r="B15" s="141"/>
      <c r="C15" s="141"/>
      <c r="D15" s="141"/>
      <c r="E15" s="141"/>
      <c r="F15" s="141"/>
      <c r="G15" s="141"/>
      <c r="H15" s="141"/>
      <c r="I15" s="141"/>
      <c r="J15" s="142"/>
      <c r="K15" s="142"/>
    </row>
    <row r="17" customFormat="false" ht="12.75" hidden="false" customHeight="false" outlineLevel="0" collapsed="false">
      <c r="A17" s="105" t="s">
        <v>139</v>
      </c>
    </row>
    <row r="19" customFormat="false" ht="12.75" hidden="false" customHeight="false" outlineLevel="0" collapsed="false">
      <c r="A19" s="184" t="n">
        <v>37226</v>
      </c>
      <c r="B19" s="0" t="n">
        <v>4.785</v>
      </c>
    </row>
    <row r="20" customFormat="false" ht="12.75" hidden="false" customHeight="false" outlineLevel="0" collapsed="false">
      <c r="A20" s="184" t="n">
        <v>37438</v>
      </c>
      <c r="B20" s="168" t="n">
        <v>4.042</v>
      </c>
    </row>
    <row r="21" customFormat="false" ht="12.75" hidden="false" customHeight="false" outlineLevel="0" collapsed="false">
      <c r="A21" s="184"/>
      <c r="B21" s="0" t="n">
        <f aca="false">+B19-B20</f>
        <v>0.743</v>
      </c>
      <c r="C21" s="0" t="s">
        <v>131</v>
      </c>
    </row>
  </sheetData>
  <mergeCells count="5">
    <mergeCell ref="A1:K1"/>
    <mergeCell ref="A2:K2"/>
    <mergeCell ref="A3:K3"/>
    <mergeCell ref="A4:K4"/>
    <mergeCell ref="I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7" activeCellId="0" sqref="A17:IV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4.56"/>
    <col collapsed="false" customWidth="true" hidden="false" outlineLevel="0" max="4" min="4" style="0" width="10.71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4.28"/>
    <col collapsed="false" customWidth="true" hidden="false" outlineLevel="0" max="8" min="8" style="0" width="10.71"/>
    <col collapsed="false" customWidth="true" hidden="false" outlineLevel="0" max="9" min="9" style="0" width="14.99"/>
    <col collapsed="false" customWidth="true" hidden="false" outlineLevel="0" max="10" min="10" style="0" width="13.41"/>
    <col collapsed="false" customWidth="true" hidden="false" outlineLevel="0" max="11" min="11" style="0" width="14.99"/>
  </cols>
  <sheetData>
    <row r="1" customFormat="false" ht="15" hidden="false" customHeight="false" outlineLevel="0" collapsed="false">
      <c r="A1" s="107" t="s">
        <v>100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customFormat="false" ht="15" hidden="false" customHeight="false" outlineLevel="0" collapsed="false">
      <c r="A2" s="107" t="s">
        <v>87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customFormat="false" ht="15.75" hidden="false" customHeight="false" outlineLevel="0" collapsed="false">
      <c r="A3" s="107" t="s">
        <v>137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4" customFormat="false" ht="15.75" hidden="false" customHeight="false" outlineLevel="0" collapsed="false">
      <c r="A4" s="144" t="s">
        <v>140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</row>
    <row r="6" customFormat="false" ht="12.75" hidden="false" customHeight="false" outlineLevel="0" collapsed="false">
      <c r="A6" s="110" t="s">
        <v>89</v>
      </c>
      <c r="B6" s="111" t="s">
        <v>8</v>
      </c>
      <c r="C6" s="111" t="s">
        <v>8</v>
      </c>
      <c r="D6" s="111" t="s">
        <v>128</v>
      </c>
      <c r="E6" s="111"/>
      <c r="F6" s="111" t="s">
        <v>91</v>
      </c>
      <c r="G6" s="111" t="s">
        <v>120</v>
      </c>
      <c r="H6" s="111" t="s">
        <v>28</v>
      </c>
      <c r="I6" s="112" t="s">
        <v>93</v>
      </c>
      <c r="J6" s="112"/>
      <c r="K6" s="112"/>
    </row>
    <row r="7" customFormat="false" ht="12.75" hidden="false" customHeight="false" outlineLevel="0" collapsed="false">
      <c r="A7" s="113" t="s">
        <v>22</v>
      </c>
      <c r="B7" s="114" t="s">
        <v>18</v>
      </c>
      <c r="C7" s="114" t="s">
        <v>17</v>
      </c>
      <c r="D7" s="114" t="s">
        <v>23</v>
      </c>
      <c r="E7" s="114"/>
      <c r="F7" s="114" t="s">
        <v>94</v>
      </c>
      <c r="G7" s="114" t="s">
        <v>23</v>
      </c>
      <c r="H7" s="114" t="s">
        <v>23</v>
      </c>
      <c r="I7" s="114" t="s">
        <v>30</v>
      </c>
      <c r="J7" s="114" t="s">
        <v>31</v>
      </c>
      <c r="K7" s="115" t="s">
        <v>32</v>
      </c>
    </row>
    <row r="8" customFormat="false" ht="12.75" hidden="false" customHeight="false" outlineLevel="0" collapsed="false">
      <c r="A8" s="116"/>
      <c r="B8" s="117"/>
      <c r="C8" s="117"/>
      <c r="D8" s="117"/>
      <c r="E8" s="117"/>
      <c r="F8" s="117"/>
      <c r="G8" s="118"/>
      <c r="H8" s="119"/>
      <c r="I8" s="119" t="s">
        <v>96</v>
      </c>
      <c r="J8" s="119" t="s">
        <v>96</v>
      </c>
      <c r="K8" s="120" t="s">
        <v>96</v>
      </c>
    </row>
    <row r="9" customFormat="false" ht="12.75" hidden="false" customHeight="false" outlineLevel="0" collapsed="false">
      <c r="A9" s="121" t="n">
        <v>36831</v>
      </c>
      <c r="B9" s="122"/>
      <c r="C9" s="123" t="s">
        <v>133</v>
      </c>
      <c r="D9" s="124" t="n">
        <v>1</v>
      </c>
      <c r="E9" s="122"/>
      <c r="F9" s="125" t="n">
        <v>155000</v>
      </c>
      <c r="G9" s="124" t="n">
        <f aca="false">+[4]Curves!$C$23-[4]Curves!$C$30</f>
        <v>0.743</v>
      </c>
      <c r="H9" s="124" t="n">
        <f aca="false">+G9-D9</f>
        <v>-0.257</v>
      </c>
      <c r="I9" s="126"/>
      <c r="J9" s="127" t="n">
        <f aca="false">+I9</f>
        <v>0</v>
      </c>
      <c r="K9" s="127"/>
    </row>
    <row r="10" customFormat="false" ht="12.75" hidden="false" customHeight="false" outlineLevel="0" collapsed="false">
      <c r="A10" s="121"/>
      <c r="B10" s="122"/>
      <c r="C10" s="123"/>
      <c r="D10" s="124"/>
      <c r="E10" s="122"/>
      <c r="F10" s="125"/>
      <c r="G10" s="122"/>
      <c r="H10" s="124"/>
      <c r="I10" s="126"/>
      <c r="J10" s="127"/>
      <c r="K10" s="127"/>
    </row>
    <row r="11" customFormat="false" ht="12.75" hidden="false" customHeight="false" outlineLevel="0" collapsed="false">
      <c r="A11" s="121"/>
      <c r="B11" s="122"/>
      <c r="C11" s="123"/>
      <c r="D11" s="124"/>
      <c r="E11" s="122"/>
      <c r="F11" s="125"/>
      <c r="G11" s="122"/>
      <c r="H11" s="124"/>
      <c r="I11" s="126"/>
      <c r="J11" s="127"/>
      <c r="K11" s="127"/>
    </row>
    <row r="12" customFormat="false" ht="13.5" hidden="false" customHeight="false" outlineLevel="0" collapsed="false">
      <c r="A12" s="122"/>
      <c r="B12" s="122"/>
      <c r="C12" s="122"/>
      <c r="D12" s="122"/>
      <c r="E12" s="122"/>
      <c r="F12" s="139" t="n">
        <f aca="false">SUM(F9:F11)</f>
        <v>155000</v>
      </c>
      <c r="G12" s="122"/>
      <c r="H12" s="183"/>
      <c r="I12" s="173" t="n">
        <f aca="false">SUM(I9:I11)</f>
        <v>0</v>
      </c>
      <c r="J12" s="173" t="n">
        <f aca="false">SUM(J9:J11)</f>
        <v>0</v>
      </c>
      <c r="K12" s="173" t="n">
        <f aca="false">SUM(K9:K11)</f>
        <v>0</v>
      </c>
    </row>
    <row r="13" customFormat="false" ht="13.5" hidden="false" customHeight="false" outlineLevel="0" collapsed="false">
      <c r="A13" s="122"/>
      <c r="B13" s="122"/>
      <c r="C13" s="122"/>
      <c r="D13" s="122"/>
      <c r="E13" s="122"/>
      <c r="F13" s="131"/>
      <c r="G13" s="122"/>
      <c r="H13" s="122"/>
      <c r="I13" s="132"/>
      <c r="J13" s="133"/>
      <c r="K13" s="133"/>
    </row>
    <row r="14" customFormat="false" ht="12.75" hidden="false" customHeight="false" outlineLevel="0" collapsed="false">
      <c r="A14" s="122"/>
      <c r="B14" s="122"/>
      <c r="C14" s="122"/>
      <c r="D14" s="124"/>
      <c r="E14" s="122"/>
      <c r="F14" s="122"/>
      <c r="G14" s="136"/>
      <c r="H14" s="135"/>
      <c r="I14" s="122"/>
      <c r="J14" s="128"/>
      <c r="K14" s="128"/>
    </row>
    <row r="15" customFormat="false" ht="12.75" hidden="false" customHeight="false" outlineLevel="0" collapsed="false">
      <c r="A15" s="141"/>
      <c r="B15" s="141"/>
      <c r="C15" s="141"/>
      <c r="D15" s="141"/>
      <c r="E15" s="141"/>
      <c r="F15" s="141"/>
      <c r="G15" s="141"/>
      <c r="H15" s="141"/>
      <c r="I15" s="141"/>
      <c r="J15" s="142"/>
      <c r="K15" s="142"/>
    </row>
    <row r="17" customFormat="false" ht="12.75" hidden="false" customHeight="false" outlineLevel="0" collapsed="false">
      <c r="A17" s="105" t="s">
        <v>139</v>
      </c>
    </row>
    <row r="19" customFormat="false" ht="12.75" hidden="false" customHeight="false" outlineLevel="0" collapsed="false">
      <c r="A19" s="184" t="n">
        <v>37226</v>
      </c>
      <c r="B19" s="0" t="n">
        <v>4.785</v>
      </c>
    </row>
    <row r="20" customFormat="false" ht="12.75" hidden="false" customHeight="false" outlineLevel="0" collapsed="false">
      <c r="A20" s="184" t="n">
        <v>37438</v>
      </c>
      <c r="B20" s="168" t="n">
        <v>4.042</v>
      </c>
    </row>
    <row r="21" customFormat="false" ht="12.75" hidden="false" customHeight="false" outlineLevel="0" collapsed="false">
      <c r="A21" s="184"/>
      <c r="B21" s="0" t="n">
        <f aca="false">+B19-B20</f>
        <v>0.743</v>
      </c>
      <c r="C21" s="0" t="s">
        <v>131</v>
      </c>
    </row>
  </sheetData>
  <mergeCells count="5">
    <mergeCell ref="A1:K1"/>
    <mergeCell ref="A2:K2"/>
    <mergeCell ref="A3:K3"/>
    <mergeCell ref="A4:K4"/>
    <mergeCell ref="I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3" activeCellId="0" sqref="F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0.71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4.28"/>
    <col collapsed="false" customWidth="true" hidden="false" outlineLevel="0" max="8" min="8" style="0" width="10.71"/>
    <col collapsed="false" customWidth="true" hidden="false" outlineLevel="0" max="9" min="9" style="0" width="14.99"/>
    <col collapsed="false" customWidth="true" hidden="false" outlineLevel="0" max="10" min="10" style="0" width="13.41"/>
    <col collapsed="false" customWidth="true" hidden="false" outlineLevel="0" max="11" min="11" style="0" width="14.99"/>
  </cols>
  <sheetData>
    <row r="1" customFormat="false" ht="15" hidden="false" customHeight="false" outlineLevel="0" collapsed="false">
      <c r="A1" s="107" t="s">
        <v>86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customFormat="false" ht="15" hidden="false" customHeight="false" outlineLevel="0" collapsed="false">
      <c r="A2" s="107" t="s">
        <v>87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customFormat="false" ht="15.75" hidden="false" customHeight="false" outlineLevel="0" collapsed="false">
      <c r="A3" s="107" t="s">
        <v>141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4" customFormat="false" ht="15.75" hidden="false" customHeight="false" outlineLevel="0" collapsed="false">
      <c r="A4" s="108"/>
      <c r="B4" s="108"/>
      <c r="C4" s="108"/>
      <c r="D4" s="108"/>
      <c r="E4" s="108"/>
      <c r="F4" s="108"/>
      <c r="G4" s="108"/>
      <c r="H4" s="108"/>
      <c r="I4" s="108"/>
      <c r="J4" s="109"/>
      <c r="K4" s="109"/>
    </row>
    <row r="6" customFormat="false" ht="12.75" hidden="false" customHeight="false" outlineLevel="0" collapsed="false">
      <c r="A6" s="110" t="s">
        <v>89</v>
      </c>
      <c r="B6" s="111" t="s">
        <v>8</v>
      </c>
      <c r="C6" s="111" t="s">
        <v>8</v>
      </c>
      <c r="D6" s="111" t="s">
        <v>90</v>
      </c>
      <c r="E6" s="111"/>
      <c r="F6" s="111" t="s">
        <v>91</v>
      </c>
      <c r="G6" s="111" t="s">
        <v>68</v>
      </c>
      <c r="H6" s="111" t="s">
        <v>28</v>
      </c>
      <c r="I6" s="112" t="s">
        <v>93</v>
      </c>
      <c r="J6" s="112"/>
      <c r="K6" s="112"/>
    </row>
    <row r="7" customFormat="false" ht="12.75" hidden="false" customHeight="false" outlineLevel="0" collapsed="false">
      <c r="A7" s="113" t="s">
        <v>22</v>
      </c>
      <c r="B7" s="114" t="s">
        <v>18</v>
      </c>
      <c r="C7" s="114" t="s">
        <v>17</v>
      </c>
      <c r="D7" s="114" t="s">
        <v>23</v>
      </c>
      <c r="E7" s="114"/>
      <c r="F7" s="114" t="s">
        <v>94</v>
      </c>
      <c r="G7" s="114" t="s">
        <v>23</v>
      </c>
      <c r="H7" s="114" t="s">
        <v>23</v>
      </c>
      <c r="I7" s="114" t="s">
        <v>30</v>
      </c>
      <c r="J7" s="114" t="s">
        <v>31</v>
      </c>
      <c r="K7" s="115" t="s">
        <v>32</v>
      </c>
    </row>
    <row r="8" customFormat="false" ht="12.75" hidden="false" customHeight="false" outlineLevel="0" collapsed="false">
      <c r="A8" s="116"/>
      <c r="B8" s="117"/>
      <c r="C8" s="117"/>
      <c r="D8" s="117"/>
      <c r="E8" s="117"/>
      <c r="F8" s="117"/>
      <c r="G8" s="118" t="s">
        <v>95</v>
      </c>
      <c r="H8" s="119"/>
      <c r="I8" s="119" t="s">
        <v>96</v>
      </c>
      <c r="J8" s="119" t="s">
        <v>96</v>
      </c>
      <c r="K8" s="120" t="s">
        <v>96</v>
      </c>
    </row>
    <row r="9" customFormat="false" ht="12.75" hidden="false" customHeight="false" outlineLevel="0" collapsed="false">
      <c r="A9" s="121" t="n">
        <v>36892</v>
      </c>
      <c r="B9" s="122"/>
      <c r="C9" s="123" t="s">
        <v>76</v>
      </c>
      <c r="D9" s="124" t="n">
        <v>0.1</v>
      </c>
      <c r="E9" s="122"/>
      <c r="F9" s="125" t="n">
        <f aca="false">-5000*31</f>
        <v>-155000</v>
      </c>
      <c r="G9" s="124"/>
      <c r="H9" s="124"/>
      <c r="I9" s="126" t="n">
        <f aca="false">-F9*D9</f>
        <v>15500</v>
      </c>
      <c r="J9" s="127" t="n">
        <f aca="false">+I9</f>
        <v>15500</v>
      </c>
      <c r="K9" s="127"/>
    </row>
    <row r="10" customFormat="false" ht="12.75" hidden="false" customHeight="false" outlineLevel="0" collapsed="false">
      <c r="A10" s="121" t="n">
        <v>36923</v>
      </c>
      <c r="B10" s="122"/>
      <c r="C10" s="123" t="s">
        <v>76</v>
      </c>
      <c r="D10" s="124" t="n">
        <v>0.1</v>
      </c>
      <c r="E10" s="122"/>
      <c r="F10" s="125" t="n">
        <f aca="false">-5000*28</f>
        <v>-140000</v>
      </c>
      <c r="G10" s="124"/>
      <c r="H10" s="124"/>
      <c r="I10" s="126" t="n">
        <f aca="false">-F10*D10</f>
        <v>14000</v>
      </c>
      <c r="J10" s="127" t="n">
        <f aca="false">+I10</f>
        <v>14000</v>
      </c>
      <c r="K10" s="127"/>
    </row>
    <row r="11" customFormat="false" ht="12.75" hidden="false" customHeight="false" outlineLevel="0" collapsed="false">
      <c r="A11" s="121" t="n">
        <v>36951</v>
      </c>
      <c r="B11" s="122"/>
      <c r="C11" s="123" t="s">
        <v>76</v>
      </c>
      <c r="D11" s="124" t="n">
        <v>0.1</v>
      </c>
      <c r="E11" s="122"/>
      <c r="F11" s="125" t="n">
        <f aca="false">-5000*31</f>
        <v>-155000</v>
      </c>
      <c r="G11" s="124"/>
      <c r="H11" s="124"/>
      <c r="I11" s="126" t="n">
        <f aca="false">-F11*D11</f>
        <v>15500</v>
      </c>
      <c r="J11" s="127" t="n">
        <f aca="false">+I11</f>
        <v>15500</v>
      </c>
      <c r="K11" s="127"/>
    </row>
    <row r="12" customFormat="false" ht="12.75" hidden="false" customHeight="false" outlineLevel="0" collapsed="false">
      <c r="A12" s="121" t="n">
        <v>36982</v>
      </c>
      <c r="B12" s="122"/>
      <c r="C12" s="123" t="s">
        <v>76</v>
      </c>
      <c r="D12" s="124" t="n">
        <v>0.1</v>
      </c>
      <c r="E12" s="122"/>
      <c r="F12" s="125" t="n">
        <f aca="false">-5000*30</f>
        <v>-150000</v>
      </c>
      <c r="G12" s="124"/>
      <c r="H12" s="124"/>
      <c r="I12" s="126" t="n">
        <f aca="false">-F12*D12</f>
        <v>15000</v>
      </c>
      <c r="J12" s="127" t="n">
        <f aca="false">+I12</f>
        <v>15000</v>
      </c>
      <c r="K12" s="127"/>
    </row>
    <row r="13" customFormat="false" ht="12.75" hidden="false" customHeight="false" outlineLevel="0" collapsed="false">
      <c r="A13" s="121" t="n">
        <v>37012</v>
      </c>
      <c r="B13" s="122"/>
      <c r="C13" s="123" t="s">
        <v>76</v>
      </c>
      <c r="D13" s="124" t="n">
        <v>0.1</v>
      </c>
      <c r="E13" s="122"/>
      <c r="F13" s="125" t="n">
        <f aca="false">-5000*31</f>
        <v>-155000</v>
      </c>
      <c r="G13" s="122"/>
      <c r="H13" s="124"/>
      <c r="I13" s="126" t="n">
        <f aca="false">-F13*D13</f>
        <v>15500</v>
      </c>
      <c r="J13" s="127" t="n">
        <f aca="false">+I13</f>
        <v>15500</v>
      </c>
      <c r="K13" s="127"/>
    </row>
    <row r="14" customFormat="false" ht="12.75" hidden="false" customHeight="false" outlineLevel="0" collapsed="false">
      <c r="A14" s="121" t="n">
        <v>37043</v>
      </c>
      <c r="B14" s="122"/>
      <c r="C14" s="123" t="s">
        <v>76</v>
      </c>
      <c r="D14" s="124" t="n">
        <v>0.1</v>
      </c>
      <c r="E14" s="122"/>
      <c r="F14" s="125" t="n">
        <f aca="false">-5000*30</f>
        <v>-150000</v>
      </c>
      <c r="G14" s="122"/>
      <c r="H14" s="124"/>
      <c r="I14" s="126" t="n">
        <f aca="false">-F14*D14</f>
        <v>15000</v>
      </c>
      <c r="J14" s="127" t="n">
        <f aca="false">+I14</f>
        <v>15000</v>
      </c>
      <c r="K14" s="127"/>
    </row>
    <row r="15" customFormat="false" ht="12.75" hidden="false" customHeight="false" outlineLevel="0" collapsed="false">
      <c r="A15" s="121" t="n">
        <v>37073</v>
      </c>
      <c r="B15" s="122"/>
      <c r="C15" s="123" t="s">
        <v>76</v>
      </c>
      <c r="D15" s="124" t="n">
        <v>0.1</v>
      </c>
      <c r="E15" s="122"/>
      <c r="F15" s="125" t="n">
        <f aca="false">-5000*31</f>
        <v>-155000</v>
      </c>
      <c r="G15" s="122"/>
      <c r="H15" s="124"/>
      <c r="I15" s="126" t="n">
        <f aca="false">-F15*D15</f>
        <v>15500</v>
      </c>
      <c r="J15" s="127" t="n">
        <f aca="false">+I15</f>
        <v>15500</v>
      </c>
      <c r="K15" s="127"/>
    </row>
    <row r="16" customFormat="false" ht="12.75" hidden="false" customHeight="false" outlineLevel="0" collapsed="false">
      <c r="A16" s="121" t="n">
        <v>37104</v>
      </c>
      <c r="B16" s="122"/>
      <c r="C16" s="123" t="s">
        <v>76</v>
      </c>
      <c r="D16" s="124" t="n">
        <v>0.1</v>
      </c>
      <c r="E16" s="122"/>
      <c r="F16" s="125" t="n">
        <f aca="false">-5000*31</f>
        <v>-155000</v>
      </c>
      <c r="G16" s="122"/>
      <c r="H16" s="124"/>
      <c r="I16" s="126" t="n">
        <f aca="false">-F16*D16</f>
        <v>15500</v>
      </c>
      <c r="J16" s="127" t="n">
        <f aca="false">+I16</f>
        <v>15500</v>
      </c>
      <c r="K16" s="127"/>
    </row>
    <row r="17" customFormat="false" ht="12.75" hidden="false" customHeight="false" outlineLevel="0" collapsed="false">
      <c r="A17" s="121" t="n">
        <v>37135</v>
      </c>
      <c r="B17" s="122"/>
      <c r="C17" s="123" t="s">
        <v>76</v>
      </c>
      <c r="D17" s="124" t="n">
        <v>0.1</v>
      </c>
      <c r="E17" s="122"/>
      <c r="F17" s="125" t="n">
        <f aca="false">-5000*30</f>
        <v>-150000</v>
      </c>
      <c r="G17" s="122"/>
      <c r="H17" s="124"/>
      <c r="I17" s="126" t="n">
        <f aca="false">-F17*D17</f>
        <v>15000</v>
      </c>
      <c r="J17" s="127" t="n">
        <f aca="false">+I17</f>
        <v>15000</v>
      </c>
      <c r="K17" s="127"/>
    </row>
    <row r="18" customFormat="false" ht="12.75" hidden="false" customHeight="false" outlineLevel="0" collapsed="false">
      <c r="A18" s="121" t="n">
        <v>37165</v>
      </c>
      <c r="B18" s="122"/>
      <c r="C18" s="123" t="s">
        <v>76</v>
      </c>
      <c r="D18" s="124" t="n">
        <v>0.1</v>
      </c>
      <c r="E18" s="122"/>
      <c r="F18" s="125" t="n">
        <f aca="false">-5000*31</f>
        <v>-155000</v>
      </c>
      <c r="G18" s="122"/>
      <c r="H18" s="124"/>
      <c r="I18" s="126" t="n">
        <f aca="false">-F18*D18</f>
        <v>15500</v>
      </c>
      <c r="J18" s="127" t="n">
        <f aca="false">+I18</f>
        <v>15500</v>
      </c>
      <c r="K18" s="127"/>
    </row>
    <row r="19" customFormat="false" ht="12.75" hidden="false" customHeight="false" outlineLevel="0" collapsed="false">
      <c r="A19" s="121" t="n">
        <v>37196</v>
      </c>
      <c r="B19" s="122"/>
      <c r="C19" s="123" t="s">
        <v>76</v>
      </c>
      <c r="D19" s="124" t="n">
        <v>0.1</v>
      </c>
      <c r="E19" s="122"/>
      <c r="F19" s="125" t="n">
        <f aca="false">-5000*30</f>
        <v>-150000</v>
      </c>
      <c r="G19" s="122"/>
      <c r="H19" s="124"/>
      <c r="I19" s="126" t="n">
        <f aca="false">-F19*D19</f>
        <v>15000</v>
      </c>
      <c r="J19" s="127" t="n">
        <f aca="false">+I19</f>
        <v>15000</v>
      </c>
      <c r="K19" s="127"/>
    </row>
    <row r="20" customFormat="false" ht="12.75" hidden="false" customHeight="false" outlineLevel="0" collapsed="false">
      <c r="A20" s="121" t="n">
        <v>37226</v>
      </c>
      <c r="B20" s="122"/>
      <c r="C20" s="123" t="s">
        <v>76</v>
      </c>
      <c r="D20" s="124" t="n">
        <v>0.1</v>
      </c>
      <c r="E20" s="122"/>
      <c r="F20" s="125" t="n">
        <f aca="false">-5000*31</f>
        <v>-155000</v>
      </c>
      <c r="G20" s="122"/>
      <c r="H20" s="124"/>
      <c r="I20" s="126" t="n">
        <f aca="false">-F20*D20</f>
        <v>15500</v>
      </c>
      <c r="J20" s="127" t="n">
        <f aca="false">+I20</f>
        <v>15500</v>
      </c>
      <c r="K20" s="127"/>
    </row>
    <row r="21" customFormat="false" ht="12.75" hidden="false" customHeight="false" outlineLevel="0" collapsed="false">
      <c r="A21" s="121"/>
      <c r="B21" s="122"/>
      <c r="C21" s="123"/>
      <c r="D21" s="124"/>
      <c r="E21" s="122"/>
      <c r="F21" s="125"/>
      <c r="H21" s="124"/>
      <c r="I21" s="126"/>
      <c r="J21" s="128"/>
      <c r="K21" s="127"/>
    </row>
    <row r="22" customFormat="false" ht="12.75" hidden="false" customHeight="false" outlineLevel="0" collapsed="false">
      <c r="A22" s="122"/>
      <c r="B22" s="122"/>
      <c r="C22" s="122"/>
      <c r="D22" s="122"/>
      <c r="E22" s="122"/>
      <c r="F22" s="129" t="n">
        <f aca="false">SUM(F9:F20)</f>
        <v>-1825000</v>
      </c>
      <c r="G22" s="122"/>
      <c r="H22" s="183"/>
      <c r="I22" s="130" t="n">
        <f aca="false">SUM(I9:I20)</f>
        <v>182500</v>
      </c>
      <c r="J22" s="130" t="n">
        <f aca="false">SUM(J9:J20)</f>
        <v>182500</v>
      </c>
      <c r="K22" s="130" t="n">
        <f aca="false">SUM(K9:K20)</f>
        <v>0</v>
      </c>
    </row>
    <row r="23" customFormat="false" ht="12.75" hidden="false" customHeight="false" outlineLevel="0" collapsed="false">
      <c r="A23" s="122"/>
      <c r="B23" s="122"/>
      <c r="C23" s="122"/>
      <c r="D23" s="122"/>
      <c r="E23" s="122"/>
      <c r="F23" s="131"/>
      <c r="G23" s="122"/>
      <c r="H23" s="122"/>
      <c r="I23" s="132"/>
      <c r="J23" s="133"/>
      <c r="K23" s="133"/>
    </row>
    <row r="24" customFormat="false" ht="12.75" hidden="false" customHeight="false" outlineLevel="0" collapsed="false">
      <c r="A24" s="122"/>
      <c r="B24" s="122"/>
      <c r="C24" s="122"/>
      <c r="D24" s="122"/>
      <c r="E24" s="122"/>
      <c r="F24" s="122"/>
      <c r="G24" s="134" t="s">
        <v>142</v>
      </c>
      <c r="H24" s="135"/>
      <c r="I24" s="122"/>
      <c r="J24" s="128"/>
      <c r="K24" s="128"/>
    </row>
    <row r="25" customFormat="false" ht="12.75" hidden="false" customHeight="false" outlineLevel="0" collapsed="false">
      <c r="A25" s="122"/>
      <c r="B25" s="122"/>
      <c r="C25" s="122"/>
      <c r="D25" s="124"/>
      <c r="E25" s="122"/>
      <c r="F25" s="122"/>
      <c r="G25" s="136"/>
      <c r="H25" s="135"/>
      <c r="I25" s="122"/>
      <c r="J25" s="128"/>
      <c r="K25" s="128"/>
    </row>
    <row r="26" customFormat="false" ht="12.75" hidden="false" customHeight="false" outlineLevel="0" collapsed="false">
      <c r="A26" s="121" t="n">
        <v>36892</v>
      </c>
      <c r="B26" s="122"/>
      <c r="C26" s="123" t="s">
        <v>98</v>
      </c>
      <c r="D26" s="124" t="n">
        <v>3</v>
      </c>
      <c r="E26" s="122"/>
      <c r="F26" s="125" t="n">
        <f aca="false">5000*31</f>
        <v>155000</v>
      </c>
      <c r="G26" s="124"/>
      <c r="H26" s="124" t="e">
        <f aca="false">+'[5]'!$R12</f>
        <v>#N/A</v>
      </c>
      <c r="I26" s="126" t="e">
        <f aca="false">(+D26-H26)*F26</f>
        <v>#N/A</v>
      </c>
      <c r="J26" s="127"/>
      <c r="K26" s="127" t="e">
        <f aca="false">+I26</f>
        <v>#N/A</v>
      </c>
    </row>
    <row r="27" customFormat="false" ht="12.75" hidden="false" customHeight="false" outlineLevel="0" collapsed="false">
      <c r="A27" s="121" t="n">
        <v>36923</v>
      </c>
      <c r="B27" s="122"/>
      <c r="C27" s="123" t="s">
        <v>98</v>
      </c>
      <c r="D27" s="124" t="n">
        <v>3</v>
      </c>
      <c r="E27" s="122"/>
      <c r="F27" s="125" t="n">
        <f aca="false">5000*28</f>
        <v>140000</v>
      </c>
      <c r="G27" s="124"/>
      <c r="H27" s="124" t="e">
        <f aca="false">+'[5]'!$R13</f>
        <v>#N/A</v>
      </c>
      <c r="I27" s="126" t="e">
        <f aca="false">(+D27-H27)*F27</f>
        <v>#N/A</v>
      </c>
      <c r="J27" s="127"/>
      <c r="K27" s="127" t="e">
        <f aca="false">+I27</f>
        <v>#N/A</v>
      </c>
    </row>
    <row r="28" customFormat="false" ht="12.75" hidden="false" customHeight="false" outlineLevel="0" collapsed="false">
      <c r="A28" s="121" t="n">
        <v>36951</v>
      </c>
      <c r="B28" s="122"/>
      <c r="C28" s="123" t="s">
        <v>98</v>
      </c>
      <c r="D28" s="124" t="n">
        <v>3</v>
      </c>
      <c r="E28" s="122"/>
      <c r="F28" s="125" t="n">
        <f aca="false">5000*31</f>
        <v>155000</v>
      </c>
      <c r="G28" s="124"/>
      <c r="H28" s="124" t="e">
        <f aca="false">+'[5]'!$R14</f>
        <v>#N/A</v>
      </c>
      <c r="I28" s="126" t="e">
        <f aca="false">(+D28-H28)*F28</f>
        <v>#N/A</v>
      </c>
      <c r="J28" s="127"/>
      <c r="K28" s="127" t="e">
        <f aca="false">+I28</f>
        <v>#N/A</v>
      </c>
    </row>
    <row r="29" customFormat="false" ht="12.75" hidden="false" customHeight="false" outlineLevel="0" collapsed="false">
      <c r="A29" s="121" t="n">
        <v>36982</v>
      </c>
      <c r="B29" s="122"/>
      <c r="C29" s="123" t="s">
        <v>98</v>
      </c>
      <c r="D29" s="124" t="n">
        <v>3</v>
      </c>
      <c r="E29" s="122"/>
      <c r="F29" s="125" t="n">
        <f aca="false">5000*30</f>
        <v>150000</v>
      </c>
      <c r="G29" s="124"/>
      <c r="H29" s="124" t="e">
        <f aca="false">+'[5]'!$R15</f>
        <v>#N/A</v>
      </c>
      <c r="I29" s="126" t="e">
        <f aca="false">(+D29-H29)*F29</f>
        <v>#N/A</v>
      </c>
      <c r="J29" s="127"/>
      <c r="K29" s="127" t="e">
        <f aca="false">+I29</f>
        <v>#N/A</v>
      </c>
    </row>
    <row r="30" customFormat="false" ht="12.75" hidden="false" customHeight="false" outlineLevel="0" collapsed="false">
      <c r="A30" s="121" t="n">
        <v>37012</v>
      </c>
      <c r="B30" s="122"/>
      <c r="C30" s="123" t="s">
        <v>98</v>
      </c>
      <c r="D30" s="124" t="n">
        <v>3</v>
      </c>
      <c r="E30" s="122"/>
      <c r="F30" s="125" t="n">
        <f aca="false">5000*31</f>
        <v>155000</v>
      </c>
      <c r="G30" s="122"/>
      <c r="H30" s="124" t="e">
        <f aca="false">+'[5]'!$R16</f>
        <v>#N/A</v>
      </c>
      <c r="I30" s="126" t="e">
        <f aca="false">(+D30-H30)*F30</f>
        <v>#N/A</v>
      </c>
      <c r="J30" s="128"/>
      <c r="K30" s="127" t="e">
        <f aca="false">+I30</f>
        <v>#N/A</v>
      </c>
    </row>
    <row r="31" customFormat="false" ht="12.75" hidden="false" customHeight="false" outlineLevel="0" collapsed="false">
      <c r="A31" s="121" t="n">
        <v>37043</v>
      </c>
      <c r="B31" s="122"/>
      <c r="C31" s="123" t="s">
        <v>98</v>
      </c>
      <c r="D31" s="124" t="n">
        <v>3</v>
      </c>
      <c r="E31" s="122"/>
      <c r="F31" s="125" t="n">
        <f aca="false">5000*30</f>
        <v>150000</v>
      </c>
      <c r="G31" s="122"/>
      <c r="H31" s="124" t="e">
        <f aca="false">+'[5]'!$R17</f>
        <v>#N/A</v>
      </c>
      <c r="I31" s="126" t="e">
        <f aca="false">(+D31-H31)*F31</f>
        <v>#N/A</v>
      </c>
      <c r="J31" s="128"/>
      <c r="K31" s="127" t="e">
        <f aca="false">+I31</f>
        <v>#N/A</v>
      </c>
    </row>
    <row r="32" customFormat="false" ht="12.75" hidden="false" customHeight="false" outlineLevel="0" collapsed="false">
      <c r="A32" s="121" t="n">
        <v>37073</v>
      </c>
      <c r="B32" s="122"/>
      <c r="C32" s="123" t="s">
        <v>98</v>
      </c>
      <c r="D32" s="124" t="n">
        <v>3</v>
      </c>
      <c r="E32" s="122"/>
      <c r="F32" s="125" t="n">
        <f aca="false">5000*31</f>
        <v>155000</v>
      </c>
      <c r="G32" s="122"/>
      <c r="H32" s="124" t="e">
        <f aca="false">+'[5]'!$R18</f>
        <v>#N/A</v>
      </c>
      <c r="I32" s="126" t="e">
        <f aca="false">(+D32-H32)*F32</f>
        <v>#N/A</v>
      </c>
      <c r="J32" s="128"/>
      <c r="K32" s="127" t="e">
        <f aca="false">+I32</f>
        <v>#N/A</v>
      </c>
    </row>
    <row r="33" customFormat="false" ht="12.75" hidden="false" customHeight="false" outlineLevel="0" collapsed="false">
      <c r="A33" s="121" t="n">
        <v>37104</v>
      </c>
      <c r="B33" s="122"/>
      <c r="C33" s="123" t="s">
        <v>98</v>
      </c>
      <c r="D33" s="124" t="n">
        <v>3</v>
      </c>
      <c r="E33" s="122"/>
      <c r="F33" s="125" t="n">
        <f aca="false">5000*31</f>
        <v>155000</v>
      </c>
      <c r="G33" s="122"/>
      <c r="H33" s="124" t="e">
        <f aca="false">+'[5]'!$R19</f>
        <v>#N/A</v>
      </c>
      <c r="I33" s="126" t="e">
        <f aca="false">(+D33-H33)*F33</f>
        <v>#N/A</v>
      </c>
      <c r="J33" s="128"/>
      <c r="K33" s="127" t="e">
        <f aca="false">+I33</f>
        <v>#N/A</v>
      </c>
    </row>
    <row r="34" customFormat="false" ht="12.75" hidden="false" customHeight="false" outlineLevel="0" collapsed="false">
      <c r="A34" s="121" t="n">
        <v>37135</v>
      </c>
      <c r="B34" s="122"/>
      <c r="C34" s="123" t="s">
        <v>98</v>
      </c>
      <c r="D34" s="124" t="n">
        <v>3</v>
      </c>
      <c r="E34" s="122"/>
      <c r="F34" s="125" t="n">
        <f aca="false">5000*30</f>
        <v>150000</v>
      </c>
      <c r="G34" s="122"/>
      <c r="H34" s="124" t="e">
        <f aca="false">+'[5]'!$R20</f>
        <v>#N/A</v>
      </c>
      <c r="I34" s="126" t="e">
        <f aca="false">(+D34-H34)*F34</f>
        <v>#N/A</v>
      </c>
      <c r="J34" s="128"/>
      <c r="K34" s="127" t="e">
        <f aca="false">+I34</f>
        <v>#N/A</v>
      </c>
    </row>
    <row r="35" customFormat="false" ht="12.75" hidden="false" customHeight="false" outlineLevel="0" collapsed="false">
      <c r="A35" s="121" t="n">
        <v>37165</v>
      </c>
      <c r="B35" s="122"/>
      <c r="C35" s="123" t="s">
        <v>98</v>
      </c>
      <c r="D35" s="124" t="n">
        <v>3</v>
      </c>
      <c r="E35" s="122"/>
      <c r="F35" s="125" t="n">
        <f aca="false">5000*31</f>
        <v>155000</v>
      </c>
      <c r="G35" s="122"/>
      <c r="H35" s="124" t="e">
        <f aca="false">+'[5]'!$R21</f>
        <v>#N/A</v>
      </c>
      <c r="I35" s="126" t="e">
        <f aca="false">(+D35-H35)*F35</f>
        <v>#N/A</v>
      </c>
      <c r="J35" s="128"/>
      <c r="K35" s="127" t="e">
        <f aca="false">+I35</f>
        <v>#N/A</v>
      </c>
    </row>
    <row r="36" customFormat="false" ht="12.75" hidden="false" customHeight="false" outlineLevel="0" collapsed="false">
      <c r="A36" s="121" t="n">
        <v>37196</v>
      </c>
      <c r="B36" s="122"/>
      <c r="C36" s="123" t="s">
        <v>98</v>
      </c>
      <c r="D36" s="124" t="n">
        <v>3</v>
      </c>
      <c r="E36" s="122"/>
      <c r="F36" s="125" t="n">
        <f aca="false">5000*30</f>
        <v>150000</v>
      </c>
      <c r="G36" s="122"/>
      <c r="H36" s="124" t="e">
        <f aca="false">+'[5]'!$R22</f>
        <v>#N/A</v>
      </c>
      <c r="I36" s="126" t="e">
        <f aca="false">(+D36-H36)*F36</f>
        <v>#N/A</v>
      </c>
      <c r="J36" s="128"/>
      <c r="K36" s="127" t="e">
        <f aca="false">+I36</f>
        <v>#N/A</v>
      </c>
    </row>
    <row r="37" customFormat="false" ht="12.75" hidden="false" customHeight="false" outlineLevel="0" collapsed="false">
      <c r="A37" s="121" t="n">
        <v>37226</v>
      </c>
      <c r="B37" s="122"/>
      <c r="C37" s="123" t="s">
        <v>98</v>
      </c>
      <c r="D37" s="124" t="n">
        <v>3</v>
      </c>
      <c r="E37" s="122"/>
      <c r="F37" s="125" t="n">
        <f aca="false">5000*31</f>
        <v>155000</v>
      </c>
      <c r="G37" s="122"/>
      <c r="H37" s="124" t="e">
        <f aca="false">+'[5]'!$R23</f>
        <v>#N/A</v>
      </c>
      <c r="I37" s="126" t="e">
        <f aca="false">(+D37-H37)*F37</f>
        <v>#N/A</v>
      </c>
      <c r="J37" s="128"/>
      <c r="K37" s="127" t="e">
        <f aca="false">+I37</f>
        <v>#N/A</v>
      </c>
    </row>
    <row r="38" customFormat="false" ht="12.75" hidden="false" customHeight="false" outlineLevel="0" collapsed="false">
      <c r="A38" s="121"/>
      <c r="B38" s="122"/>
      <c r="C38" s="123"/>
      <c r="D38" s="124"/>
      <c r="E38" s="122"/>
      <c r="F38" s="125"/>
      <c r="G38" s="122"/>
      <c r="H38" s="124"/>
      <c r="I38" s="137"/>
      <c r="J38" s="128"/>
      <c r="K38" s="127"/>
    </row>
    <row r="39" customFormat="false" ht="12.75" hidden="false" customHeight="false" outlineLevel="0" collapsed="false">
      <c r="A39" s="122"/>
      <c r="B39" s="122"/>
      <c r="C39" s="122"/>
      <c r="D39" s="122"/>
      <c r="E39" s="122"/>
      <c r="F39" s="129" t="n">
        <f aca="false">SUM(F26:F38)</f>
        <v>1825000</v>
      </c>
      <c r="G39" s="122"/>
      <c r="H39" s="122"/>
      <c r="I39" s="138" t="e">
        <f aca="false">SUM(I26:I38)</f>
        <v>#N/A</v>
      </c>
      <c r="J39" s="138" t="n">
        <f aca="false">SUM(J26:J38)</f>
        <v>0</v>
      </c>
      <c r="K39" s="138" t="e">
        <f aca="false">SUM(K26:K38)</f>
        <v>#N/A</v>
      </c>
    </row>
    <row r="40" customFormat="false" ht="12.75" hidden="false" customHeight="false" outlineLevel="0" collapsed="false">
      <c r="A40" s="122"/>
      <c r="B40" s="122"/>
      <c r="C40" s="122"/>
      <c r="D40" s="122"/>
      <c r="E40" s="122"/>
      <c r="F40" s="122"/>
      <c r="G40" s="122"/>
      <c r="H40" s="122"/>
      <c r="I40" s="122"/>
      <c r="J40" s="128"/>
      <c r="K40" s="128"/>
    </row>
    <row r="41" customFormat="false" ht="13.5" hidden="false" customHeight="false" outlineLevel="0" collapsed="false">
      <c r="A41" s="122"/>
      <c r="B41" s="122"/>
      <c r="C41" s="122"/>
      <c r="D41" s="122"/>
      <c r="E41" s="122"/>
      <c r="F41" s="139" t="n">
        <f aca="false">+F39+F22</f>
        <v>0</v>
      </c>
      <c r="G41" s="122"/>
      <c r="H41" s="122"/>
      <c r="I41" s="140" t="e">
        <f aca="false">+I39+I22</f>
        <v>#N/A</v>
      </c>
      <c r="J41" s="140" t="n">
        <f aca="false">+J39+J22</f>
        <v>182500</v>
      </c>
      <c r="K41" s="140" t="e">
        <f aca="false">+K39+K22</f>
        <v>#N/A</v>
      </c>
    </row>
    <row r="42" customFormat="false" ht="13.5" hidden="false" customHeight="false" outlineLevel="0" collapsed="false">
      <c r="A42" s="141"/>
      <c r="B42" s="141"/>
      <c r="C42" s="141"/>
      <c r="D42" s="141"/>
      <c r="E42" s="141"/>
      <c r="F42" s="141"/>
      <c r="G42" s="141"/>
      <c r="H42" s="141"/>
      <c r="I42" s="141"/>
      <c r="J42" s="142"/>
      <c r="K42" s="142"/>
    </row>
    <row r="44" customFormat="false" ht="12.75" hidden="false" customHeight="false" outlineLevel="0" collapsed="false">
      <c r="A44" s="105" t="s">
        <v>99</v>
      </c>
    </row>
  </sheetData>
  <mergeCells count="4">
    <mergeCell ref="A1:K1"/>
    <mergeCell ref="A2:K2"/>
    <mergeCell ref="A3:K3"/>
    <mergeCell ref="I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32"/>
  <sheetViews>
    <sheetView showFormulas="false" showGridLines="true" showRowColHeaders="true" showZeros="true" rightToLeft="false" tabSelected="false" showOutlineSymbols="true" defaultGridColor="true" view="normal" topLeftCell="B7" colorId="64" zoomScale="100" zoomScaleNormal="100" zoomScalePageLayoutView="100" workbookViewId="0">
      <selection pane="topLeft" activeCell="G28" activeCellId="0" sqref="G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1" style="0" width="10.71"/>
    <col collapsed="false" customWidth="true" hidden="true" outlineLevel="0" max="5" min="5" style="0" width="10.71"/>
    <col collapsed="false" customWidth="true" hidden="false" outlineLevel="0" max="8" min="6" style="0" width="10.71"/>
    <col collapsed="false" customWidth="true" hidden="false" outlineLevel="0" max="9" min="9" style="0" width="13.7"/>
    <col collapsed="false" customWidth="true" hidden="false" outlineLevel="0" max="10" min="10" style="185" width="12.14"/>
    <col collapsed="false" customWidth="true" hidden="false" outlineLevel="0" max="11" min="11" style="185" width="13.7"/>
  </cols>
  <sheetData>
    <row r="1" customFormat="false" ht="15" hidden="false" customHeight="false" outlineLevel="0" collapsed="false">
      <c r="A1" s="107" t="s">
        <v>86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customFormat="false" ht="15" hidden="false" customHeight="false" outlineLevel="0" collapsed="false">
      <c r="A2" s="107" t="s">
        <v>87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customFormat="false" ht="15.75" hidden="false" customHeight="false" outlineLevel="0" collapsed="false">
      <c r="A3" s="107" t="s">
        <v>143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4" customFormat="false" ht="15.75" hidden="false" customHeight="false" outlineLevel="0" collapsed="false">
      <c r="A4" s="108"/>
      <c r="B4" s="108"/>
      <c r="C4" s="108"/>
      <c r="D4" s="108"/>
      <c r="E4" s="108"/>
      <c r="F4" s="108"/>
      <c r="G4" s="108"/>
      <c r="H4" s="108"/>
      <c r="I4" s="108"/>
      <c r="J4" s="186"/>
      <c r="K4" s="186"/>
    </row>
    <row r="6" customFormat="false" ht="12.75" hidden="false" customHeight="false" outlineLevel="0" collapsed="false">
      <c r="A6" s="110" t="s">
        <v>89</v>
      </c>
      <c r="B6" s="111" t="s">
        <v>8</v>
      </c>
      <c r="C6" s="111" t="s">
        <v>8</v>
      </c>
      <c r="D6" s="111" t="s">
        <v>90</v>
      </c>
      <c r="E6" s="111"/>
      <c r="F6" s="111" t="s">
        <v>91</v>
      </c>
      <c r="G6" s="111" t="s">
        <v>68</v>
      </c>
      <c r="H6" s="111" t="s">
        <v>28</v>
      </c>
      <c r="I6" s="112" t="s">
        <v>93</v>
      </c>
      <c r="J6" s="112"/>
      <c r="K6" s="112"/>
    </row>
    <row r="7" customFormat="false" ht="12.75" hidden="false" customHeight="false" outlineLevel="0" collapsed="false">
      <c r="A7" s="113" t="s">
        <v>22</v>
      </c>
      <c r="B7" s="114" t="s">
        <v>18</v>
      </c>
      <c r="C7" s="114" t="s">
        <v>17</v>
      </c>
      <c r="D7" s="114" t="s">
        <v>23</v>
      </c>
      <c r="E7" s="114"/>
      <c r="F7" s="114" t="s">
        <v>94</v>
      </c>
      <c r="G7" s="114" t="s">
        <v>23</v>
      </c>
      <c r="H7" s="114" t="s">
        <v>23</v>
      </c>
      <c r="I7" s="114" t="s">
        <v>30</v>
      </c>
      <c r="J7" s="114" t="s">
        <v>31</v>
      </c>
      <c r="K7" s="115" t="s">
        <v>32</v>
      </c>
    </row>
    <row r="8" customFormat="false" ht="12.75" hidden="false" customHeight="false" outlineLevel="0" collapsed="false">
      <c r="A8" s="116"/>
      <c r="B8" s="117"/>
      <c r="C8" s="117"/>
      <c r="D8" s="117"/>
      <c r="E8" s="117"/>
      <c r="F8" s="117"/>
      <c r="G8" s="187" t="s">
        <v>144</v>
      </c>
      <c r="H8" s="119"/>
      <c r="I8" s="119" t="s">
        <v>96</v>
      </c>
      <c r="J8" s="119" t="s">
        <v>96</v>
      </c>
      <c r="K8" s="120" t="s">
        <v>96</v>
      </c>
    </row>
    <row r="9" customFormat="false" ht="12.75" hidden="false" customHeight="false" outlineLevel="0" collapsed="false">
      <c r="A9" s="188" t="s">
        <v>145</v>
      </c>
      <c r="B9" s="122"/>
      <c r="C9" s="123"/>
      <c r="D9" s="189" t="n">
        <v>1.945</v>
      </c>
      <c r="E9" s="126"/>
      <c r="F9" s="125" t="n">
        <f aca="false">250*30</f>
        <v>7500</v>
      </c>
      <c r="G9" s="189" t="n">
        <v>1.96</v>
      </c>
      <c r="H9" s="189"/>
      <c r="I9" s="149" t="n">
        <f aca="false">SUM(D9-G9)*F9</f>
        <v>-112.499999999999</v>
      </c>
      <c r="J9" s="149" t="n">
        <f aca="false">+I9</f>
        <v>-112.499999999999</v>
      </c>
      <c r="K9" s="149"/>
    </row>
    <row r="10" customFormat="false" ht="12.75" hidden="false" customHeight="false" outlineLevel="0" collapsed="false">
      <c r="A10" s="188" t="s">
        <v>146</v>
      </c>
      <c r="B10" s="122"/>
      <c r="C10" s="123"/>
      <c r="D10" s="189" t="n">
        <v>1.945</v>
      </c>
      <c r="E10" s="126"/>
      <c r="F10" s="125" t="n">
        <f aca="false">250*31</f>
        <v>7750</v>
      </c>
      <c r="G10" s="189" t="n">
        <v>2.05</v>
      </c>
      <c r="H10" s="189"/>
      <c r="I10" s="149" t="n">
        <f aca="false">SUM(D10-G10)*F10</f>
        <v>-813.749999999998</v>
      </c>
      <c r="J10" s="149" t="n">
        <f aca="false">+I10</f>
        <v>-813.749999999998</v>
      </c>
      <c r="K10" s="149"/>
    </row>
    <row r="11" customFormat="false" ht="12.75" hidden="false" customHeight="false" outlineLevel="0" collapsed="false">
      <c r="A11" s="188" t="s">
        <v>147</v>
      </c>
      <c r="B11" s="122"/>
      <c r="C11" s="123"/>
      <c r="D11" s="189" t="n">
        <v>1.945</v>
      </c>
      <c r="E11" s="126"/>
      <c r="F11" s="125" t="n">
        <f aca="false">250*31</f>
        <v>7750</v>
      </c>
      <c r="G11" s="189" t="n">
        <v>2.26</v>
      </c>
      <c r="H11" s="124"/>
      <c r="I11" s="149" t="n">
        <f aca="false">SUM(D11-G11)*F11</f>
        <v>-2441.25</v>
      </c>
      <c r="J11" s="149" t="n">
        <f aca="false">+I11</f>
        <v>-2441.25</v>
      </c>
      <c r="K11" s="149"/>
    </row>
    <row r="12" customFormat="false" ht="12.75" hidden="false" customHeight="false" outlineLevel="0" collapsed="false">
      <c r="A12" s="188" t="s">
        <v>148</v>
      </c>
      <c r="B12" s="122"/>
      <c r="C12" s="123"/>
      <c r="D12" s="189" t="n">
        <v>1.945</v>
      </c>
      <c r="E12" s="126"/>
      <c r="F12" s="125" t="n">
        <f aca="false">250*30</f>
        <v>7500</v>
      </c>
      <c r="G12" s="189" t="n">
        <v>2.63</v>
      </c>
      <c r="H12" s="124"/>
      <c r="I12" s="149" t="n">
        <f aca="false">SUM(D12-G12)*F12</f>
        <v>-5137.5</v>
      </c>
      <c r="J12" s="149" t="n">
        <f aca="false">+I12</f>
        <v>-5137.5</v>
      </c>
      <c r="K12" s="149"/>
    </row>
    <row r="13" customFormat="false" ht="12.75" hidden="false" customHeight="false" outlineLevel="0" collapsed="false">
      <c r="A13" s="188" t="s">
        <v>149</v>
      </c>
      <c r="B13" s="122"/>
      <c r="C13" s="123"/>
      <c r="D13" s="189" t="n">
        <v>1.945</v>
      </c>
      <c r="E13" s="126"/>
      <c r="F13" s="125" t="n">
        <f aca="false">250*31</f>
        <v>7750</v>
      </c>
      <c r="G13" s="124" t="n">
        <v>2.37</v>
      </c>
      <c r="H13" s="124"/>
      <c r="I13" s="149" t="n">
        <f aca="false">SUM(D13-G13)*F13</f>
        <v>-3293.75</v>
      </c>
      <c r="J13" s="149" t="n">
        <f aca="false">+I13</f>
        <v>-3293.75</v>
      </c>
      <c r="K13" s="149"/>
    </row>
    <row r="14" customFormat="false" ht="12.75" hidden="false" customHeight="false" outlineLevel="0" collapsed="false">
      <c r="A14" s="188" t="s">
        <v>150</v>
      </c>
      <c r="B14" s="122"/>
      <c r="C14" s="123"/>
      <c r="D14" s="189" t="n">
        <v>1.945</v>
      </c>
      <c r="E14" s="126"/>
      <c r="F14" s="125" t="n">
        <f aca="false">250*30</f>
        <v>7500</v>
      </c>
      <c r="G14" s="124" t="n">
        <v>2.84</v>
      </c>
      <c r="H14" s="124"/>
      <c r="I14" s="149" t="n">
        <f aca="false">SUM(D14-G14)*F14</f>
        <v>-6712.5</v>
      </c>
      <c r="J14" s="149" t="n">
        <f aca="false">+I14</f>
        <v>-6712.5</v>
      </c>
      <c r="K14" s="149"/>
    </row>
    <row r="15" customFormat="false" ht="12.75" hidden="false" customHeight="false" outlineLevel="0" collapsed="false">
      <c r="A15" s="188" t="s">
        <v>151</v>
      </c>
      <c r="B15" s="122"/>
      <c r="C15" s="123"/>
      <c r="D15" s="189" t="n">
        <v>1.945</v>
      </c>
      <c r="E15" s="126"/>
      <c r="F15" s="125" t="n">
        <f aca="false">250*31</f>
        <v>7750</v>
      </c>
      <c r="G15" s="124" t="n">
        <v>2.08</v>
      </c>
      <c r="H15" s="124"/>
      <c r="I15" s="149" t="n">
        <f aca="false">SUM(D15-G15)*F15</f>
        <v>-1046.25</v>
      </c>
      <c r="J15" s="149" t="n">
        <f aca="false">+I15</f>
        <v>-1046.25</v>
      </c>
      <c r="K15" s="149"/>
    </row>
    <row r="16" customFormat="false" ht="12.75" hidden="false" customHeight="false" outlineLevel="0" collapsed="false">
      <c r="A16" s="188" t="s">
        <v>152</v>
      </c>
      <c r="B16" s="122"/>
      <c r="C16" s="123"/>
      <c r="D16" s="189" t="n">
        <v>1.945</v>
      </c>
      <c r="E16" s="126"/>
      <c r="F16" s="125" t="n">
        <f aca="false">250*31</f>
        <v>7750</v>
      </c>
      <c r="G16" s="124" t="n">
        <v>2.18</v>
      </c>
      <c r="H16" s="124"/>
      <c r="I16" s="149" t="n">
        <f aca="false">SUM(D16-G16)*F16</f>
        <v>-1821.25</v>
      </c>
      <c r="J16" s="149" t="n">
        <f aca="false">+I16</f>
        <v>-1821.25</v>
      </c>
      <c r="K16" s="149"/>
    </row>
    <row r="17" customFormat="false" ht="12.75" hidden="false" customHeight="false" outlineLevel="0" collapsed="false">
      <c r="A17" s="188" t="s">
        <v>153</v>
      </c>
      <c r="B17" s="122"/>
      <c r="C17" s="123"/>
      <c r="D17" s="189" t="n">
        <v>1.945</v>
      </c>
      <c r="E17" s="126"/>
      <c r="F17" s="125" t="n">
        <f aca="false">250*29</f>
        <v>7250</v>
      </c>
      <c r="G17" s="124" t="n">
        <v>2.36</v>
      </c>
      <c r="H17" s="124"/>
      <c r="I17" s="149" t="n">
        <f aca="false">SUM(D17-G17)*F17</f>
        <v>-3008.75</v>
      </c>
      <c r="J17" s="149" t="n">
        <f aca="false">+I17</f>
        <v>-3008.75</v>
      </c>
      <c r="K17" s="149"/>
    </row>
    <row r="18" customFormat="false" ht="12.75" hidden="false" customHeight="false" outlineLevel="0" collapsed="false">
      <c r="A18" s="188" t="s">
        <v>154</v>
      </c>
      <c r="B18" s="122"/>
      <c r="C18" s="123"/>
      <c r="D18" s="189" t="n">
        <v>1.945</v>
      </c>
      <c r="E18" s="126"/>
      <c r="F18" s="125" t="n">
        <f aca="false">250*31</f>
        <v>7750</v>
      </c>
      <c r="G18" s="124" t="n">
        <v>2.37</v>
      </c>
      <c r="H18" s="124"/>
      <c r="I18" s="149" t="n">
        <f aca="false">SUM(D18-G18)*F18</f>
        <v>-3293.75</v>
      </c>
      <c r="J18" s="149" t="n">
        <f aca="false">+I18</f>
        <v>-3293.75</v>
      </c>
      <c r="K18" s="149"/>
    </row>
    <row r="19" customFormat="false" ht="12.75" hidden="false" customHeight="false" outlineLevel="0" collapsed="false">
      <c r="A19" s="188" t="s">
        <v>155</v>
      </c>
      <c r="B19" s="122"/>
      <c r="C19" s="123"/>
      <c r="D19" s="189" t="n">
        <v>1.945</v>
      </c>
      <c r="E19" s="126"/>
      <c r="F19" s="125" t="n">
        <f aca="false">250*30</f>
        <v>7500</v>
      </c>
      <c r="G19" s="124" t="n">
        <v>2.75</v>
      </c>
      <c r="H19" s="124"/>
      <c r="I19" s="149" t="n">
        <f aca="false">SUM(D19-G19)*F19</f>
        <v>-6037.5</v>
      </c>
      <c r="J19" s="149" t="n">
        <f aca="false">+I19</f>
        <v>-6037.5</v>
      </c>
      <c r="K19" s="149"/>
    </row>
    <row r="20" customFormat="false" ht="12.75" hidden="false" customHeight="false" outlineLevel="0" collapsed="false">
      <c r="A20" s="188" t="s">
        <v>156</v>
      </c>
      <c r="B20" s="122"/>
      <c r="C20" s="123"/>
      <c r="D20" s="189" t="n">
        <v>1.945</v>
      </c>
      <c r="E20" s="126"/>
      <c r="F20" s="125" t="n">
        <f aca="false">250*31</f>
        <v>7750</v>
      </c>
      <c r="G20" s="124" t="n">
        <v>2.78</v>
      </c>
      <c r="H20" s="124"/>
      <c r="I20" s="149" t="n">
        <f aca="false">SUM(D20-G20)*F20</f>
        <v>-6471.25</v>
      </c>
      <c r="J20" s="149" t="n">
        <f aca="false">+I20</f>
        <v>-6471.25</v>
      </c>
      <c r="K20" s="149"/>
    </row>
    <row r="21" customFormat="false" ht="12.75" hidden="false" customHeight="false" outlineLevel="0" collapsed="false">
      <c r="A21" s="174"/>
      <c r="B21" s="122"/>
      <c r="C21" s="122"/>
      <c r="D21" s="122"/>
      <c r="E21" s="122"/>
      <c r="F21" s="129" t="n">
        <f aca="false">SUM(F9:F20)</f>
        <v>91500</v>
      </c>
      <c r="G21" s="122"/>
      <c r="H21" s="122"/>
      <c r="I21" s="190" t="n">
        <f aca="false">SUM(I9:I20)</f>
        <v>-40190</v>
      </c>
      <c r="J21" s="190" t="n">
        <f aca="false">SUM(J9:J20)</f>
        <v>-40190</v>
      </c>
      <c r="K21" s="190" t="n">
        <f aca="false">SUM(K9:K20)</f>
        <v>0</v>
      </c>
      <c r="L21" s="167" t="n">
        <f aca="false">+J21+K21-I21</f>
        <v>0</v>
      </c>
    </row>
    <row r="22" customFormat="false" ht="12.75" hidden="false" customHeight="false" outlineLevel="0" collapsed="false">
      <c r="A22" s="174"/>
      <c r="B22" s="122"/>
      <c r="C22" s="122"/>
      <c r="D22" s="122"/>
      <c r="E22" s="122"/>
      <c r="F22" s="131"/>
      <c r="G22" s="122"/>
      <c r="H22" s="122"/>
      <c r="I22" s="133"/>
      <c r="J22" s="133"/>
      <c r="K22" s="133"/>
      <c r="L22" s="167"/>
    </row>
    <row r="23" customFormat="false" ht="12.75" hidden="false" customHeight="false" outlineLevel="0" collapsed="false">
      <c r="A23" s="174"/>
      <c r="B23" s="122"/>
      <c r="C23" s="122"/>
      <c r="D23" s="122"/>
      <c r="E23" s="122"/>
      <c r="F23" s="122"/>
      <c r="G23" s="134" t="s">
        <v>142</v>
      </c>
      <c r="H23" s="122"/>
      <c r="I23" s="149"/>
      <c r="J23" s="149"/>
      <c r="K23" s="149"/>
    </row>
    <row r="24" customFormat="false" ht="12.75" hidden="false" customHeight="false" outlineLevel="0" collapsed="false">
      <c r="A24" s="174"/>
      <c r="B24" s="122"/>
      <c r="C24" s="122"/>
      <c r="D24" s="122"/>
      <c r="E24" s="122"/>
      <c r="F24" s="122"/>
      <c r="G24" s="191"/>
      <c r="H24" s="122"/>
      <c r="I24" s="149"/>
      <c r="J24" s="149"/>
      <c r="K24" s="149"/>
    </row>
    <row r="25" customFormat="false" ht="12.75" hidden="false" customHeight="false" outlineLevel="0" collapsed="false">
      <c r="A25" s="188" t="s">
        <v>145</v>
      </c>
      <c r="B25" s="123" t="n">
        <f aca="false">26125</f>
        <v>26125</v>
      </c>
      <c r="C25" s="123" t="s">
        <v>39</v>
      </c>
      <c r="D25" s="189" t="n">
        <v>1.945</v>
      </c>
      <c r="E25" s="125" t="n">
        <f aca="false">-8600*30</f>
        <v>-258000</v>
      </c>
      <c r="F25" s="125" t="n">
        <f aca="false">-F9</f>
        <v>-7500</v>
      </c>
      <c r="G25" s="189" t="n">
        <v>2.07</v>
      </c>
      <c r="H25" s="189"/>
      <c r="I25" s="149" t="n">
        <f aca="false">SUM(D25-G25)*F25</f>
        <v>937.499999999998</v>
      </c>
      <c r="J25" s="149" t="n">
        <f aca="false">+I25</f>
        <v>937.499999999998</v>
      </c>
      <c r="K25" s="149"/>
    </row>
    <row r="26" customFormat="false" ht="12.75" hidden="false" customHeight="false" outlineLevel="0" collapsed="false">
      <c r="A26" s="188" t="s">
        <v>146</v>
      </c>
      <c r="B26" s="123" t="n">
        <f aca="false">26125</f>
        <v>26125</v>
      </c>
      <c r="C26" s="123" t="s">
        <v>39</v>
      </c>
      <c r="D26" s="189" t="n">
        <v>1.945</v>
      </c>
      <c r="E26" s="125" t="n">
        <f aca="false">-8600*31</f>
        <v>-266600</v>
      </c>
      <c r="F26" s="125" t="n">
        <f aca="false">-F10</f>
        <v>-7750</v>
      </c>
      <c r="G26" s="189" t="n">
        <v>2.11</v>
      </c>
      <c r="H26" s="189"/>
      <c r="I26" s="149" t="n">
        <f aca="false">SUM(D26-G26)*F26</f>
        <v>1278.75</v>
      </c>
      <c r="J26" s="149" t="n">
        <f aca="false">+I26</f>
        <v>1278.75</v>
      </c>
      <c r="K26" s="149"/>
    </row>
    <row r="27" customFormat="false" ht="12.75" hidden="false" customHeight="false" outlineLevel="0" collapsed="false">
      <c r="A27" s="188" t="s">
        <v>147</v>
      </c>
      <c r="B27" s="123" t="n">
        <f aca="false">26125</f>
        <v>26125</v>
      </c>
      <c r="C27" s="123" t="s">
        <v>39</v>
      </c>
      <c r="D27" s="189" t="n">
        <v>1.945</v>
      </c>
      <c r="E27" s="125" t="n">
        <f aca="false">-8600*31</f>
        <v>-266600</v>
      </c>
      <c r="F27" s="125" t="n">
        <f aca="false">-F11</f>
        <v>-7750</v>
      </c>
      <c r="G27" s="189" t="n">
        <v>2.51</v>
      </c>
      <c r="H27" s="124"/>
      <c r="I27" s="149" t="n">
        <f aca="false">SUM(D27-G27)*F27</f>
        <v>4378.75</v>
      </c>
      <c r="J27" s="149" t="n">
        <f aca="false">+I27</f>
        <v>4378.75</v>
      </c>
      <c r="K27" s="149"/>
    </row>
    <row r="28" customFormat="false" ht="12.75" hidden="false" customHeight="false" outlineLevel="0" collapsed="false">
      <c r="A28" s="188" t="s">
        <v>148</v>
      </c>
      <c r="B28" s="123" t="n">
        <f aca="false">26125</f>
        <v>26125</v>
      </c>
      <c r="C28" s="123" t="s">
        <v>39</v>
      </c>
      <c r="D28" s="189" t="n">
        <v>1.945</v>
      </c>
      <c r="E28" s="125" t="n">
        <f aca="false">-8600*30</f>
        <v>-258000</v>
      </c>
      <c r="F28" s="125" t="n">
        <f aca="false">-F12</f>
        <v>-7500</v>
      </c>
      <c r="G28" s="189" t="n">
        <v>2.36</v>
      </c>
      <c r="H28" s="124"/>
      <c r="I28" s="149" t="n">
        <f aca="false">SUM(D28-G28)*F28</f>
        <v>3112.5</v>
      </c>
      <c r="J28" s="149" t="n">
        <f aca="false">+I28</f>
        <v>3112.5</v>
      </c>
      <c r="K28" s="149"/>
    </row>
    <row r="29" customFormat="false" ht="12.75" hidden="false" customHeight="false" outlineLevel="0" collapsed="false">
      <c r="A29" s="188" t="s">
        <v>149</v>
      </c>
      <c r="B29" s="123" t="n">
        <f aca="false">26125</f>
        <v>26125</v>
      </c>
      <c r="C29" s="123" t="s">
        <v>39</v>
      </c>
      <c r="D29" s="189" t="n">
        <v>1.945</v>
      </c>
      <c r="E29" s="125" t="n">
        <f aca="false">-8600*31</f>
        <v>-266600</v>
      </c>
      <c r="F29" s="125" t="n">
        <f aca="false">-F13</f>
        <v>-7750</v>
      </c>
      <c r="G29" s="189" t="n">
        <v>2.62</v>
      </c>
      <c r="H29" s="124"/>
      <c r="I29" s="149" t="n">
        <f aca="false">SUM(D29-G29)*F29</f>
        <v>5231.25</v>
      </c>
      <c r="J29" s="149" t="n">
        <f aca="false">+I29</f>
        <v>5231.25</v>
      </c>
      <c r="K29" s="149"/>
    </row>
    <row r="30" customFormat="false" ht="12.75" hidden="false" customHeight="false" outlineLevel="0" collapsed="false">
      <c r="A30" s="188" t="s">
        <v>150</v>
      </c>
      <c r="B30" s="123" t="n">
        <f aca="false">26125</f>
        <v>26125</v>
      </c>
      <c r="C30" s="123" t="s">
        <v>39</v>
      </c>
      <c r="D30" s="189" t="n">
        <v>1.945</v>
      </c>
      <c r="E30" s="125" t="n">
        <f aca="false">-8600*30</f>
        <v>-258000</v>
      </c>
      <c r="F30" s="125" t="n">
        <f aca="false">-F14</f>
        <v>-7500</v>
      </c>
      <c r="G30" s="189" t="n">
        <v>2.17</v>
      </c>
      <c r="H30" s="124"/>
      <c r="I30" s="149" t="n">
        <f aca="false">SUM(D30-G30)*F30</f>
        <v>1687.5</v>
      </c>
      <c r="J30" s="149" t="n">
        <f aca="false">+I30</f>
        <v>1687.5</v>
      </c>
      <c r="K30" s="149"/>
    </row>
    <row r="31" customFormat="false" ht="12.75" hidden="false" customHeight="false" outlineLevel="0" collapsed="false">
      <c r="A31" s="188" t="s">
        <v>151</v>
      </c>
      <c r="B31" s="123" t="n">
        <f aca="false">26125</f>
        <v>26125</v>
      </c>
      <c r="C31" s="123" t="s">
        <v>39</v>
      </c>
      <c r="D31" s="189" t="n">
        <v>1.945</v>
      </c>
      <c r="E31" s="125" t="n">
        <f aca="false">-8600*31</f>
        <v>-266600</v>
      </c>
      <c r="F31" s="125" t="n">
        <f aca="false">-F15</f>
        <v>-7750</v>
      </c>
      <c r="G31" s="189" t="n">
        <v>2.24</v>
      </c>
      <c r="H31" s="124"/>
      <c r="I31" s="149" t="n">
        <f aca="false">SUM(D31-G31)*F31</f>
        <v>2286.25</v>
      </c>
      <c r="J31" s="149" t="n">
        <f aca="false">+I31</f>
        <v>2286.25</v>
      </c>
      <c r="K31" s="149"/>
    </row>
    <row r="32" customFormat="false" ht="12.75" hidden="false" customHeight="false" outlineLevel="0" collapsed="false">
      <c r="A32" s="188" t="s">
        <v>152</v>
      </c>
      <c r="B32" s="123" t="n">
        <f aca="false">26125</f>
        <v>26125</v>
      </c>
      <c r="C32" s="123" t="s">
        <v>39</v>
      </c>
      <c r="D32" s="189" t="n">
        <v>1.945</v>
      </c>
      <c r="E32" s="125" t="n">
        <f aca="false">-8600*31</f>
        <v>-266600</v>
      </c>
      <c r="F32" s="125" t="n">
        <f aca="false">-F16</f>
        <v>-7750</v>
      </c>
      <c r="G32" s="189" t="n">
        <v>2.26</v>
      </c>
      <c r="H32" s="124"/>
      <c r="I32" s="149" t="n">
        <f aca="false">SUM(D32-G32)*F32</f>
        <v>2441.25</v>
      </c>
      <c r="J32" s="149" t="n">
        <f aca="false">+I32</f>
        <v>2441.25</v>
      </c>
      <c r="K32" s="149"/>
    </row>
    <row r="33" customFormat="false" ht="12.75" hidden="false" customHeight="false" outlineLevel="0" collapsed="false">
      <c r="A33" s="188" t="s">
        <v>153</v>
      </c>
      <c r="B33" s="123" t="n">
        <f aca="false">26125</f>
        <v>26125</v>
      </c>
      <c r="C33" s="123" t="s">
        <v>39</v>
      </c>
      <c r="D33" s="189" t="n">
        <v>1.945</v>
      </c>
      <c r="E33" s="125" t="n">
        <f aca="false">-8600*28</f>
        <v>-240800</v>
      </c>
      <c r="F33" s="125" t="n">
        <f aca="false">-F17</f>
        <v>-7250</v>
      </c>
      <c r="G33" s="124" t="n">
        <v>2.43</v>
      </c>
      <c r="H33" s="124"/>
      <c r="I33" s="149" t="n">
        <f aca="false">SUM(D33-G33)*F33</f>
        <v>3516.25</v>
      </c>
      <c r="J33" s="149" t="n">
        <f aca="false">+I33</f>
        <v>3516.25</v>
      </c>
      <c r="K33" s="149"/>
    </row>
    <row r="34" customFormat="false" ht="12.75" hidden="false" customHeight="false" outlineLevel="0" collapsed="false">
      <c r="A34" s="188" t="s">
        <v>154</v>
      </c>
      <c r="B34" s="123" t="n">
        <f aca="false">26125</f>
        <v>26125</v>
      </c>
      <c r="C34" s="123" t="s">
        <v>39</v>
      </c>
      <c r="D34" s="189" t="n">
        <v>1.945</v>
      </c>
      <c r="E34" s="125" t="n">
        <f aca="false">-8600*31</f>
        <v>-266600</v>
      </c>
      <c r="F34" s="125" t="n">
        <f aca="false">-F18</f>
        <v>-7750</v>
      </c>
      <c r="G34" s="124" t="n">
        <v>2.64</v>
      </c>
      <c r="H34" s="124"/>
      <c r="I34" s="149" t="n">
        <f aca="false">SUM(D34-G34)*F34</f>
        <v>5386.25</v>
      </c>
      <c r="J34" s="149" t="n">
        <f aca="false">+I34</f>
        <v>5386.25</v>
      </c>
      <c r="K34" s="149"/>
    </row>
    <row r="35" customFormat="false" ht="12.75" hidden="false" customHeight="false" outlineLevel="0" collapsed="false">
      <c r="A35" s="188" t="s">
        <v>155</v>
      </c>
      <c r="B35" s="123" t="n">
        <f aca="false">26125</f>
        <v>26125</v>
      </c>
      <c r="C35" s="123" t="s">
        <v>39</v>
      </c>
      <c r="D35" s="189" t="n">
        <v>1.945</v>
      </c>
      <c r="E35" s="125" t="n">
        <f aca="false">-8600*30</f>
        <v>-258000</v>
      </c>
      <c r="F35" s="125" t="n">
        <f aca="false">-F19</f>
        <v>-7500</v>
      </c>
      <c r="G35" s="124" t="n">
        <v>2.79</v>
      </c>
      <c r="H35" s="124"/>
      <c r="I35" s="149" t="n">
        <f aca="false">SUM(D35-G35)*F35</f>
        <v>6337.5</v>
      </c>
      <c r="J35" s="149" t="n">
        <f aca="false">+I35</f>
        <v>6337.5</v>
      </c>
      <c r="K35" s="149"/>
    </row>
    <row r="36" customFormat="false" ht="12.75" hidden="false" customHeight="false" outlineLevel="0" collapsed="false">
      <c r="A36" s="188" t="s">
        <v>156</v>
      </c>
      <c r="B36" s="123" t="n">
        <f aca="false">26125</f>
        <v>26125</v>
      </c>
      <c r="C36" s="123" t="s">
        <v>39</v>
      </c>
      <c r="D36" s="189" t="n">
        <v>1.945</v>
      </c>
      <c r="E36" s="125" t="n">
        <f aca="false">-8600*31</f>
        <v>-266600</v>
      </c>
      <c r="F36" s="125" t="n">
        <f aca="false">-F20</f>
        <v>-7750</v>
      </c>
      <c r="G36" s="126" t="n">
        <v>3.31</v>
      </c>
      <c r="H36" s="124"/>
      <c r="I36" s="149" t="n">
        <f aca="false">SUM(D36-G36)*F36</f>
        <v>10578.75</v>
      </c>
      <c r="J36" s="149" t="n">
        <f aca="false">+I36</f>
        <v>10578.75</v>
      </c>
      <c r="K36" s="149"/>
    </row>
    <row r="37" customFormat="false" ht="12.75" hidden="false" customHeight="false" outlineLevel="0" collapsed="false">
      <c r="A37" s="174"/>
      <c r="B37" s="122"/>
      <c r="C37" s="122"/>
      <c r="D37" s="122"/>
      <c r="E37" s="122"/>
      <c r="F37" s="129" t="n">
        <f aca="false">SUM(F25:F36)</f>
        <v>-91500</v>
      </c>
      <c r="G37" s="122"/>
      <c r="H37" s="189"/>
      <c r="I37" s="190" t="n">
        <f aca="false">SUM(I25:I36)</f>
        <v>47172.5</v>
      </c>
      <c r="J37" s="190" t="n">
        <f aca="false">SUM(J25:J36)</f>
        <v>47172.5</v>
      </c>
      <c r="K37" s="190" t="n">
        <f aca="false">SUM(K25:K36)</f>
        <v>0</v>
      </c>
      <c r="L37" s="167" t="n">
        <f aca="false">+J37+K37-I37</f>
        <v>0</v>
      </c>
    </row>
    <row r="38" customFormat="false" ht="12.75" hidden="false" customHeight="false" outlineLevel="0" collapsed="false">
      <c r="A38" s="174"/>
      <c r="B38" s="122"/>
      <c r="C38" s="122"/>
      <c r="D38" s="122"/>
      <c r="E38" s="122"/>
      <c r="F38" s="122"/>
      <c r="G38" s="122"/>
      <c r="H38" s="122"/>
      <c r="I38" s="149"/>
      <c r="J38" s="149"/>
      <c r="K38" s="149"/>
    </row>
    <row r="39" customFormat="false" ht="13.5" hidden="false" customHeight="false" outlineLevel="0" collapsed="false">
      <c r="A39" s="174"/>
      <c r="B39" s="122"/>
      <c r="C39" s="122"/>
      <c r="D39" s="122"/>
      <c r="E39" s="122"/>
      <c r="F39" s="139" t="n">
        <f aca="false">+F21+F37</f>
        <v>0</v>
      </c>
      <c r="G39" s="122"/>
      <c r="H39" s="122"/>
      <c r="I39" s="173" t="n">
        <f aca="false">+I21+I37</f>
        <v>6982.5</v>
      </c>
      <c r="J39" s="173" t="n">
        <f aca="false">+J21+J37</f>
        <v>6982.5</v>
      </c>
      <c r="K39" s="173" t="n">
        <f aca="false">+K21+K37</f>
        <v>0</v>
      </c>
      <c r="L39" s="167" t="n">
        <f aca="false">+J39+K39-I39</f>
        <v>0</v>
      </c>
    </row>
    <row r="40" customFormat="false" ht="13.5" hidden="false" customHeight="false" outlineLevel="0" collapsed="false">
      <c r="A40" s="192"/>
      <c r="B40" s="141"/>
      <c r="C40" s="141"/>
      <c r="D40" s="141"/>
      <c r="E40" s="141"/>
      <c r="F40" s="141"/>
      <c r="G40" s="141"/>
      <c r="H40" s="141"/>
      <c r="I40" s="193"/>
      <c r="J40" s="193"/>
      <c r="K40" s="193"/>
    </row>
    <row r="41" customFormat="false" ht="12.75" hidden="false" customHeight="false" outlineLevel="0" collapsed="false">
      <c r="I41" s="185"/>
    </row>
    <row r="42" customFormat="false" ht="12.75" hidden="false" customHeight="false" outlineLevel="0" collapsed="false">
      <c r="A42" s="105" t="s">
        <v>99</v>
      </c>
      <c r="J42" s="0"/>
      <c r="K42" s="0"/>
    </row>
    <row r="43" customFormat="false" ht="11.25" hidden="false" customHeight="false" outlineLevel="0" collapsed="false">
      <c r="A43" s="105"/>
      <c r="B43" s="105"/>
      <c r="C43" s="105"/>
      <c r="D43" s="105"/>
      <c r="E43" s="105"/>
      <c r="F43" s="105"/>
      <c r="G43" s="105"/>
      <c r="H43" s="105"/>
      <c r="I43" s="194"/>
      <c r="J43" s="194"/>
      <c r="K43" s="194"/>
    </row>
    <row r="44" customFormat="false" ht="12.75" hidden="false" customHeight="false" outlineLevel="0" collapsed="false">
      <c r="I44" s="185"/>
    </row>
    <row r="45" customFormat="false" ht="12.75" hidden="false" customHeight="false" outlineLevel="0" collapsed="false">
      <c r="I45" s="185"/>
    </row>
    <row r="46" customFormat="false" ht="12.75" hidden="false" customHeight="false" outlineLevel="0" collapsed="false">
      <c r="I46" s="185"/>
    </row>
    <row r="47" customFormat="false" ht="12.75" hidden="false" customHeight="false" outlineLevel="0" collapsed="false">
      <c r="I47" s="185"/>
    </row>
    <row r="48" customFormat="false" ht="12.75" hidden="false" customHeight="false" outlineLevel="0" collapsed="false">
      <c r="I48" s="185"/>
    </row>
    <row r="49" customFormat="false" ht="12.75" hidden="false" customHeight="false" outlineLevel="0" collapsed="false">
      <c r="I49" s="185"/>
    </row>
    <row r="50" customFormat="false" ht="12.75" hidden="false" customHeight="false" outlineLevel="0" collapsed="false">
      <c r="I50" s="185"/>
    </row>
    <row r="51" customFormat="false" ht="12.75" hidden="false" customHeight="false" outlineLevel="0" collapsed="false">
      <c r="I51" s="185"/>
    </row>
    <row r="52" customFormat="false" ht="12.75" hidden="false" customHeight="false" outlineLevel="0" collapsed="false">
      <c r="I52" s="185"/>
    </row>
    <row r="53" customFormat="false" ht="12.75" hidden="false" customHeight="false" outlineLevel="0" collapsed="false">
      <c r="I53" s="185"/>
    </row>
    <row r="54" customFormat="false" ht="12.75" hidden="false" customHeight="false" outlineLevel="0" collapsed="false">
      <c r="I54" s="185"/>
    </row>
    <row r="55" customFormat="false" ht="12.75" hidden="false" customHeight="false" outlineLevel="0" collapsed="false">
      <c r="I55" s="185"/>
    </row>
    <row r="56" customFormat="false" ht="12.75" hidden="false" customHeight="false" outlineLevel="0" collapsed="false">
      <c r="I56" s="185"/>
    </row>
    <row r="57" customFormat="false" ht="12.75" hidden="false" customHeight="false" outlineLevel="0" collapsed="false">
      <c r="I57" s="185"/>
    </row>
    <row r="58" customFormat="false" ht="12.75" hidden="false" customHeight="false" outlineLevel="0" collapsed="false">
      <c r="I58" s="185"/>
    </row>
    <row r="59" customFormat="false" ht="12.75" hidden="false" customHeight="false" outlineLevel="0" collapsed="false">
      <c r="I59" s="185"/>
    </row>
    <row r="60" customFormat="false" ht="12.75" hidden="false" customHeight="false" outlineLevel="0" collapsed="false">
      <c r="I60" s="185"/>
    </row>
    <row r="61" customFormat="false" ht="12.75" hidden="false" customHeight="false" outlineLevel="0" collapsed="false">
      <c r="I61" s="185"/>
    </row>
    <row r="62" customFormat="false" ht="12.75" hidden="false" customHeight="false" outlineLevel="0" collapsed="false">
      <c r="I62" s="185"/>
    </row>
    <row r="63" customFormat="false" ht="12.75" hidden="false" customHeight="false" outlineLevel="0" collapsed="false">
      <c r="I63" s="185"/>
    </row>
    <row r="64" customFormat="false" ht="12.75" hidden="false" customHeight="false" outlineLevel="0" collapsed="false">
      <c r="I64" s="185"/>
    </row>
    <row r="65" customFormat="false" ht="12.75" hidden="false" customHeight="false" outlineLevel="0" collapsed="false">
      <c r="I65" s="185"/>
    </row>
    <row r="66" customFormat="false" ht="12.75" hidden="false" customHeight="false" outlineLevel="0" collapsed="false">
      <c r="I66" s="185"/>
    </row>
    <row r="67" customFormat="false" ht="12.75" hidden="false" customHeight="false" outlineLevel="0" collapsed="false">
      <c r="I67" s="185"/>
    </row>
    <row r="68" customFormat="false" ht="12.75" hidden="false" customHeight="false" outlineLevel="0" collapsed="false">
      <c r="I68" s="185"/>
    </row>
    <row r="69" customFormat="false" ht="12.75" hidden="false" customHeight="false" outlineLevel="0" collapsed="false">
      <c r="I69" s="185"/>
    </row>
    <row r="70" customFormat="false" ht="12.75" hidden="false" customHeight="false" outlineLevel="0" collapsed="false">
      <c r="I70" s="185"/>
    </row>
    <row r="71" customFormat="false" ht="12.75" hidden="false" customHeight="false" outlineLevel="0" collapsed="false">
      <c r="I71" s="185"/>
    </row>
    <row r="72" customFormat="false" ht="12.75" hidden="false" customHeight="false" outlineLevel="0" collapsed="false">
      <c r="I72" s="185"/>
    </row>
    <row r="73" customFormat="false" ht="12.75" hidden="false" customHeight="false" outlineLevel="0" collapsed="false">
      <c r="I73" s="185"/>
    </row>
    <row r="74" customFormat="false" ht="12.75" hidden="false" customHeight="false" outlineLevel="0" collapsed="false">
      <c r="I74" s="185"/>
    </row>
    <row r="75" customFormat="false" ht="12.75" hidden="false" customHeight="false" outlineLevel="0" collapsed="false">
      <c r="I75" s="185"/>
    </row>
    <row r="76" customFormat="false" ht="12.75" hidden="false" customHeight="false" outlineLevel="0" collapsed="false">
      <c r="I76" s="185"/>
    </row>
    <row r="77" customFormat="false" ht="12.75" hidden="false" customHeight="false" outlineLevel="0" collapsed="false">
      <c r="I77" s="185"/>
    </row>
    <row r="78" customFormat="false" ht="12.75" hidden="false" customHeight="false" outlineLevel="0" collapsed="false">
      <c r="I78" s="185"/>
    </row>
    <row r="79" customFormat="false" ht="12.75" hidden="false" customHeight="false" outlineLevel="0" collapsed="false">
      <c r="I79" s="185"/>
    </row>
    <row r="80" customFormat="false" ht="12.75" hidden="false" customHeight="false" outlineLevel="0" collapsed="false">
      <c r="I80" s="185"/>
    </row>
    <row r="81" customFormat="false" ht="12.75" hidden="false" customHeight="false" outlineLevel="0" collapsed="false">
      <c r="I81" s="185"/>
    </row>
    <row r="82" customFormat="false" ht="12.75" hidden="false" customHeight="false" outlineLevel="0" collapsed="false">
      <c r="I82" s="185"/>
    </row>
    <row r="83" customFormat="false" ht="12.75" hidden="false" customHeight="false" outlineLevel="0" collapsed="false">
      <c r="I83" s="185"/>
    </row>
    <row r="84" customFormat="false" ht="12.75" hidden="false" customHeight="false" outlineLevel="0" collapsed="false">
      <c r="I84" s="185"/>
    </row>
    <row r="85" customFormat="false" ht="12.75" hidden="false" customHeight="false" outlineLevel="0" collapsed="false">
      <c r="I85" s="185"/>
    </row>
    <row r="86" customFormat="false" ht="12.75" hidden="false" customHeight="false" outlineLevel="0" collapsed="false">
      <c r="I86" s="185"/>
    </row>
    <row r="87" customFormat="false" ht="12.75" hidden="false" customHeight="false" outlineLevel="0" collapsed="false">
      <c r="I87" s="185"/>
    </row>
    <row r="88" customFormat="false" ht="12.75" hidden="false" customHeight="false" outlineLevel="0" collapsed="false">
      <c r="I88" s="185"/>
    </row>
    <row r="89" customFormat="false" ht="12.75" hidden="false" customHeight="false" outlineLevel="0" collapsed="false">
      <c r="I89" s="185"/>
    </row>
    <row r="90" customFormat="false" ht="12.75" hidden="false" customHeight="false" outlineLevel="0" collapsed="false">
      <c r="I90" s="185"/>
    </row>
    <row r="91" customFormat="false" ht="12.75" hidden="false" customHeight="false" outlineLevel="0" collapsed="false">
      <c r="I91" s="185"/>
    </row>
    <row r="92" customFormat="false" ht="12.75" hidden="false" customHeight="false" outlineLevel="0" collapsed="false">
      <c r="I92" s="185"/>
    </row>
    <row r="93" customFormat="false" ht="12.75" hidden="false" customHeight="false" outlineLevel="0" collapsed="false">
      <c r="I93" s="185"/>
    </row>
    <row r="94" customFormat="false" ht="12.75" hidden="false" customHeight="false" outlineLevel="0" collapsed="false">
      <c r="I94" s="185"/>
    </row>
    <row r="95" customFormat="false" ht="12.75" hidden="false" customHeight="false" outlineLevel="0" collapsed="false">
      <c r="I95" s="185"/>
    </row>
    <row r="96" customFormat="false" ht="12.75" hidden="false" customHeight="false" outlineLevel="0" collapsed="false">
      <c r="I96" s="185"/>
    </row>
    <row r="97" customFormat="false" ht="12.75" hidden="false" customHeight="false" outlineLevel="0" collapsed="false">
      <c r="I97" s="185"/>
    </row>
    <row r="98" customFormat="false" ht="12.75" hidden="false" customHeight="false" outlineLevel="0" collapsed="false">
      <c r="I98" s="185"/>
    </row>
    <row r="99" customFormat="false" ht="12.75" hidden="false" customHeight="false" outlineLevel="0" collapsed="false">
      <c r="I99" s="185"/>
    </row>
    <row r="100" customFormat="false" ht="12.75" hidden="false" customHeight="false" outlineLevel="0" collapsed="false">
      <c r="I100" s="185"/>
    </row>
    <row r="101" customFormat="false" ht="12.75" hidden="false" customHeight="false" outlineLevel="0" collapsed="false">
      <c r="I101" s="185"/>
    </row>
    <row r="102" customFormat="false" ht="12.75" hidden="false" customHeight="false" outlineLevel="0" collapsed="false">
      <c r="I102" s="185"/>
    </row>
    <row r="103" customFormat="false" ht="12.75" hidden="false" customHeight="false" outlineLevel="0" collapsed="false">
      <c r="I103" s="185"/>
    </row>
    <row r="104" customFormat="false" ht="12.75" hidden="false" customHeight="false" outlineLevel="0" collapsed="false">
      <c r="I104" s="185"/>
    </row>
    <row r="105" customFormat="false" ht="12.75" hidden="false" customHeight="false" outlineLevel="0" collapsed="false">
      <c r="I105" s="185"/>
    </row>
    <row r="106" customFormat="false" ht="12.75" hidden="false" customHeight="false" outlineLevel="0" collapsed="false">
      <c r="I106" s="185"/>
    </row>
    <row r="107" customFormat="false" ht="12.75" hidden="false" customHeight="false" outlineLevel="0" collapsed="false">
      <c r="I107" s="185"/>
    </row>
    <row r="108" customFormat="false" ht="12.75" hidden="false" customHeight="false" outlineLevel="0" collapsed="false">
      <c r="I108" s="185"/>
    </row>
    <row r="109" customFormat="false" ht="12.75" hidden="false" customHeight="false" outlineLevel="0" collapsed="false">
      <c r="I109" s="185"/>
    </row>
    <row r="110" customFormat="false" ht="12.75" hidden="false" customHeight="false" outlineLevel="0" collapsed="false">
      <c r="I110" s="185"/>
    </row>
    <row r="111" customFormat="false" ht="12.75" hidden="false" customHeight="false" outlineLevel="0" collapsed="false">
      <c r="I111" s="185"/>
    </row>
    <row r="112" customFormat="false" ht="12.75" hidden="false" customHeight="false" outlineLevel="0" collapsed="false">
      <c r="I112" s="185"/>
    </row>
    <row r="113" customFormat="false" ht="12.75" hidden="false" customHeight="false" outlineLevel="0" collapsed="false">
      <c r="I113" s="185"/>
    </row>
    <row r="114" customFormat="false" ht="12.75" hidden="false" customHeight="false" outlineLevel="0" collapsed="false">
      <c r="I114" s="185"/>
    </row>
    <row r="115" customFormat="false" ht="12.75" hidden="false" customHeight="false" outlineLevel="0" collapsed="false">
      <c r="I115" s="185"/>
    </row>
    <row r="116" customFormat="false" ht="12.75" hidden="false" customHeight="false" outlineLevel="0" collapsed="false">
      <c r="I116" s="185"/>
    </row>
    <row r="117" customFormat="false" ht="12.75" hidden="false" customHeight="false" outlineLevel="0" collapsed="false">
      <c r="I117" s="185"/>
    </row>
    <row r="118" customFormat="false" ht="12.75" hidden="false" customHeight="false" outlineLevel="0" collapsed="false">
      <c r="I118" s="185"/>
    </row>
    <row r="119" customFormat="false" ht="12.75" hidden="false" customHeight="false" outlineLevel="0" collapsed="false">
      <c r="I119" s="185"/>
    </row>
    <row r="120" customFormat="false" ht="12.75" hidden="false" customHeight="false" outlineLevel="0" collapsed="false">
      <c r="I120" s="185"/>
    </row>
    <row r="121" customFormat="false" ht="12.75" hidden="false" customHeight="false" outlineLevel="0" collapsed="false">
      <c r="I121" s="185"/>
    </row>
    <row r="122" customFormat="false" ht="12.75" hidden="false" customHeight="false" outlineLevel="0" collapsed="false">
      <c r="I122" s="185"/>
    </row>
    <row r="123" customFormat="false" ht="12.75" hidden="false" customHeight="false" outlineLevel="0" collapsed="false">
      <c r="I123" s="185"/>
    </row>
    <row r="124" customFormat="false" ht="12.75" hidden="false" customHeight="false" outlineLevel="0" collapsed="false">
      <c r="I124" s="185"/>
    </row>
    <row r="125" customFormat="false" ht="12.75" hidden="false" customHeight="false" outlineLevel="0" collapsed="false">
      <c r="I125" s="185"/>
    </row>
    <row r="126" customFormat="false" ht="12.75" hidden="false" customHeight="false" outlineLevel="0" collapsed="false">
      <c r="I126" s="185"/>
    </row>
    <row r="127" customFormat="false" ht="12.75" hidden="false" customHeight="false" outlineLevel="0" collapsed="false">
      <c r="I127" s="185"/>
    </row>
    <row r="128" customFormat="false" ht="12.75" hidden="false" customHeight="false" outlineLevel="0" collapsed="false">
      <c r="I128" s="185"/>
    </row>
    <row r="129" customFormat="false" ht="12.75" hidden="false" customHeight="false" outlineLevel="0" collapsed="false">
      <c r="I129" s="185"/>
    </row>
    <row r="130" customFormat="false" ht="12.75" hidden="false" customHeight="false" outlineLevel="0" collapsed="false">
      <c r="I130" s="185"/>
    </row>
    <row r="131" customFormat="false" ht="12.75" hidden="false" customHeight="false" outlineLevel="0" collapsed="false">
      <c r="I131" s="185"/>
    </row>
    <row r="132" customFormat="false" ht="12.75" hidden="false" customHeight="false" outlineLevel="0" collapsed="false">
      <c r="I132" s="185"/>
    </row>
  </sheetData>
  <mergeCells count="4">
    <mergeCell ref="A1:K1"/>
    <mergeCell ref="A2:K2"/>
    <mergeCell ref="A3:K3"/>
    <mergeCell ref="I6:K6"/>
  </mergeCells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&amp;L&amp;"Arial,Italic"&amp;8&amp;D&amp;T&amp;R&amp;"Arial,Italic"&amp;8G:/Common/TW Fuel Hedge/Fixed2_?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0.71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4.28"/>
    <col collapsed="false" customWidth="true" hidden="false" outlineLevel="0" max="8" min="8" style="0" width="12.56"/>
    <col collapsed="false" customWidth="true" hidden="false" outlineLevel="0" max="9" min="9" style="0" width="14.41"/>
    <col collapsed="false" customWidth="true" hidden="false" outlineLevel="0" max="10" min="10" style="0" width="13.41"/>
    <col collapsed="false" customWidth="true" hidden="false" outlineLevel="0" max="11" min="11" style="0" width="14.41"/>
  </cols>
  <sheetData>
    <row r="1" customFormat="false" ht="15" hidden="false" customHeight="false" outlineLevel="0" collapsed="false">
      <c r="A1" s="107" t="s">
        <v>100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customFormat="false" ht="15" hidden="false" customHeight="false" outlineLevel="0" collapsed="false">
      <c r="A2" s="107" t="s">
        <v>87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customFormat="false" ht="15.75" hidden="false" customHeight="false" outlineLevel="0" collapsed="false">
      <c r="A3" s="144" t="s">
        <v>157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</row>
    <row r="4" customFormat="false" ht="15.75" hidden="false" customHeight="false" outlineLevel="0" collapsed="false">
      <c r="A4" s="108"/>
      <c r="B4" s="108"/>
      <c r="C4" s="108"/>
      <c r="D4" s="108"/>
      <c r="E4" s="108"/>
      <c r="F4" s="108"/>
      <c r="G4" s="108"/>
      <c r="H4" s="108"/>
      <c r="I4" s="108"/>
      <c r="J4" s="109"/>
      <c r="K4" s="109"/>
    </row>
    <row r="6" customFormat="false" ht="12.75" hidden="false" customHeight="false" outlineLevel="0" collapsed="false">
      <c r="A6" s="110" t="s">
        <v>89</v>
      </c>
      <c r="B6" s="111" t="s">
        <v>8</v>
      </c>
      <c r="C6" s="111" t="s">
        <v>8</v>
      </c>
      <c r="D6" s="111" t="s">
        <v>90</v>
      </c>
      <c r="E6" s="111"/>
      <c r="F6" s="111" t="s">
        <v>25</v>
      </c>
      <c r="G6" s="111" t="s">
        <v>68</v>
      </c>
      <c r="H6" s="111" t="s">
        <v>28</v>
      </c>
      <c r="I6" s="112" t="s">
        <v>93</v>
      </c>
      <c r="J6" s="112"/>
      <c r="K6" s="112"/>
    </row>
    <row r="7" customFormat="false" ht="12.75" hidden="false" customHeight="false" outlineLevel="0" collapsed="false">
      <c r="A7" s="113" t="s">
        <v>22</v>
      </c>
      <c r="B7" s="114" t="s">
        <v>18</v>
      </c>
      <c r="C7" s="114" t="s">
        <v>17</v>
      </c>
      <c r="D7" s="114" t="s">
        <v>23</v>
      </c>
      <c r="E7" s="114"/>
      <c r="F7" s="114" t="s">
        <v>94</v>
      </c>
      <c r="G7" s="114" t="s">
        <v>23</v>
      </c>
      <c r="H7" s="114" t="s">
        <v>23</v>
      </c>
      <c r="I7" s="114" t="s">
        <v>30</v>
      </c>
      <c r="J7" s="114" t="s">
        <v>31</v>
      </c>
      <c r="K7" s="115" t="s">
        <v>32</v>
      </c>
    </row>
    <row r="8" customFormat="false" ht="12.75" hidden="false" customHeight="false" outlineLevel="0" collapsed="false">
      <c r="A8" s="116"/>
      <c r="B8" s="117"/>
      <c r="C8" s="117"/>
      <c r="D8" s="117"/>
      <c r="E8" s="117"/>
      <c r="F8" s="117"/>
      <c r="G8" s="118" t="s">
        <v>158</v>
      </c>
      <c r="H8" s="118" t="s">
        <v>158</v>
      </c>
      <c r="I8" s="119" t="s">
        <v>96</v>
      </c>
      <c r="J8" s="119" t="s">
        <v>96</v>
      </c>
      <c r="K8" s="120" t="s">
        <v>96</v>
      </c>
    </row>
    <row r="9" customFormat="false" ht="12.75" hidden="false" customHeight="false" outlineLevel="0" collapsed="false">
      <c r="A9" s="121" t="n">
        <v>36465</v>
      </c>
      <c r="B9" s="122" t="n">
        <v>105706</v>
      </c>
      <c r="C9" s="123" t="s">
        <v>56</v>
      </c>
      <c r="D9" s="124"/>
      <c r="E9" s="122"/>
      <c r="F9" s="125" t="n">
        <v>40000</v>
      </c>
      <c r="G9" s="124" t="n">
        <v>3.04</v>
      </c>
      <c r="H9" s="124"/>
      <c r="I9" s="126" t="n">
        <f aca="false">+G9*F9</f>
        <v>121600</v>
      </c>
      <c r="J9" s="127" t="n">
        <f aca="false">+I9</f>
        <v>121600</v>
      </c>
      <c r="K9" s="127"/>
    </row>
    <row r="10" customFormat="false" ht="12.75" hidden="false" customHeight="false" outlineLevel="0" collapsed="false">
      <c r="A10" s="121" t="n">
        <v>36495</v>
      </c>
      <c r="B10" s="122" t="n">
        <v>105706</v>
      </c>
      <c r="C10" s="123" t="s">
        <v>56</v>
      </c>
      <c r="D10" s="124"/>
      <c r="E10" s="122"/>
      <c r="F10" s="125" t="n">
        <v>40000</v>
      </c>
      <c r="G10" s="124" t="n">
        <v>2.11</v>
      </c>
      <c r="H10" s="124"/>
      <c r="I10" s="126" t="n">
        <f aca="false">+G10*F10</f>
        <v>84400</v>
      </c>
      <c r="J10" s="127" t="n">
        <f aca="false">+I10</f>
        <v>84400</v>
      </c>
      <c r="K10" s="127"/>
    </row>
    <row r="11" customFormat="false" ht="12.75" hidden="false" customHeight="false" outlineLevel="0" collapsed="false">
      <c r="A11" s="121" t="n">
        <v>36526</v>
      </c>
      <c r="B11" s="122" t="n">
        <v>105706</v>
      </c>
      <c r="C11" s="123" t="s">
        <v>56</v>
      </c>
      <c r="D11" s="124"/>
      <c r="E11" s="122"/>
      <c r="F11" s="125" t="n">
        <v>40000</v>
      </c>
      <c r="G11" s="124" t="n">
        <v>2.33</v>
      </c>
      <c r="H11" s="124"/>
      <c r="I11" s="126" t="n">
        <f aca="false">+G11*F11</f>
        <v>93200</v>
      </c>
      <c r="J11" s="127" t="n">
        <f aca="false">+I11</f>
        <v>93200</v>
      </c>
      <c r="K11" s="127"/>
    </row>
    <row r="12" customFormat="false" ht="12.75" hidden="false" customHeight="false" outlineLevel="0" collapsed="false">
      <c r="A12" s="121" t="n">
        <v>36557</v>
      </c>
      <c r="B12" s="122" t="n">
        <v>105706</v>
      </c>
      <c r="C12" s="123" t="s">
        <v>56</v>
      </c>
      <c r="D12" s="124"/>
      <c r="E12" s="122"/>
      <c r="F12" s="125" t="n">
        <v>40000</v>
      </c>
      <c r="G12" s="124" t="n">
        <v>2.58</v>
      </c>
      <c r="H12" s="124"/>
      <c r="I12" s="126" t="n">
        <f aca="false">+G12*F12</f>
        <v>103200</v>
      </c>
      <c r="J12" s="127" t="n">
        <f aca="false">+I12</f>
        <v>103200</v>
      </c>
      <c r="K12" s="127"/>
    </row>
    <row r="13" customFormat="false" ht="12.75" hidden="false" customHeight="false" outlineLevel="0" collapsed="false">
      <c r="A13" s="121" t="n">
        <v>36586</v>
      </c>
      <c r="B13" s="122" t="n">
        <v>105706</v>
      </c>
      <c r="C13" s="123" t="s">
        <v>56</v>
      </c>
      <c r="D13" s="124"/>
      <c r="E13" s="122"/>
      <c r="F13" s="125" t="n">
        <v>40000</v>
      </c>
      <c r="G13" s="124" t="n">
        <v>2.55</v>
      </c>
      <c r="H13" s="124"/>
      <c r="I13" s="126" t="n">
        <f aca="false">+G13*F13</f>
        <v>102000</v>
      </c>
      <c r="J13" s="127" t="n">
        <f aca="false">+I13</f>
        <v>102000</v>
      </c>
      <c r="K13" s="127"/>
    </row>
    <row r="14" customFormat="false" ht="12.75" hidden="false" customHeight="false" outlineLevel="0" collapsed="false">
      <c r="A14" s="121" t="n">
        <v>36617</v>
      </c>
      <c r="B14" s="122" t="n">
        <v>105706</v>
      </c>
      <c r="C14" s="123" t="s">
        <v>56</v>
      </c>
      <c r="D14" s="124"/>
      <c r="E14" s="122"/>
      <c r="F14" s="146" t="n">
        <v>30000</v>
      </c>
      <c r="G14" s="124" t="n">
        <v>2.8</v>
      </c>
      <c r="H14" s="124"/>
      <c r="I14" s="147" t="n">
        <f aca="false">+G14*F14</f>
        <v>84000</v>
      </c>
      <c r="J14" s="179" t="n">
        <f aca="false">+I14</f>
        <v>84000</v>
      </c>
      <c r="K14" s="148"/>
    </row>
    <row r="15" customFormat="false" ht="12.75" hidden="false" customHeight="false" outlineLevel="0" collapsed="false">
      <c r="A15" s="121"/>
      <c r="B15" s="122"/>
      <c r="C15" s="123"/>
      <c r="D15" s="124"/>
      <c r="E15" s="122"/>
      <c r="F15" s="125" t="n">
        <f aca="false">SUM(F9:F14)</f>
        <v>230000</v>
      </c>
      <c r="G15" s="122"/>
      <c r="H15" s="124"/>
      <c r="I15" s="126" t="n">
        <f aca="false">SUM(I9:I14)</f>
        <v>588400</v>
      </c>
      <c r="J15" s="126" t="n">
        <f aca="false">SUM(J9:J14)</f>
        <v>588400</v>
      </c>
      <c r="K15" s="126" t="n">
        <f aca="false">SUM(K9:K14)</f>
        <v>0</v>
      </c>
    </row>
    <row r="16" customFormat="false" ht="12.75" hidden="false" customHeight="false" outlineLevel="0" collapsed="false">
      <c r="A16" s="121"/>
      <c r="B16" s="122"/>
      <c r="C16" s="123"/>
      <c r="D16" s="124"/>
      <c r="E16" s="122"/>
      <c r="G16" s="122"/>
      <c r="H16" s="124"/>
      <c r="I16" s="126"/>
      <c r="J16" s="126"/>
      <c r="K16" s="126"/>
    </row>
    <row r="17" customFormat="false" ht="12.75" hidden="false" customHeight="false" outlineLevel="0" collapsed="false">
      <c r="A17" s="121"/>
      <c r="B17" s="122"/>
      <c r="C17" s="123"/>
      <c r="D17" s="124"/>
      <c r="E17" s="122"/>
      <c r="G17" s="122"/>
      <c r="H17" s="124"/>
      <c r="I17" s="126"/>
      <c r="J17" s="149"/>
      <c r="K17" s="149"/>
    </row>
    <row r="18" customFormat="false" ht="12.75" hidden="false" customHeight="false" outlineLevel="0" collapsed="false">
      <c r="A18" s="121"/>
      <c r="B18" s="122"/>
      <c r="C18" s="123"/>
      <c r="D18" s="124"/>
      <c r="E18" s="122"/>
      <c r="F18" s="125"/>
      <c r="G18" s="122"/>
      <c r="H18" s="195" t="s">
        <v>159</v>
      </c>
      <c r="I18" s="126"/>
      <c r="J18" s="128"/>
      <c r="K18" s="149"/>
    </row>
    <row r="19" customFormat="false" ht="12.75" hidden="false" customHeight="false" outlineLevel="0" collapsed="false">
      <c r="A19" s="121"/>
      <c r="B19" s="122"/>
      <c r="C19" s="123"/>
      <c r="D19" s="124"/>
      <c r="E19" s="122"/>
      <c r="F19" s="125"/>
      <c r="G19" s="122"/>
      <c r="H19" s="124"/>
      <c r="I19" s="126"/>
      <c r="J19" s="128"/>
      <c r="K19" s="149"/>
    </row>
    <row r="20" customFormat="false" ht="12.75" hidden="false" customHeight="false" outlineLevel="0" collapsed="false">
      <c r="A20" s="121" t="n">
        <v>36465</v>
      </c>
      <c r="B20" s="122" t="n">
        <v>105706</v>
      </c>
      <c r="C20" s="123" t="s">
        <v>56</v>
      </c>
      <c r="D20" s="124"/>
      <c r="E20" s="122"/>
      <c r="F20" s="125" t="n">
        <v>-40000</v>
      </c>
      <c r="G20" s="124" t="n">
        <v>3.131</v>
      </c>
      <c r="H20" s="124"/>
      <c r="I20" s="126" t="n">
        <f aca="false">+G20*F20</f>
        <v>-125240</v>
      </c>
      <c r="J20" s="127" t="n">
        <f aca="false">+I20</f>
        <v>-125240</v>
      </c>
      <c r="K20" s="127"/>
    </row>
    <row r="21" customFormat="false" ht="12.75" hidden="false" customHeight="false" outlineLevel="0" collapsed="false">
      <c r="A21" s="121" t="n">
        <v>36495</v>
      </c>
      <c r="B21" s="122" t="n">
        <v>105706</v>
      </c>
      <c r="C21" s="123" t="s">
        <v>56</v>
      </c>
      <c r="D21" s="124"/>
      <c r="E21" s="122"/>
      <c r="F21" s="125" t="n">
        <v>-40000</v>
      </c>
      <c r="G21" s="124" t="n">
        <v>2.2</v>
      </c>
      <c r="H21" s="124"/>
      <c r="I21" s="126" t="n">
        <f aca="false">+G21*F21</f>
        <v>-88000</v>
      </c>
      <c r="J21" s="127" t="n">
        <f aca="false">+I21</f>
        <v>-88000</v>
      </c>
      <c r="K21" s="127"/>
    </row>
    <row r="22" customFormat="false" ht="12.75" hidden="false" customHeight="false" outlineLevel="0" collapsed="false">
      <c r="A22" s="121" t="n">
        <v>36526</v>
      </c>
      <c r="B22" s="122" t="n">
        <v>105706</v>
      </c>
      <c r="C22" s="123" t="s">
        <v>56</v>
      </c>
      <c r="D22" s="124"/>
      <c r="E22" s="122"/>
      <c r="F22" s="125" t="n">
        <v>-40000</v>
      </c>
      <c r="G22" s="124" t="n">
        <v>2.44</v>
      </c>
      <c r="H22" s="124"/>
      <c r="I22" s="126" t="n">
        <f aca="false">+G22*F22</f>
        <v>-97600</v>
      </c>
      <c r="J22" s="127" t="n">
        <f aca="false">+I22</f>
        <v>-97600</v>
      </c>
      <c r="K22" s="127"/>
    </row>
    <row r="23" customFormat="false" ht="12.75" hidden="false" customHeight="false" outlineLevel="0" collapsed="false">
      <c r="A23" s="121" t="n">
        <v>36557</v>
      </c>
      <c r="B23" s="122" t="n">
        <v>105706</v>
      </c>
      <c r="C23" s="123" t="s">
        <v>56</v>
      </c>
      <c r="D23" s="124"/>
      <c r="E23" s="122"/>
      <c r="F23" s="125" t="n">
        <v>-40000</v>
      </c>
      <c r="G23" s="124" t="n">
        <v>2.68</v>
      </c>
      <c r="H23" s="124"/>
      <c r="I23" s="126" t="n">
        <f aca="false">+G23*F23</f>
        <v>-107200</v>
      </c>
      <c r="J23" s="127" t="n">
        <f aca="false">+I23</f>
        <v>-107200</v>
      </c>
      <c r="K23" s="127"/>
    </row>
    <row r="24" customFormat="false" ht="12.75" hidden="false" customHeight="false" outlineLevel="0" collapsed="false">
      <c r="A24" s="121" t="n">
        <v>36586</v>
      </c>
      <c r="B24" s="122" t="n">
        <v>105706</v>
      </c>
      <c r="C24" s="123" t="s">
        <v>56</v>
      </c>
      <c r="D24" s="124"/>
      <c r="E24" s="122"/>
      <c r="F24" s="125" t="n">
        <v>-40000</v>
      </c>
      <c r="G24" s="124" t="n">
        <v>2.53</v>
      </c>
      <c r="H24" s="124"/>
      <c r="I24" s="126" t="n">
        <f aca="false">+G24*F24</f>
        <v>-101200</v>
      </c>
      <c r="J24" s="127" t="n">
        <f aca="false">+I24</f>
        <v>-101200</v>
      </c>
      <c r="K24" s="127"/>
    </row>
    <row r="25" customFormat="false" ht="12.75" hidden="false" customHeight="false" outlineLevel="0" collapsed="false">
      <c r="A25" s="121" t="n">
        <v>36617</v>
      </c>
      <c r="B25" s="122" t="n">
        <v>105706</v>
      </c>
      <c r="C25" s="123" t="s">
        <v>56</v>
      </c>
      <c r="D25" s="124"/>
      <c r="E25" s="122"/>
      <c r="F25" s="146" t="n">
        <v>-30000</v>
      </c>
      <c r="G25" s="124" t="n">
        <v>2.93</v>
      </c>
      <c r="H25" s="124"/>
      <c r="I25" s="147" t="n">
        <f aca="false">+G25*F25</f>
        <v>-87900</v>
      </c>
      <c r="J25" s="179" t="n">
        <f aca="false">+I25</f>
        <v>-87900</v>
      </c>
      <c r="K25" s="148"/>
    </row>
    <row r="26" customFormat="false" ht="12.75" hidden="false" customHeight="false" outlineLevel="0" collapsed="false">
      <c r="A26" s="121"/>
      <c r="B26" s="122"/>
      <c r="C26" s="123"/>
      <c r="D26" s="124"/>
      <c r="E26" s="122"/>
      <c r="F26" s="125" t="n">
        <f aca="false">SUM(F20:F25)</f>
        <v>-230000</v>
      </c>
      <c r="G26" s="122"/>
      <c r="H26" s="124"/>
      <c r="I26" s="196" t="n">
        <f aca="false">SUM(I20:I25)</f>
        <v>-607140</v>
      </c>
      <c r="J26" s="196" t="n">
        <f aca="false">SUM(J20:J25)</f>
        <v>-607140</v>
      </c>
      <c r="K26" s="196" t="n">
        <f aca="false">SUM(K20:K25)</f>
        <v>0</v>
      </c>
      <c r="L26" s="174"/>
    </row>
    <row r="27" customFormat="false" ht="12.75" hidden="false" customHeight="false" outlineLevel="0" collapsed="false">
      <c r="A27" s="121"/>
      <c r="B27" s="122"/>
      <c r="C27" s="123"/>
      <c r="D27" s="124"/>
      <c r="E27" s="122"/>
      <c r="F27" s="125"/>
      <c r="G27" s="122"/>
      <c r="H27" s="124"/>
      <c r="I27" s="126"/>
      <c r="J27" s="128"/>
      <c r="K27" s="149"/>
    </row>
    <row r="28" customFormat="false" ht="13.5" hidden="false" customHeight="false" outlineLevel="0" collapsed="false">
      <c r="A28" s="121"/>
      <c r="B28" s="122"/>
      <c r="C28" s="123"/>
      <c r="D28" s="124"/>
      <c r="E28" s="122"/>
      <c r="F28" s="150" t="n">
        <f aca="false">+F26+F15</f>
        <v>0</v>
      </c>
      <c r="G28" s="122"/>
      <c r="H28" s="124"/>
      <c r="I28" s="151" t="n">
        <f aca="false">+I26+I15</f>
        <v>-18740</v>
      </c>
      <c r="J28" s="151" t="n">
        <f aca="false">+J26+J15</f>
        <v>-18740</v>
      </c>
      <c r="K28" s="151" t="n">
        <f aca="false">+K26+K15</f>
        <v>0</v>
      </c>
    </row>
    <row r="29" customFormat="false" ht="13.5" hidden="false" customHeight="false" outlineLevel="0" collapsed="false">
      <c r="A29" s="141"/>
      <c r="B29" s="141"/>
      <c r="C29" s="141"/>
      <c r="D29" s="141"/>
      <c r="E29" s="141"/>
      <c r="F29" s="141"/>
      <c r="G29" s="141"/>
      <c r="H29" s="141"/>
      <c r="I29" s="141"/>
      <c r="J29" s="142"/>
      <c r="K29" s="142"/>
    </row>
    <row r="31" customFormat="false" ht="12.75" hidden="false" customHeight="false" outlineLevel="0" collapsed="false">
      <c r="A31" s="105" t="s">
        <v>99</v>
      </c>
    </row>
  </sheetData>
  <mergeCells count="4">
    <mergeCell ref="A1:K1"/>
    <mergeCell ref="A2:K2"/>
    <mergeCell ref="A3:K3"/>
    <mergeCell ref="I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33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A4" activeCellId="0" sqref="A4:IV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1" style="0" width="10.71"/>
    <col collapsed="false" customWidth="true" hidden="true" outlineLevel="0" max="5" min="5" style="0" width="10.71"/>
    <col collapsed="false" customWidth="true" hidden="false" outlineLevel="0" max="8" min="6" style="0" width="10.71"/>
    <col collapsed="false" customWidth="true" hidden="false" outlineLevel="0" max="9" min="9" style="0" width="13.7"/>
    <col collapsed="false" customWidth="true" hidden="false" outlineLevel="0" max="10" min="10" style="185" width="12.14"/>
    <col collapsed="false" customWidth="true" hidden="false" outlineLevel="0" max="11" min="11" style="185" width="13.7"/>
  </cols>
  <sheetData>
    <row r="1" customFormat="false" ht="15" hidden="false" customHeight="false" outlineLevel="0" collapsed="false">
      <c r="A1" s="107" t="s">
        <v>86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customFormat="false" ht="15" hidden="false" customHeight="false" outlineLevel="0" collapsed="false">
      <c r="A2" s="107" t="s">
        <v>87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customFormat="false" ht="15.75" hidden="false" customHeight="false" outlineLevel="0" collapsed="false">
      <c r="A3" s="107" t="s">
        <v>160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4" customFormat="false" ht="15.75" hidden="false" customHeight="false" outlineLevel="0" collapsed="false">
      <c r="A4" s="107" t="s">
        <v>161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</row>
    <row r="5" customFormat="false" ht="15.75" hidden="false" customHeight="false" outlineLevel="0" collapsed="false">
      <c r="A5" s="108"/>
      <c r="B5" s="108"/>
      <c r="C5" s="108"/>
      <c r="D5" s="108"/>
      <c r="E5" s="108"/>
      <c r="F5" s="108"/>
      <c r="G5" s="108"/>
      <c r="H5" s="108"/>
      <c r="I5" s="108"/>
      <c r="J5" s="186"/>
      <c r="K5" s="186"/>
    </row>
    <row r="7" customFormat="false" ht="12.75" hidden="false" customHeight="false" outlineLevel="0" collapsed="false">
      <c r="A7" s="110" t="s">
        <v>89</v>
      </c>
      <c r="B7" s="111" t="s">
        <v>8</v>
      </c>
      <c r="C7" s="111" t="s">
        <v>8</v>
      </c>
      <c r="D7" s="111" t="s">
        <v>90</v>
      </c>
      <c r="E7" s="111"/>
      <c r="F7" s="111" t="s">
        <v>91</v>
      </c>
      <c r="G7" s="111" t="s">
        <v>68</v>
      </c>
      <c r="H7" s="111" t="s">
        <v>28</v>
      </c>
      <c r="I7" s="112" t="s">
        <v>93</v>
      </c>
      <c r="J7" s="112"/>
      <c r="K7" s="112"/>
    </row>
    <row r="8" customFormat="false" ht="12.75" hidden="false" customHeight="false" outlineLevel="0" collapsed="false">
      <c r="A8" s="113" t="s">
        <v>22</v>
      </c>
      <c r="B8" s="114" t="s">
        <v>18</v>
      </c>
      <c r="C8" s="114" t="s">
        <v>17</v>
      </c>
      <c r="D8" s="114" t="s">
        <v>23</v>
      </c>
      <c r="E8" s="114"/>
      <c r="F8" s="114" t="s">
        <v>94</v>
      </c>
      <c r="G8" s="114" t="s">
        <v>23</v>
      </c>
      <c r="H8" s="114" t="s">
        <v>23</v>
      </c>
      <c r="I8" s="114" t="s">
        <v>30</v>
      </c>
      <c r="J8" s="114" t="s">
        <v>31</v>
      </c>
      <c r="K8" s="115" t="s">
        <v>32</v>
      </c>
    </row>
    <row r="9" customFormat="false" ht="12.75" hidden="false" customHeight="false" outlineLevel="0" collapsed="false">
      <c r="A9" s="116"/>
      <c r="B9" s="117"/>
      <c r="C9" s="117"/>
      <c r="D9" s="117"/>
      <c r="E9" s="117"/>
      <c r="F9" s="117"/>
      <c r="G9" s="187" t="s">
        <v>144</v>
      </c>
      <c r="H9" s="119"/>
      <c r="I9" s="119" t="s">
        <v>96</v>
      </c>
      <c r="J9" s="119" t="s">
        <v>96</v>
      </c>
      <c r="K9" s="120" t="s">
        <v>96</v>
      </c>
    </row>
    <row r="10" customFormat="false" ht="12.75" hidden="false" customHeight="false" outlineLevel="0" collapsed="false">
      <c r="A10" s="197" t="n">
        <v>35947</v>
      </c>
      <c r="B10" s="122"/>
      <c r="C10" s="123" t="s">
        <v>37</v>
      </c>
      <c r="D10" s="126" t="n">
        <f aca="false">2.22</f>
        <v>2.22</v>
      </c>
      <c r="E10" s="126"/>
      <c r="F10" s="125" t="n">
        <f aca="false">250*30</f>
        <v>7500</v>
      </c>
      <c r="G10" s="126" t="n">
        <f aca="false">1.82</f>
        <v>1.82</v>
      </c>
      <c r="H10" s="126"/>
      <c r="I10" s="149" t="n">
        <f aca="false">SUM(D10-G10)*F10</f>
        <v>3000</v>
      </c>
      <c r="J10" s="149" t="n">
        <f aca="false">+I10</f>
        <v>3000</v>
      </c>
      <c r="K10" s="149"/>
    </row>
    <row r="11" customFormat="false" ht="12.75" hidden="false" customHeight="false" outlineLevel="0" collapsed="false">
      <c r="A11" s="197" t="n">
        <v>35977</v>
      </c>
      <c r="B11" s="122"/>
      <c r="C11" s="123" t="s">
        <v>37</v>
      </c>
      <c r="D11" s="126" t="n">
        <f aca="false">2.22</f>
        <v>2.22</v>
      </c>
      <c r="E11" s="126"/>
      <c r="F11" s="125" t="n">
        <f aca="false">250*31</f>
        <v>7750</v>
      </c>
      <c r="G11" s="126" t="n">
        <f aca="false">1.86</f>
        <v>1.86</v>
      </c>
      <c r="H11" s="126"/>
      <c r="I11" s="149" t="n">
        <f aca="false">SUM(D11-G11)*F11</f>
        <v>2790</v>
      </c>
      <c r="J11" s="149" t="n">
        <f aca="false">+I11</f>
        <v>2790</v>
      </c>
      <c r="K11" s="149"/>
    </row>
    <row r="12" customFormat="false" ht="12.75" hidden="false" customHeight="false" outlineLevel="0" collapsed="false">
      <c r="A12" s="197" t="n">
        <v>36008</v>
      </c>
      <c r="B12" s="122"/>
      <c r="C12" s="123" t="s">
        <v>37</v>
      </c>
      <c r="D12" s="126" t="n">
        <f aca="false">2.22</f>
        <v>2.22</v>
      </c>
      <c r="E12" s="126"/>
      <c r="F12" s="125" t="n">
        <f aca="false">250*31</f>
        <v>7750</v>
      </c>
      <c r="G12" s="126" t="n">
        <f aca="false">1.81</f>
        <v>1.81</v>
      </c>
      <c r="H12" s="126"/>
      <c r="I12" s="149" t="n">
        <f aca="false">SUM(D12-G12)*F12</f>
        <v>3177.5</v>
      </c>
      <c r="J12" s="149" t="n">
        <f aca="false">+I12</f>
        <v>3177.5</v>
      </c>
      <c r="K12" s="149"/>
    </row>
    <row r="13" customFormat="false" ht="12.75" hidden="false" customHeight="false" outlineLevel="0" collapsed="false">
      <c r="A13" s="197" t="n">
        <v>36039</v>
      </c>
      <c r="B13" s="122"/>
      <c r="C13" s="123" t="s">
        <v>37</v>
      </c>
      <c r="D13" s="126" t="n">
        <f aca="false">2.22</f>
        <v>2.22</v>
      </c>
      <c r="E13" s="126"/>
      <c r="F13" s="125" t="n">
        <f aca="false">250*30</f>
        <v>7500</v>
      </c>
      <c r="G13" s="126" t="n">
        <f aca="false">1.55</f>
        <v>1.55</v>
      </c>
      <c r="H13" s="126"/>
      <c r="I13" s="149" t="n">
        <f aca="false">SUM(D13-G13)*F13</f>
        <v>5025</v>
      </c>
      <c r="J13" s="149" t="n">
        <f aca="false">+I13</f>
        <v>5025</v>
      </c>
      <c r="K13" s="149"/>
    </row>
    <row r="14" customFormat="false" ht="12.75" hidden="false" customHeight="false" outlineLevel="0" collapsed="false">
      <c r="A14" s="197" t="n">
        <v>36069</v>
      </c>
      <c r="B14" s="122"/>
      <c r="C14" s="123" t="s">
        <v>37</v>
      </c>
      <c r="D14" s="126" t="n">
        <f aca="false">2.22</f>
        <v>2.22</v>
      </c>
      <c r="E14" s="126"/>
      <c r="F14" s="125" t="n">
        <f aca="false">250*31</f>
        <v>7750</v>
      </c>
      <c r="G14" s="126" t="n">
        <f aca="false">1.67</f>
        <v>1.67</v>
      </c>
      <c r="H14" s="126"/>
      <c r="I14" s="149" t="n">
        <f aca="false">SUM(D14-G14)*F14</f>
        <v>4262.5</v>
      </c>
      <c r="J14" s="149" t="n">
        <f aca="false">+I14</f>
        <v>4262.5</v>
      </c>
      <c r="K14" s="149"/>
    </row>
    <row r="15" customFormat="false" ht="12.75" hidden="false" customHeight="false" outlineLevel="0" collapsed="false">
      <c r="A15" s="197" t="n">
        <v>36100</v>
      </c>
      <c r="B15" s="122"/>
      <c r="C15" s="123" t="s">
        <v>37</v>
      </c>
      <c r="D15" s="126" t="n">
        <f aca="false">2.22</f>
        <v>2.22</v>
      </c>
      <c r="E15" s="126"/>
      <c r="F15" s="125" t="n">
        <f aca="false">250*30</f>
        <v>7500</v>
      </c>
      <c r="G15" s="126" t="n">
        <v>1.88</v>
      </c>
      <c r="H15" s="126"/>
      <c r="I15" s="149" t="n">
        <f aca="false">SUM(D15-G15)*F15</f>
        <v>2550</v>
      </c>
      <c r="J15" s="149" t="n">
        <f aca="false">+I15</f>
        <v>2550</v>
      </c>
      <c r="K15" s="149"/>
    </row>
    <row r="16" customFormat="false" ht="12.75" hidden="false" customHeight="false" outlineLevel="0" collapsed="false">
      <c r="A16" s="197" t="n">
        <v>36130</v>
      </c>
      <c r="B16" s="122"/>
      <c r="C16" s="123" t="s">
        <v>37</v>
      </c>
      <c r="D16" s="126" t="n">
        <f aca="false">2.22</f>
        <v>2.22</v>
      </c>
      <c r="E16" s="126"/>
      <c r="F16" s="125" t="n">
        <f aca="false">250*31</f>
        <v>7750</v>
      </c>
      <c r="G16" s="126" t="n">
        <v>1.96</v>
      </c>
      <c r="H16" s="126"/>
      <c r="I16" s="149" t="n">
        <f aca="false">SUM(D16-G16)*F16</f>
        <v>2015</v>
      </c>
      <c r="J16" s="149" t="n">
        <f aca="false">+I16</f>
        <v>2015</v>
      </c>
      <c r="K16" s="149"/>
    </row>
    <row r="17" customFormat="false" ht="12.75" hidden="false" customHeight="false" outlineLevel="0" collapsed="false">
      <c r="A17" s="197" t="n">
        <v>36161</v>
      </c>
      <c r="B17" s="122"/>
      <c r="C17" s="123" t="s">
        <v>37</v>
      </c>
      <c r="D17" s="126" t="n">
        <f aca="false">2.22</f>
        <v>2.22</v>
      </c>
      <c r="E17" s="126"/>
      <c r="F17" s="125" t="n">
        <f aca="false">250*31</f>
        <v>7750</v>
      </c>
      <c r="G17" s="126" t="n">
        <v>1.72</v>
      </c>
      <c r="H17" s="126"/>
      <c r="I17" s="149" t="n">
        <f aca="false">SUM(D17-G17)*F17</f>
        <v>3875</v>
      </c>
      <c r="J17" s="149" t="n">
        <f aca="false">+I17</f>
        <v>3875</v>
      </c>
      <c r="K17" s="149"/>
    </row>
    <row r="18" customFormat="false" ht="12.75" hidden="false" customHeight="false" outlineLevel="0" collapsed="false">
      <c r="A18" s="197" t="n">
        <v>36192</v>
      </c>
      <c r="B18" s="122"/>
      <c r="C18" s="123" t="s">
        <v>37</v>
      </c>
      <c r="D18" s="126" t="n">
        <f aca="false">2.22</f>
        <v>2.22</v>
      </c>
      <c r="E18" s="126"/>
      <c r="F18" s="125" t="n">
        <f aca="false">250*28</f>
        <v>7000</v>
      </c>
      <c r="G18" s="126" t="n">
        <v>1.63</v>
      </c>
      <c r="H18" s="126"/>
      <c r="I18" s="149" t="n">
        <f aca="false">SUM(D18-G18)*F18</f>
        <v>4130</v>
      </c>
      <c r="J18" s="149" t="n">
        <f aca="false">+I18</f>
        <v>4130</v>
      </c>
      <c r="K18" s="149"/>
    </row>
    <row r="19" customFormat="false" ht="12.75" hidden="false" customHeight="false" outlineLevel="0" collapsed="false">
      <c r="A19" s="197" t="n">
        <v>36220</v>
      </c>
      <c r="B19" s="122"/>
      <c r="C19" s="123" t="s">
        <v>37</v>
      </c>
      <c r="D19" s="126" t="n">
        <f aca="false">2.22</f>
        <v>2.22</v>
      </c>
      <c r="E19" s="126"/>
      <c r="F19" s="125" t="n">
        <f aca="false">250*31</f>
        <v>7750</v>
      </c>
      <c r="G19" s="126" t="n">
        <v>1.51</v>
      </c>
      <c r="H19" s="126"/>
      <c r="I19" s="149" t="n">
        <f aca="false">SUM(D19-G19)*F19</f>
        <v>5502.5</v>
      </c>
      <c r="J19" s="149" t="n">
        <f aca="false">+I19</f>
        <v>5502.5</v>
      </c>
      <c r="K19" s="149"/>
    </row>
    <row r="20" customFormat="false" ht="12.75" hidden="false" customHeight="false" outlineLevel="0" collapsed="false">
      <c r="A20" s="197" t="n">
        <v>36251</v>
      </c>
      <c r="B20" s="122"/>
      <c r="C20" s="123" t="s">
        <v>37</v>
      </c>
      <c r="D20" s="126" t="n">
        <f aca="false">2.22</f>
        <v>2.22</v>
      </c>
      <c r="E20" s="126"/>
      <c r="F20" s="125" t="n">
        <f aca="false">250*30</f>
        <v>7500</v>
      </c>
      <c r="G20" s="126" t="n">
        <v>1.59</v>
      </c>
      <c r="H20" s="126"/>
      <c r="I20" s="149" t="n">
        <f aca="false">SUM(D20-G20)*F20</f>
        <v>4725</v>
      </c>
      <c r="J20" s="149" t="n">
        <f aca="false">+I20</f>
        <v>4725</v>
      </c>
      <c r="K20" s="149"/>
    </row>
    <row r="21" customFormat="false" ht="12.75" hidden="false" customHeight="false" outlineLevel="0" collapsed="false">
      <c r="A21" s="197" t="n">
        <v>36281</v>
      </c>
      <c r="B21" s="122"/>
      <c r="C21" s="123" t="s">
        <v>37</v>
      </c>
      <c r="D21" s="126" t="n">
        <f aca="false">2.22</f>
        <v>2.22</v>
      </c>
      <c r="E21" s="126"/>
      <c r="F21" s="125" t="n">
        <f aca="false">250*31</f>
        <v>7750</v>
      </c>
      <c r="G21" s="126" t="n">
        <v>2.03</v>
      </c>
      <c r="H21" s="126"/>
      <c r="I21" s="149" t="n">
        <f aca="false">SUM(D21-G21)*F21</f>
        <v>1472.5</v>
      </c>
      <c r="J21" s="149" t="n">
        <f aca="false">+I21</f>
        <v>1472.5</v>
      </c>
      <c r="K21" s="149"/>
    </row>
    <row r="22" customFormat="false" ht="12.75" hidden="false" customHeight="false" outlineLevel="0" collapsed="false">
      <c r="A22" s="174"/>
      <c r="B22" s="122"/>
      <c r="C22" s="122"/>
      <c r="D22" s="122"/>
      <c r="E22" s="122"/>
      <c r="F22" s="129" t="n">
        <f aca="false">SUM(F10:F21)</f>
        <v>91250</v>
      </c>
      <c r="G22" s="122"/>
      <c r="H22" s="122"/>
      <c r="I22" s="190" t="n">
        <f aca="false">SUM(I10:I21)</f>
        <v>42525</v>
      </c>
      <c r="J22" s="190" t="n">
        <f aca="false">SUM(J10:J21)</f>
        <v>42525</v>
      </c>
      <c r="K22" s="190" t="n">
        <f aca="false">SUM(K10:K21)</f>
        <v>0</v>
      </c>
      <c r="L22" s="167" t="n">
        <f aca="false">+J22+K22-I22</f>
        <v>0</v>
      </c>
    </row>
    <row r="23" customFormat="false" ht="12.75" hidden="false" customHeight="false" outlineLevel="0" collapsed="false">
      <c r="A23" s="174"/>
      <c r="B23" s="122"/>
      <c r="C23" s="122"/>
      <c r="D23" s="122"/>
      <c r="E23" s="122"/>
      <c r="F23" s="131"/>
      <c r="G23" s="122"/>
      <c r="H23" s="122"/>
      <c r="I23" s="133"/>
      <c r="J23" s="133"/>
      <c r="K23" s="133"/>
      <c r="L23" s="167"/>
    </row>
    <row r="24" customFormat="false" ht="12.75" hidden="false" customHeight="false" outlineLevel="0" collapsed="false">
      <c r="A24" s="174"/>
      <c r="B24" s="122"/>
      <c r="C24" s="122"/>
      <c r="D24" s="122"/>
      <c r="E24" s="122"/>
      <c r="F24" s="122"/>
      <c r="G24" s="134" t="s">
        <v>142</v>
      </c>
      <c r="H24" s="122"/>
      <c r="I24" s="149"/>
      <c r="J24" s="149"/>
      <c r="K24" s="149"/>
    </row>
    <row r="25" customFormat="false" ht="12.75" hidden="false" customHeight="false" outlineLevel="0" collapsed="false">
      <c r="A25" s="174"/>
      <c r="B25" s="122"/>
      <c r="C25" s="122"/>
      <c r="D25" s="122"/>
      <c r="E25" s="122"/>
      <c r="F25" s="122"/>
      <c r="G25" s="191"/>
      <c r="H25" s="122"/>
      <c r="I25" s="149"/>
      <c r="J25" s="149"/>
      <c r="K25" s="149"/>
    </row>
    <row r="26" customFormat="false" ht="12.75" hidden="false" customHeight="false" outlineLevel="0" collapsed="false">
      <c r="A26" s="197" t="n">
        <v>35947</v>
      </c>
      <c r="B26" s="123" t="n">
        <f aca="false">26125</f>
        <v>26125</v>
      </c>
      <c r="C26" s="123" t="s">
        <v>39</v>
      </c>
      <c r="D26" s="126" t="n">
        <f aca="false">2.22</f>
        <v>2.22</v>
      </c>
      <c r="E26" s="125" t="n">
        <f aca="false">-8600*30</f>
        <v>-258000</v>
      </c>
      <c r="F26" s="125" t="n">
        <v>-7500</v>
      </c>
      <c r="G26" s="126" t="n">
        <f aca="false">1.84</f>
        <v>1.84</v>
      </c>
      <c r="H26" s="126"/>
      <c r="K26" s="149"/>
    </row>
    <row r="27" customFormat="false" ht="12.75" hidden="false" customHeight="false" outlineLevel="0" collapsed="false">
      <c r="A27" s="197" t="n">
        <v>35977</v>
      </c>
      <c r="B27" s="123" t="n">
        <f aca="false">26125</f>
        <v>26125</v>
      </c>
      <c r="C27" s="123" t="s">
        <v>39</v>
      </c>
      <c r="D27" s="126" t="n">
        <f aca="false">2.22</f>
        <v>2.22</v>
      </c>
      <c r="E27" s="125" t="n">
        <f aca="false">-8600*31</f>
        <v>-266600</v>
      </c>
      <c r="F27" s="125" t="n">
        <v>-7750</v>
      </c>
      <c r="G27" s="126" t="n">
        <f aca="false">2.02</f>
        <v>2.02</v>
      </c>
      <c r="H27" s="126"/>
      <c r="I27" s="149" t="n">
        <f aca="false">SUM(D27-G27)*F27</f>
        <v>-1550</v>
      </c>
      <c r="J27" s="149" t="n">
        <f aca="false">+I27</f>
        <v>-1550</v>
      </c>
      <c r="K27" s="149"/>
    </row>
    <row r="28" customFormat="false" ht="12.75" hidden="false" customHeight="false" outlineLevel="0" collapsed="false">
      <c r="A28" s="197" t="n">
        <v>36008</v>
      </c>
      <c r="B28" s="123" t="n">
        <f aca="false">26125</f>
        <v>26125</v>
      </c>
      <c r="C28" s="123" t="s">
        <v>39</v>
      </c>
      <c r="D28" s="126" t="n">
        <f aca="false">2.22</f>
        <v>2.22</v>
      </c>
      <c r="E28" s="125" t="n">
        <f aca="false">-8600*31</f>
        <v>-266600</v>
      </c>
      <c r="F28" s="125" t="n">
        <v>-7750</v>
      </c>
      <c r="G28" s="126" t="n">
        <f aca="false">1.75</f>
        <v>1.75</v>
      </c>
      <c r="H28" s="126"/>
      <c r="I28" s="149" t="n">
        <f aca="false">SUM(D28-G28)*F28</f>
        <v>-3642.5</v>
      </c>
      <c r="J28" s="149" t="n">
        <f aca="false">+I28</f>
        <v>-3642.5</v>
      </c>
      <c r="K28" s="149"/>
    </row>
    <row r="29" customFormat="false" ht="12.75" hidden="false" customHeight="false" outlineLevel="0" collapsed="false">
      <c r="A29" s="197" t="n">
        <v>36039</v>
      </c>
      <c r="B29" s="123" t="n">
        <f aca="false">26125</f>
        <v>26125</v>
      </c>
      <c r="C29" s="123" t="s">
        <v>39</v>
      </c>
      <c r="D29" s="126" t="n">
        <f aca="false">2.22</f>
        <v>2.22</v>
      </c>
      <c r="E29" s="125" t="n">
        <f aca="false">-8600*30</f>
        <v>-258000</v>
      </c>
      <c r="F29" s="125" t="n">
        <v>-7500</v>
      </c>
      <c r="G29" s="126" t="n">
        <f aca="false">1.76</f>
        <v>1.76</v>
      </c>
      <c r="H29" s="126"/>
      <c r="I29" s="149" t="n">
        <f aca="false">SUM(D29-G29)*F29</f>
        <v>-3450</v>
      </c>
      <c r="J29" s="149" t="n">
        <f aca="false">+I29</f>
        <v>-3450</v>
      </c>
      <c r="K29" s="149"/>
    </row>
    <row r="30" customFormat="false" ht="12.75" hidden="false" customHeight="false" outlineLevel="0" collapsed="false">
      <c r="A30" s="197" t="n">
        <v>36069</v>
      </c>
      <c r="B30" s="123" t="n">
        <f aca="false">26125</f>
        <v>26125</v>
      </c>
      <c r="C30" s="123" t="s">
        <v>39</v>
      </c>
      <c r="D30" s="126" t="n">
        <f aca="false">2.22</f>
        <v>2.22</v>
      </c>
      <c r="E30" s="125" t="n">
        <f aca="false">-8600*31</f>
        <v>-266600</v>
      </c>
      <c r="F30" s="125" t="n">
        <v>-7750</v>
      </c>
      <c r="G30" s="126" t="n">
        <v>1.78</v>
      </c>
      <c r="H30" s="126"/>
      <c r="I30" s="149" t="n">
        <f aca="false">SUM(D30-G30)*F30</f>
        <v>-3410</v>
      </c>
      <c r="J30" s="149" t="n">
        <f aca="false">+I30</f>
        <v>-3410</v>
      </c>
      <c r="K30" s="149"/>
    </row>
    <row r="31" customFormat="false" ht="12.75" hidden="false" customHeight="false" outlineLevel="0" collapsed="false">
      <c r="A31" s="197" t="n">
        <v>36100</v>
      </c>
      <c r="B31" s="123" t="n">
        <f aca="false">26125</f>
        <v>26125</v>
      </c>
      <c r="C31" s="123" t="s">
        <v>39</v>
      </c>
      <c r="D31" s="126" t="n">
        <f aca="false">2.22</f>
        <v>2.22</v>
      </c>
      <c r="E31" s="125" t="n">
        <f aca="false">-8600*30</f>
        <v>-258000</v>
      </c>
      <c r="F31" s="125" t="n">
        <v>-7500</v>
      </c>
      <c r="G31" s="126" t="n">
        <v>1.99</v>
      </c>
      <c r="H31" s="126"/>
      <c r="I31" s="149" t="n">
        <f aca="false">SUM(D31-G31)*F31</f>
        <v>-1725</v>
      </c>
      <c r="J31" s="149" t="n">
        <f aca="false">+I31</f>
        <v>-1725</v>
      </c>
      <c r="K31" s="149"/>
    </row>
    <row r="32" customFormat="false" ht="12.75" hidden="false" customHeight="false" outlineLevel="0" collapsed="false">
      <c r="A32" s="197" t="n">
        <v>36130</v>
      </c>
      <c r="B32" s="123" t="n">
        <f aca="false">26125</f>
        <v>26125</v>
      </c>
      <c r="C32" s="123" t="s">
        <v>39</v>
      </c>
      <c r="D32" s="126" t="n">
        <f aca="false">2.22</f>
        <v>2.22</v>
      </c>
      <c r="E32" s="125" t="n">
        <f aca="false">-8600*31</f>
        <v>-266600</v>
      </c>
      <c r="F32" s="125" t="n">
        <v>-7750</v>
      </c>
      <c r="G32" s="126" t="n">
        <v>1.74</v>
      </c>
      <c r="H32" s="126"/>
      <c r="I32" s="149" t="n">
        <f aca="false">SUM(D32-G32)*F32</f>
        <v>-3720</v>
      </c>
      <c r="J32" s="149" t="n">
        <f aca="false">+I32</f>
        <v>-3720</v>
      </c>
      <c r="K32" s="149"/>
    </row>
    <row r="33" customFormat="false" ht="12.75" hidden="false" customHeight="false" outlineLevel="0" collapsed="false">
      <c r="A33" s="197" t="n">
        <v>36161</v>
      </c>
      <c r="B33" s="123" t="n">
        <f aca="false">26125</f>
        <v>26125</v>
      </c>
      <c r="C33" s="123" t="s">
        <v>39</v>
      </c>
      <c r="D33" s="126" t="n">
        <f aca="false">2.22</f>
        <v>2.22</v>
      </c>
      <c r="E33" s="125" t="n">
        <f aca="false">-8600*31</f>
        <v>-266600</v>
      </c>
      <c r="F33" s="125" t="n">
        <v>-7750</v>
      </c>
      <c r="G33" s="126" t="n">
        <v>1.73</v>
      </c>
      <c r="H33" s="126"/>
      <c r="I33" s="149" t="n">
        <f aca="false">SUM(D33-G33)*F33</f>
        <v>-3797.5</v>
      </c>
      <c r="J33" s="149" t="n">
        <f aca="false">+I33</f>
        <v>-3797.5</v>
      </c>
      <c r="K33" s="149"/>
    </row>
    <row r="34" customFormat="false" ht="12.75" hidden="false" customHeight="false" outlineLevel="0" collapsed="false">
      <c r="A34" s="197" t="n">
        <v>36192</v>
      </c>
      <c r="B34" s="123" t="n">
        <f aca="false">26125</f>
        <v>26125</v>
      </c>
      <c r="C34" s="123" t="s">
        <v>39</v>
      </c>
      <c r="D34" s="126" t="n">
        <f aca="false">2.22</f>
        <v>2.22</v>
      </c>
      <c r="E34" s="125" t="n">
        <f aca="false">-8600*28</f>
        <v>-240800</v>
      </c>
      <c r="F34" s="125" t="n">
        <v>-7000</v>
      </c>
      <c r="G34" s="126" t="n">
        <v>1.63</v>
      </c>
      <c r="H34" s="126"/>
      <c r="I34" s="149" t="n">
        <f aca="false">SUM(D34-G34)*F34</f>
        <v>-4130</v>
      </c>
      <c r="J34" s="149" t="n">
        <f aca="false">+I34</f>
        <v>-4130</v>
      </c>
      <c r="K34" s="149"/>
    </row>
    <row r="35" customFormat="false" ht="12.75" hidden="false" customHeight="false" outlineLevel="0" collapsed="false">
      <c r="A35" s="197" t="n">
        <v>36220</v>
      </c>
      <c r="B35" s="123" t="n">
        <f aca="false">26125</f>
        <v>26125</v>
      </c>
      <c r="C35" s="123" t="s">
        <v>39</v>
      </c>
      <c r="D35" s="126" t="n">
        <f aca="false">2.22</f>
        <v>2.22</v>
      </c>
      <c r="E35" s="125" t="n">
        <f aca="false">-8600*31</f>
        <v>-266600</v>
      </c>
      <c r="F35" s="125" t="n">
        <v>-7750</v>
      </c>
      <c r="G35" s="126" t="n">
        <v>1.59</v>
      </c>
      <c r="H35" s="126"/>
      <c r="I35" s="149" t="n">
        <f aca="false">SUM(D35-G35)*F35</f>
        <v>-4882.5</v>
      </c>
      <c r="J35" s="149" t="n">
        <f aca="false">+I35</f>
        <v>-4882.5</v>
      </c>
      <c r="K35" s="149"/>
    </row>
    <row r="36" customFormat="false" ht="12.75" hidden="false" customHeight="false" outlineLevel="0" collapsed="false">
      <c r="A36" s="197" t="n">
        <v>36251</v>
      </c>
      <c r="B36" s="123" t="n">
        <f aca="false">26125</f>
        <v>26125</v>
      </c>
      <c r="C36" s="123" t="s">
        <v>39</v>
      </c>
      <c r="D36" s="126" t="n">
        <f aca="false">2.22</f>
        <v>2.22</v>
      </c>
      <c r="E36" s="125" t="n">
        <f aca="false">-8600*30</f>
        <v>-258000</v>
      </c>
      <c r="F36" s="125" t="n">
        <v>-7500</v>
      </c>
      <c r="G36" s="198" t="n">
        <v>1.94</v>
      </c>
      <c r="H36" s="198"/>
      <c r="I36" s="149" t="n">
        <f aca="false">SUM(D36-G36)*F36</f>
        <v>-2100</v>
      </c>
      <c r="J36" s="149" t="n">
        <f aca="false">+I36</f>
        <v>-2100</v>
      </c>
      <c r="K36" s="149"/>
    </row>
    <row r="37" customFormat="false" ht="12.75" hidden="false" customHeight="false" outlineLevel="0" collapsed="false">
      <c r="A37" s="197" t="n">
        <v>36281</v>
      </c>
      <c r="B37" s="123" t="n">
        <f aca="false">26125</f>
        <v>26125</v>
      </c>
      <c r="C37" s="123" t="s">
        <v>39</v>
      </c>
      <c r="D37" s="126" t="n">
        <f aca="false">2.22</f>
        <v>2.22</v>
      </c>
      <c r="E37" s="125" t="n">
        <f aca="false">-8600*31</f>
        <v>-266600</v>
      </c>
      <c r="F37" s="125" t="n">
        <v>-7750</v>
      </c>
      <c r="G37" s="126" t="n">
        <v>2.06</v>
      </c>
      <c r="H37" s="126"/>
      <c r="I37" s="149" t="n">
        <f aca="false">SUM(D37-G37)*F37</f>
        <v>-1240</v>
      </c>
      <c r="J37" s="149" t="n">
        <f aca="false">+I37</f>
        <v>-1240</v>
      </c>
      <c r="K37" s="149"/>
    </row>
    <row r="38" customFormat="false" ht="12.75" hidden="false" customHeight="false" outlineLevel="0" collapsed="false">
      <c r="A38" s="174"/>
      <c r="B38" s="122"/>
      <c r="C38" s="122"/>
      <c r="D38" s="122"/>
      <c r="E38" s="122"/>
      <c r="F38" s="129" t="n">
        <f aca="false">SUM(F26:F37)</f>
        <v>-91250</v>
      </c>
      <c r="G38" s="122"/>
      <c r="H38" s="122"/>
      <c r="I38" s="190" t="n">
        <f aca="false">SUM(I27:I37)</f>
        <v>-33647.5</v>
      </c>
      <c r="J38" s="190" t="n">
        <f aca="false">SUM(J27:J37)</f>
        <v>-33647.5</v>
      </c>
      <c r="K38" s="190" t="n">
        <f aca="false">SUM(K27:K37)</f>
        <v>0</v>
      </c>
      <c r="L38" s="167" t="n">
        <f aca="false">+J38+K38-I38</f>
        <v>0</v>
      </c>
    </row>
    <row r="39" customFormat="false" ht="12.75" hidden="false" customHeight="false" outlineLevel="0" collapsed="false">
      <c r="A39" s="174"/>
      <c r="B39" s="122"/>
      <c r="C39" s="122"/>
      <c r="D39" s="122"/>
      <c r="E39" s="122"/>
      <c r="F39" s="122"/>
      <c r="G39" s="122"/>
      <c r="H39" s="122"/>
      <c r="I39" s="149"/>
      <c r="J39" s="149"/>
      <c r="K39" s="149"/>
    </row>
    <row r="40" customFormat="false" ht="13.5" hidden="false" customHeight="false" outlineLevel="0" collapsed="false">
      <c r="A40" s="174"/>
      <c r="B40" s="122"/>
      <c r="C40" s="122"/>
      <c r="D40" s="122"/>
      <c r="E40" s="122"/>
      <c r="F40" s="139" t="n">
        <f aca="false">+F22+F38</f>
        <v>0</v>
      </c>
      <c r="G40" s="122"/>
      <c r="H40" s="122"/>
      <c r="I40" s="173" t="n">
        <f aca="false">+I22+I38</f>
        <v>8877.5</v>
      </c>
      <c r="J40" s="173" t="n">
        <f aca="false">+J22+J38</f>
        <v>8877.5</v>
      </c>
      <c r="K40" s="173" t="n">
        <f aca="false">+K22+K38</f>
        <v>0</v>
      </c>
      <c r="L40" s="167" t="n">
        <f aca="false">+J40+K40-I40</f>
        <v>0</v>
      </c>
    </row>
    <row r="41" customFormat="false" ht="13.5" hidden="false" customHeight="false" outlineLevel="0" collapsed="false">
      <c r="A41" s="192"/>
      <c r="B41" s="141"/>
      <c r="C41" s="141"/>
      <c r="D41" s="141"/>
      <c r="E41" s="141"/>
      <c r="F41" s="141"/>
      <c r="G41" s="141"/>
      <c r="H41" s="141"/>
      <c r="I41" s="193"/>
      <c r="J41" s="193"/>
      <c r="K41" s="193"/>
    </row>
    <row r="42" customFormat="false" ht="12.75" hidden="false" customHeight="false" outlineLevel="0" collapsed="false">
      <c r="I42" s="185"/>
    </row>
    <row r="43" customFormat="false" ht="12.75" hidden="false" customHeight="false" outlineLevel="0" collapsed="false">
      <c r="A43" s="105" t="s">
        <v>99</v>
      </c>
      <c r="J43" s="0"/>
      <c r="K43" s="0"/>
    </row>
    <row r="44" customFormat="false" ht="11.25" hidden="false" customHeight="false" outlineLevel="0" collapsed="false">
      <c r="A44" s="105"/>
      <c r="B44" s="105"/>
      <c r="C44" s="105"/>
      <c r="D44" s="105"/>
      <c r="E44" s="105"/>
      <c r="F44" s="105"/>
      <c r="G44" s="105"/>
      <c r="H44" s="105"/>
      <c r="I44" s="194"/>
      <c r="J44" s="194"/>
      <c r="K44" s="194"/>
    </row>
    <row r="45" customFormat="false" ht="12.75" hidden="false" customHeight="false" outlineLevel="0" collapsed="false">
      <c r="I45" s="185"/>
    </row>
    <row r="46" customFormat="false" ht="12.75" hidden="false" customHeight="false" outlineLevel="0" collapsed="false">
      <c r="I46" s="185"/>
    </row>
    <row r="47" customFormat="false" ht="12.75" hidden="false" customHeight="false" outlineLevel="0" collapsed="false">
      <c r="I47" s="185"/>
    </row>
    <row r="48" customFormat="false" ht="12.75" hidden="false" customHeight="false" outlineLevel="0" collapsed="false">
      <c r="I48" s="185"/>
    </row>
    <row r="49" customFormat="false" ht="12.75" hidden="false" customHeight="false" outlineLevel="0" collapsed="false">
      <c r="I49" s="185"/>
    </row>
    <row r="50" customFormat="false" ht="12.75" hidden="false" customHeight="false" outlineLevel="0" collapsed="false">
      <c r="I50" s="185"/>
    </row>
    <row r="51" customFormat="false" ht="12.75" hidden="false" customHeight="false" outlineLevel="0" collapsed="false">
      <c r="I51" s="185"/>
    </row>
    <row r="52" customFormat="false" ht="12.75" hidden="false" customHeight="false" outlineLevel="0" collapsed="false">
      <c r="I52" s="185"/>
    </row>
    <row r="53" customFormat="false" ht="12.75" hidden="false" customHeight="false" outlineLevel="0" collapsed="false">
      <c r="I53" s="185"/>
    </row>
    <row r="54" customFormat="false" ht="12.75" hidden="false" customHeight="false" outlineLevel="0" collapsed="false">
      <c r="I54" s="185"/>
    </row>
    <row r="55" customFormat="false" ht="12.75" hidden="false" customHeight="false" outlineLevel="0" collapsed="false">
      <c r="I55" s="185"/>
    </row>
    <row r="56" customFormat="false" ht="12.75" hidden="false" customHeight="false" outlineLevel="0" collapsed="false">
      <c r="I56" s="185"/>
    </row>
    <row r="57" customFormat="false" ht="12.75" hidden="false" customHeight="false" outlineLevel="0" collapsed="false">
      <c r="I57" s="185"/>
    </row>
    <row r="58" customFormat="false" ht="12.75" hidden="false" customHeight="false" outlineLevel="0" collapsed="false">
      <c r="I58" s="185"/>
    </row>
    <row r="59" customFormat="false" ht="12.75" hidden="false" customHeight="false" outlineLevel="0" collapsed="false">
      <c r="I59" s="185"/>
    </row>
    <row r="60" customFormat="false" ht="12.75" hidden="false" customHeight="false" outlineLevel="0" collapsed="false">
      <c r="I60" s="185"/>
    </row>
    <row r="61" customFormat="false" ht="12.75" hidden="false" customHeight="false" outlineLevel="0" collapsed="false">
      <c r="I61" s="185"/>
    </row>
    <row r="62" customFormat="false" ht="12.75" hidden="false" customHeight="false" outlineLevel="0" collapsed="false">
      <c r="I62" s="185"/>
    </row>
    <row r="63" customFormat="false" ht="12.75" hidden="false" customHeight="false" outlineLevel="0" collapsed="false">
      <c r="I63" s="185"/>
    </row>
    <row r="64" customFormat="false" ht="12.75" hidden="false" customHeight="false" outlineLevel="0" collapsed="false">
      <c r="I64" s="185"/>
    </row>
    <row r="65" customFormat="false" ht="12.75" hidden="false" customHeight="false" outlineLevel="0" collapsed="false">
      <c r="I65" s="185"/>
    </row>
    <row r="66" customFormat="false" ht="12.75" hidden="false" customHeight="false" outlineLevel="0" collapsed="false">
      <c r="I66" s="185"/>
    </row>
    <row r="67" customFormat="false" ht="12.75" hidden="false" customHeight="false" outlineLevel="0" collapsed="false">
      <c r="I67" s="185"/>
    </row>
    <row r="68" customFormat="false" ht="12.75" hidden="false" customHeight="false" outlineLevel="0" collapsed="false">
      <c r="I68" s="185"/>
    </row>
    <row r="69" customFormat="false" ht="12.75" hidden="false" customHeight="false" outlineLevel="0" collapsed="false">
      <c r="I69" s="185"/>
    </row>
    <row r="70" customFormat="false" ht="12.75" hidden="false" customHeight="false" outlineLevel="0" collapsed="false">
      <c r="I70" s="185"/>
    </row>
    <row r="71" customFormat="false" ht="12.75" hidden="false" customHeight="false" outlineLevel="0" collapsed="false">
      <c r="I71" s="185"/>
    </row>
    <row r="72" customFormat="false" ht="12.75" hidden="false" customHeight="false" outlineLevel="0" collapsed="false">
      <c r="I72" s="185"/>
    </row>
    <row r="73" customFormat="false" ht="12.75" hidden="false" customHeight="false" outlineLevel="0" collapsed="false">
      <c r="I73" s="185"/>
    </row>
    <row r="74" customFormat="false" ht="12.75" hidden="false" customHeight="false" outlineLevel="0" collapsed="false">
      <c r="I74" s="185"/>
    </row>
    <row r="75" customFormat="false" ht="12.75" hidden="false" customHeight="false" outlineLevel="0" collapsed="false">
      <c r="I75" s="185"/>
    </row>
    <row r="76" customFormat="false" ht="12.75" hidden="false" customHeight="false" outlineLevel="0" collapsed="false">
      <c r="I76" s="185"/>
    </row>
    <row r="77" customFormat="false" ht="12.75" hidden="false" customHeight="false" outlineLevel="0" collapsed="false">
      <c r="I77" s="185"/>
    </row>
    <row r="78" customFormat="false" ht="12.75" hidden="false" customHeight="false" outlineLevel="0" collapsed="false">
      <c r="I78" s="185"/>
    </row>
    <row r="79" customFormat="false" ht="12.75" hidden="false" customHeight="false" outlineLevel="0" collapsed="false">
      <c r="I79" s="185"/>
    </row>
    <row r="80" customFormat="false" ht="12.75" hidden="false" customHeight="false" outlineLevel="0" collapsed="false">
      <c r="I80" s="185"/>
    </row>
    <row r="81" customFormat="false" ht="12.75" hidden="false" customHeight="false" outlineLevel="0" collapsed="false">
      <c r="I81" s="185"/>
    </row>
    <row r="82" customFormat="false" ht="12.75" hidden="false" customHeight="false" outlineLevel="0" collapsed="false">
      <c r="I82" s="185"/>
    </row>
    <row r="83" customFormat="false" ht="12.75" hidden="false" customHeight="false" outlineLevel="0" collapsed="false">
      <c r="I83" s="185"/>
    </row>
    <row r="84" customFormat="false" ht="12.75" hidden="false" customHeight="false" outlineLevel="0" collapsed="false">
      <c r="I84" s="185"/>
    </row>
    <row r="85" customFormat="false" ht="12.75" hidden="false" customHeight="false" outlineLevel="0" collapsed="false">
      <c r="I85" s="185"/>
    </row>
    <row r="86" customFormat="false" ht="12.75" hidden="false" customHeight="false" outlineLevel="0" collapsed="false">
      <c r="I86" s="185"/>
    </row>
    <row r="87" customFormat="false" ht="12.75" hidden="false" customHeight="false" outlineLevel="0" collapsed="false">
      <c r="I87" s="185"/>
    </row>
    <row r="88" customFormat="false" ht="12.75" hidden="false" customHeight="false" outlineLevel="0" collapsed="false">
      <c r="I88" s="185"/>
    </row>
    <row r="89" customFormat="false" ht="12.75" hidden="false" customHeight="false" outlineLevel="0" collapsed="false">
      <c r="I89" s="185"/>
    </row>
    <row r="90" customFormat="false" ht="12.75" hidden="false" customHeight="false" outlineLevel="0" collapsed="false">
      <c r="I90" s="185"/>
    </row>
    <row r="91" customFormat="false" ht="12.75" hidden="false" customHeight="false" outlineLevel="0" collapsed="false">
      <c r="I91" s="185"/>
    </row>
    <row r="92" customFormat="false" ht="12.75" hidden="false" customHeight="false" outlineLevel="0" collapsed="false">
      <c r="I92" s="185"/>
    </row>
    <row r="93" customFormat="false" ht="12.75" hidden="false" customHeight="false" outlineLevel="0" collapsed="false">
      <c r="I93" s="185"/>
    </row>
    <row r="94" customFormat="false" ht="12.75" hidden="false" customHeight="false" outlineLevel="0" collapsed="false">
      <c r="I94" s="185"/>
    </row>
    <row r="95" customFormat="false" ht="12.75" hidden="false" customHeight="false" outlineLevel="0" collapsed="false">
      <c r="I95" s="185"/>
    </row>
    <row r="96" customFormat="false" ht="12.75" hidden="false" customHeight="false" outlineLevel="0" collapsed="false">
      <c r="I96" s="185"/>
    </row>
    <row r="97" customFormat="false" ht="12.75" hidden="false" customHeight="false" outlineLevel="0" collapsed="false">
      <c r="I97" s="185"/>
    </row>
    <row r="98" customFormat="false" ht="12.75" hidden="false" customHeight="false" outlineLevel="0" collapsed="false">
      <c r="I98" s="185"/>
    </row>
    <row r="99" customFormat="false" ht="12.75" hidden="false" customHeight="false" outlineLevel="0" collapsed="false">
      <c r="I99" s="185"/>
    </row>
    <row r="100" customFormat="false" ht="12.75" hidden="false" customHeight="false" outlineLevel="0" collapsed="false">
      <c r="I100" s="185"/>
    </row>
    <row r="101" customFormat="false" ht="12.75" hidden="false" customHeight="false" outlineLevel="0" collapsed="false">
      <c r="I101" s="185"/>
    </row>
    <row r="102" customFormat="false" ht="12.75" hidden="false" customHeight="false" outlineLevel="0" collapsed="false">
      <c r="I102" s="185"/>
    </row>
    <row r="103" customFormat="false" ht="12.75" hidden="false" customHeight="false" outlineLevel="0" collapsed="false">
      <c r="I103" s="185"/>
    </row>
    <row r="104" customFormat="false" ht="12.75" hidden="false" customHeight="false" outlineLevel="0" collapsed="false">
      <c r="I104" s="185"/>
    </row>
    <row r="105" customFormat="false" ht="12.75" hidden="false" customHeight="false" outlineLevel="0" collapsed="false">
      <c r="I105" s="185"/>
    </row>
    <row r="106" customFormat="false" ht="12.75" hidden="false" customHeight="false" outlineLevel="0" collapsed="false">
      <c r="I106" s="185"/>
    </row>
    <row r="107" customFormat="false" ht="12.75" hidden="false" customHeight="false" outlineLevel="0" collapsed="false">
      <c r="I107" s="185"/>
    </row>
    <row r="108" customFormat="false" ht="12.75" hidden="false" customHeight="false" outlineLevel="0" collapsed="false">
      <c r="I108" s="185"/>
    </row>
    <row r="109" customFormat="false" ht="12.75" hidden="false" customHeight="false" outlineLevel="0" collapsed="false">
      <c r="I109" s="185"/>
    </row>
    <row r="110" customFormat="false" ht="12.75" hidden="false" customHeight="false" outlineLevel="0" collapsed="false">
      <c r="I110" s="185"/>
    </row>
    <row r="111" customFormat="false" ht="12.75" hidden="false" customHeight="false" outlineLevel="0" collapsed="false">
      <c r="I111" s="185"/>
    </row>
    <row r="112" customFormat="false" ht="12.75" hidden="false" customHeight="false" outlineLevel="0" collapsed="false">
      <c r="I112" s="185"/>
    </row>
    <row r="113" customFormat="false" ht="12.75" hidden="false" customHeight="false" outlineLevel="0" collapsed="false">
      <c r="I113" s="185"/>
    </row>
    <row r="114" customFormat="false" ht="12.75" hidden="false" customHeight="false" outlineLevel="0" collapsed="false">
      <c r="I114" s="185"/>
    </row>
    <row r="115" customFormat="false" ht="12.75" hidden="false" customHeight="false" outlineLevel="0" collapsed="false">
      <c r="I115" s="185"/>
    </row>
    <row r="116" customFormat="false" ht="12.75" hidden="false" customHeight="false" outlineLevel="0" collapsed="false">
      <c r="I116" s="185"/>
    </row>
    <row r="117" customFormat="false" ht="12.75" hidden="false" customHeight="false" outlineLevel="0" collapsed="false">
      <c r="I117" s="185"/>
    </row>
    <row r="118" customFormat="false" ht="12.75" hidden="false" customHeight="false" outlineLevel="0" collapsed="false">
      <c r="I118" s="185"/>
    </row>
    <row r="119" customFormat="false" ht="12.75" hidden="false" customHeight="false" outlineLevel="0" collapsed="false">
      <c r="I119" s="185"/>
    </row>
    <row r="120" customFormat="false" ht="12.75" hidden="false" customHeight="false" outlineLevel="0" collapsed="false">
      <c r="I120" s="185"/>
    </row>
    <row r="121" customFormat="false" ht="12.75" hidden="false" customHeight="false" outlineLevel="0" collapsed="false">
      <c r="I121" s="185"/>
    </row>
    <row r="122" customFormat="false" ht="12.75" hidden="false" customHeight="false" outlineLevel="0" collapsed="false">
      <c r="I122" s="185"/>
    </row>
    <row r="123" customFormat="false" ht="12.75" hidden="false" customHeight="false" outlineLevel="0" collapsed="false">
      <c r="I123" s="185"/>
    </row>
    <row r="124" customFormat="false" ht="12.75" hidden="false" customHeight="false" outlineLevel="0" collapsed="false">
      <c r="I124" s="185"/>
    </row>
    <row r="125" customFormat="false" ht="12.75" hidden="false" customHeight="false" outlineLevel="0" collapsed="false">
      <c r="I125" s="185"/>
    </row>
    <row r="126" customFormat="false" ht="12.75" hidden="false" customHeight="false" outlineLevel="0" collapsed="false">
      <c r="I126" s="185"/>
    </row>
    <row r="127" customFormat="false" ht="12.75" hidden="false" customHeight="false" outlineLevel="0" collapsed="false">
      <c r="I127" s="185"/>
    </row>
    <row r="128" customFormat="false" ht="12.75" hidden="false" customHeight="false" outlineLevel="0" collapsed="false">
      <c r="I128" s="185"/>
    </row>
    <row r="129" customFormat="false" ht="12.75" hidden="false" customHeight="false" outlineLevel="0" collapsed="false">
      <c r="I129" s="185"/>
    </row>
    <row r="130" customFormat="false" ht="12.75" hidden="false" customHeight="false" outlineLevel="0" collapsed="false">
      <c r="I130" s="185"/>
    </row>
    <row r="131" customFormat="false" ht="12.75" hidden="false" customHeight="false" outlineLevel="0" collapsed="false">
      <c r="I131" s="185"/>
    </row>
    <row r="132" customFormat="false" ht="12.75" hidden="false" customHeight="false" outlineLevel="0" collapsed="false">
      <c r="I132" s="185"/>
    </row>
    <row r="133" customFormat="false" ht="12.75" hidden="false" customHeight="false" outlineLevel="0" collapsed="false">
      <c r="I133" s="185"/>
    </row>
  </sheetData>
  <mergeCells count="5">
    <mergeCell ref="A1:K1"/>
    <mergeCell ref="A2:K2"/>
    <mergeCell ref="A3:K3"/>
    <mergeCell ref="A4:K4"/>
    <mergeCell ref="I7:K7"/>
  </mergeCells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&amp;L&amp;"Arial,Italic"&amp;8&amp;D&amp;T&amp;R&amp;"Arial,Italic"&amp;8G:/Common/Tw Fuel Hedge/Fixed2_Avista_1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7" activeCellId="0" sqref="H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0.71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4.28"/>
    <col collapsed="false" customWidth="true" hidden="false" outlineLevel="0" max="8" min="8" style="0" width="14.56"/>
    <col collapsed="false" customWidth="true" hidden="false" outlineLevel="0" max="11" min="9" style="0" width="14.99"/>
  </cols>
  <sheetData>
    <row r="1" customFormat="false" ht="15" hidden="false" customHeight="false" outlineLevel="0" collapsed="false">
      <c r="A1" s="107" t="s">
        <v>86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customFormat="false" ht="15" hidden="false" customHeight="false" outlineLevel="0" collapsed="false">
      <c r="A2" s="107" t="s">
        <v>87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customFormat="false" ht="15.75" hidden="false" customHeight="false" outlineLevel="0" collapsed="false">
      <c r="A3" s="107" t="s">
        <v>88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4" customFormat="false" ht="15.75" hidden="false" customHeight="false" outlineLevel="0" collapsed="false">
      <c r="A4" s="108"/>
      <c r="B4" s="108"/>
      <c r="C4" s="108"/>
      <c r="D4" s="108"/>
      <c r="E4" s="108"/>
      <c r="F4" s="108"/>
      <c r="G4" s="108"/>
      <c r="H4" s="108"/>
      <c r="I4" s="108"/>
      <c r="J4" s="109"/>
      <c r="K4" s="109"/>
    </row>
    <row r="6" customFormat="false" ht="12.75" hidden="false" customHeight="false" outlineLevel="0" collapsed="false">
      <c r="A6" s="110" t="s">
        <v>89</v>
      </c>
      <c r="B6" s="111" t="s">
        <v>8</v>
      </c>
      <c r="C6" s="111" t="s">
        <v>8</v>
      </c>
      <c r="D6" s="111" t="s">
        <v>90</v>
      </c>
      <c r="E6" s="111"/>
      <c r="F6" s="111" t="s">
        <v>91</v>
      </c>
      <c r="G6" s="111" t="s">
        <v>68</v>
      </c>
      <c r="H6" s="111" t="s">
        <v>92</v>
      </c>
      <c r="I6" s="112" t="s">
        <v>93</v>
      </c>
      <c r="J6" s="112"/>
      <c r="K6" s="112"/>
    </row>
    <row r="7" customFormat="false" ht="12.75" hidden="false" customHeight="false" outlineLevel="0" collapsed="false">
      <c r="A7" s="113" t="s">
        <v>22</v>
      </c>
      <c r="B7" s="114" t="s">
        <v>18</v>
      </c>
      <c r="C7" s="114" t="s">
        <v>17</v>
      </c>
      <c r="D7" s="114" t="s">
        <v>23</v>
      </c>
      <c r="E7" s="114"/>
      <c r="F7" s="114" t="s">
        <v>94</v>
      </c>
      <c r="G7" s="114" t="s">
        <v>23</v>
      </c>
      <c r="H7" s="114" t="s">
        <v>23</v>
      </c>
      <c r="I7" s="114" t="s">
        <v>30</v>
      </c>
      <c r="J7" s="114" t="s">
        <v>31</v>
      </c>
      <c r="K7" s="115" t="s">
        <v>32</v>
      </c>
    </row>
    <row r="8" customFormat="false" ht="12.75" hidden="false" customHeight="false" outlineLevel="0" collapsed="false">
      <c r="A8" s="116"/>
      <c r="B8" s="117"/>
      <c r="C8" s="117"/>
      <c r="D8" s="117"/>
      <c r="E8" s="117"/>
      <c r="F8" s="117"/>
      <c r="G8" s="118" t="s">
        <v>95</v>
      </c>
      <c r="H8" s="119"/>
      <c r="I8" s="119" t="s">
        <v>96</v>
      </c>
      <c r="J8" s="119" t="s">
        <v>96</v>
      </c>
      <c r="K8" s="120" t="s">
        <v>96</v>
      </c>
    </row>
    <row r="9" customFormat="false" ht="12.75" hidden="false" customHeight="false" outlineLevel="0" collapsed="false">
      <c r="A9" s="121" t="n">
        <v>36526</v>
      </c>
      <c r="B9" s="122"/>
      <c r="C9" s="123" t="s">
        <v>48</v>
      </c>
      <c r="D9" s="124" t="n">
        <v>2.365</v>
      </c>
      <c r="E9" s="122"/>
      <c r="F9" s="125" t="n">
        <f aca="false">-15000*31</f>
        <v>-465000</v>
      </c>
      <c r="G9" s="124" t="n">
        <v>2.19</v>
      </c>
      <c r="H9" s="124"/>
      <c r="I9" s="126" t="n">
        <f aca="false">(+D9-G9)*F9</f>
        <v>-81375.0000000001</v>
      </c>
      <c r="J9" s="127" t="n">
        <f aca="false">+I9</f>
        <v>-81375.0000000001</v>
      </c>
      <c r="K9" s="127"/>
    </row>
    <row r="10" customFormat="false" ht="12.75" hidden="false" customHeight="false" outlineLevel="0" collapsed="false">
      <c r="A10" s="121" t="n">
        <v>36557</v>
      </c>
      <c r="B10" s="122"/>
      <c r="C10" s="123" t="s">
        <v>48</v>
      </c>
      <c r="D10" s="124" t="n">
        <v>2.365</v>
      </c>
      <c r="E10" s="122"/>
      <c r="F10" s="125" t="n">
        <f aca="false">-15000*29</f>
        <v>-435000</v>
      </c>
      <c r="G10" s="124" t="n">
        <v>2.41</v>
      </c>
      <c r="H10" s="124"/>
      <c r="I10" s="126" t="n">
        <f aca="false">(+D10-G10)*F10</f>
        <v>19575</v>
      </c>
      <c r="J10" s="127" t="n">
        <f aca="false">+I10</f>
        <v>19575</v>
      </c>
      <c r="K10" s="127"/>
    </row>
    <row r="11" customFormat="false" ht="12.75" hidden="false" customHeight="false" outlineLevel="0" collapsed="false">
      <c r="A11" s="121" t="n">
        <v>36586</v>
      </c>
      <c r="B11" s="122"/>
      <c r="C11" s="123" t="s">
        <v>48</v>
      </c>
      <c r="D11" s="124" t="n">
        <v>2.365</v>
      </c>
      <c r="E11" s="122"/>
      <c r="F11" s="125" t="n">
        <f aca="false">-15000*31</f>
        <v>-465000</v>
      </c>
      <c r="G11" s="124" t="n">
        <v>2.41</v>
      </c>
      <c r="H11" s="124"/>
      <c r="I11" s="126" t="n">
        <f aca="false">(+D11-G11)*F11</f>
        <v>20925</v>
      </c>
      <c r="J11" s="127" t="n">
        <f aca="false">+I11</f>
        <v>20925</v>
      </c>
      <c r="K11" s="127"/>
    </row>
    <row r="12" customFormat="false" ht="12.75" hidden="false" customHeight="false" outlineLevel="0" collapsed="false">
      <c r="A12" s="121" t="n">
        <v>36617</v>
      </c>
      <c r="B12" s="122"/>
      <c r="C12" s="123" t="s">
        <v>48</v>
      </c>
      <c r="D12" s="124" t="n">
        <v>2.365</v>
      </c>
      <c r="E12" s="122"/>
      <c r="F12" s="125" t="n">
        <f aca="false">-15000*30</f>
        <v>-450000</v>
      </c>
      <c r="G12" s="124" t="n">
        <v>2.79</v>
      </c>
      <c r="H12" s="124"/>
      <c r="I12" s="126" t="n">
        <f aca="false">(+D12-G12)*F12</f>
        <v>191250</v>
      </c>
      <c r="J12" s="127" t="n">
        <f aca="false">+I12</f>
        <v>191250</v>
      </c>
      <c r="K12" s="127"/>
    </row>
    <row r="13" customFormat="false" ht="12.75" hidden="false" customHeight="false" outlineLevel="0" collapsed="false">
      <c r="A13" s="121" t="n">
        <v>36647</v>
      </c>
      <c r="B13" s="122"/>
      <c r="C13" s="123" t="s">
        <v>48</v>
      </c>
      <c r="D13" s="124" t="n">
        <v>2.365</v>
      </c>
      <c r="E13" s="122"/>
      <c r="F13" s="125" t="n">
        <f aca="false">-15000*31</f>
        <v>-465000</v>
      </c>
      <c r="G13" s="124" t="n">
        <v>2.87</v>
      </c>
      <c r="H13" s="124"/>
      <c r="I13" s="126" t="n">
        <f aca="false">(+D13-G13)*F13</f>
        <v>234825</v>
      </c>
      <c r="J13" s="127" t="n">
        <f aca="false">+I13</f>
        <v>234825</v>
      </c>
      <c r="K13" s="127"/>
    </row>
    <row r="14" customFormat="false" ht="12.75" hidden="false" customHeight="false" outlineLevel="0" collapsed="false">
      <c r="A14" s="121" t="n">
        <v>36678</v>
      </c>
      <c r="B14" s="122"/>
      <c r="C14" s="123" t="s">
        <v>48</v>
      </c>
      <c r="D14" s="124" t="n">
        <v>2.365</v>
      </c>
      <c r="E14" s="122"/>
      <c r="F14" s="125" t="n">
        <f aca="false">-15000*30</f>
        <v>-450000</v>
      </c>
      <c r="G14" s="124" t="n">
        <v>4.1</v>
      </c>
      <c r="H14" s="124"/>
      <c r="I14" s="126" t="n">
        <f aca="false">(+D14-G14)*F14</f>
        <v>780750</v>
      </c>
      <c r="J14" s="127" t="n">
        <f aca="false">+I14</f>
        <v>780750</v>
      </c>
      <c r="K14" s="127"/>
    </row>
    <row r="15" customFormat="false" ht="12.75" hidden="false" customHeight="false" outlineLevel="0" collapsed="false">
      <c r="A15" s="121" t="n">
        <v>36708</v>
      </c>
      <c r="B15" s="122"/>
      <c r="C15" s="123" t="s">
        <v>48</v>
      </c>
      <c r="D15" s="124" t="n">
        <v>2.365</v>
      </c>
      <c r="E15" s="122"/>
      <c r="F15" s="125" t="n">
        <f aca="false">-15000*31</f>
        <v>-465000</v>
      </c>
      <c r="G15" s="124" t="n">
        <v>4.35</v>
      </c>
      <c r="H15" s="124"/>
      <c r="I15" s="126" t="n">
        <f aca="false">(+D15-G15)*F15</f>
        <v>923025</v>
      </c>
      <c r="J15" s="127" t="n">
        <f aca="false">+I15</f>
        <v>923025</v>
      </c>
      <c r="K15" s="127"/>
    </row>
    <row r="16" customFormat="false" ht="12.75" hidden="false" customHeight="false" outlineLevel="0" collapsed="false">
      <c r="A16" s="121" t="n">
        <v>36739</v>
      </c>
      <c r="B16" s="122"/>
      <c r="C16" s="123" t="s">
        <v>48</v>
      </c>
      <c r="D16" s="124" t="n">
        <v>2.365</v>
      </c>
      <c r="E16" s="122"/>
      <c r="F16" s="125" t="n">
        <f aca="false">-15000*31</f>
        <v>-465000</v>
      </c>
      <c r="G16" s="124" t="n">
        <v>3.77</v>
      </c>
      <c r="H16" s="124"/>
      <c r="I16" s="126" t="n">
        <f aca="false">(+D16-G16)*F16</f>
        <v>653325</v>
      </c>
      <c r="J16" s="127" t="n">
        <f aca="false">+I16</f>
        <v>653325</v>
      </c>
      <c r="K16" s="127"/>
    </row>
    <row r="17" customFormat="false" ht="12.75" hidden="false" customHeight="false" outlineLevel="0" collapsed="false">
      <c r="A17" s="121" t="n">
        <v>36770</v>
      </c>
      <c r="B17" s="122"/>
      <c r="C17" s="123" t="s">
        <v>48</v>
      </c>
      <c r="D17" s="124" t="n">
        <v>2.365</v>
      </c>
      <c r="E17" s="122"/>
      <c r="F17" s="125" t="n">
        <f aca="false">-15000*30</f>
        <v>-450000</v>
      </c>
      <c r="G17" s="124" t="n">
        <v>4.5</v>
      </c>
      <c r="H17" s="124"/>
      <c r="I17" s="126" t="n">
        <f aca="false">(+D17-G17)*F17</f>
        <v>960750</v>
      </c>
      <c r="J17" s="127" t="n">
        <f aca="false">+I17</f>
        <v>960750</v>
      </c>
      <c r="K17" s="127"/>
    </row>
    <row r="18" customFormat="false" ht="12.75" hidden="false" customHeight="false" outlineLevel="0" collapsed="false">
      <c r="A18" s="121" t="n">
        <v>36800</v>
      </c>
      <c r="B18" s="122"/>
      <c r="C18" s="123" t="s">
        <v>48</v>
      </c>
      <c r="D18" s="124" t="n">
        <v>2.365</v>
      </c>
      <c r="E18" s="122"/>
      <c r="F18" s="125" t="n">
        <f aca="false">-15000*31</f>
        <v>-465000</v>
      </c>
      <c r="G18" s="124" t="n">
        <v>5.15</v>
      </c>
      <c r="H18" s="124"/>
      <c r="I18" s="126" t="n">
        <f aca="false">(+D18-G18)*F18</f>
        <v>1295025</v>
      </c>
      <c r="J18" s="127" t="n">
        <f aca="false">+I18</f>
        <v>1295025</v>
      </c>
      <c r="K18" s="127"/>
    </row>
    <row r="19" customFormat="false" ht="12.75" hidden="false" customHeight="false" outlineLevel="0" collapsed="false">
      <c r="A19" s="121" t="n">
        <v>36831</v>
      </c>
      <c r="B19" s="122"/>
      <c r="C19" s="123" t="s">
        <v>48</v>
      </c>
      <c r="D19" s="124" t="n">
        <v>2.365</v>
      </c>
      <c r="E19" s="122"/>
      <c r="F19" s="125" t="n">
        <f aca="false">-15000*30</f>
        <v>-450000</v>
      </c>
      <c r="G19" s="124" t="n">
        <v>4.52</v>
      </c>
      <c r="H19" s="124"/>
      <c r="I19" s="126" t="n">
        <f aca="false">(+D19-G19)*F19</f>
        <v>969750</v>
      </c>
      <c r="J19" s="127" t="n">
        <f aca="false">+I19</f>
        <v>969750</v>
      </c>
      <c r="K19" s="127"/>
    </row>
    <row r="20" customFormat="false" ht="12.75" hidden="false" customHeight="false" outlineLevel="0" collapsed="false">
      <c r="A20" s="121" t="n">
        <v>36861</v>
      </c>
      <c r="B20" s="122"/>
      <c r="C20" s="123" t="s">
        <v>48</v>
      </c>
      <c r="D20" s="124" t="n">
        <v>2.365</v>
      </c>
      <c r="E20" s="122"/>
      <c r="F20" s="125" t="n">
        <f aca="false">-15000*31</f>
        <v>-465000</v>
      </c>
      <c r="G20" s="122"/>
      <c r="H20" s="124" t="n">
        <v>6.27</v>
      </c>
      <c r="I20" s="126" t="n">
        <f aca="false">SUM(D20-H20)*F20</f>
        <v>1815825</v>
      </c>
      <c r="J20" s="128"/>
      <c r="K20" s="127" t="n">
        <f aca="false">+I20</f>
        <v>1815825</v>
      </c>
    </row>
    <row r="21" customFormat="false" ht="12.75" hidden="false" customHeight="false" outlineLevel="0" collapsed="false">
      <c r="A21" s="121"/>
      <c r="B21" s="122"/>
      <c r="C21" s="123"/>
      <c r="D21" s="124"/>
      <c r="E21" s="122"/>
      <c r="F21" s="125"/>
      <c r="G21" s="122"/>
      <c r="H21" s="124"/>
      <c r="I21" s="126"/>
      <c r="J21" s="128"/>
      <c r="K21" s="127"/>
    </row>
    <row r="22" customFormat="false" ht="12.75" hidden="false" customHeight="false" outlineLevel="0" collapsed="false">
      <c r="A22" s="122"/>
      <c r="B22" s="122"/>
      <c r="C22" s="122"/>
      <c r="D22" s="122"/>
      <c r="E22" s="122"/>
      <c r="F22" s="129" t="n">
        <f aca="false">SUM(F9:F20)</f>
        <v>-5490000</v>
      </c>
      <c r="G22" s="122"/>
      <c r="H22" s="122"/>
      <c r="I22" s="130" t="n">
        <f aca="false">SUM(I9:I20)</f>
        <v>7783650</v>
      </c>
      <c r="J22" s="130" t="n">
        <f aca="false">SUM(J9:J20)</f>
        <v>5967825</v>
      </c>
      <c r="K22" s="130" t="n">
        <f aca="false">SUM(K9:K20)</f>
        <v>1815825</v>
      </c>
    </row>
    <row r="23" customFormat="false" ht="12.75" hidden="false" customHeight="false" outlineLevel="0" collapsed="false">
      <c r="A23" s="122"/>
      <c r="B23" s="122"/>
      <c r="C23" s="122"/>
      <c r="D23" s="122"/>
      <c r="E23" s="122"/>
      <c r="F23" s="131"/>
      <c r="G23" s="122"/>
      <c r="H23" s="122"/>
      <c r="I23" s="132"/>
      <c r="J23" s="133"/>
      <c r="K23" s="133"/>
    </row>
    <row r="24" customFormat="false" ht="12.75" hidden="false" customHeight="false" outlineLevel="0" collapsed="false">
      <c r="A24" s="122"/>
      <c r="B24" s="122"/>
      <c r="C24" s="122"/>
      <c r="D24" s="122"/>
      <c r="E24" s="122"/>
      <c r="F24" s="122"/>
      <c r="G24" s="134" t="s">
        <v>97</v>
      </c>
      <c r="H24" s="135"/>
      <c r="I24" s="122"/>
      <c r="J24" s="128"/>
      <c r="K24" s="128"/>
    </row>
    <row r="25" customFormat="false" ht="12.75" hidden="false" customHeight="false" outlineLevel="0" collapsed="false">
      <c r="A25" s="122"/>
      <c r="B25" s="122"/>
      <c r="C25" s="122"/>
      <c r="D25" s="124"/>
      <c r="E25" s="122"/>
      <c r="F25" s="122"/>
      <c r="G25" s="136"/>
      <c r="H25" s="135"/>
      <c r="I25" s="122"/>
      <c r="J25" s="128"/>
      <c r="K25" s="128"/>
    </row>
    <row r="26" customFormat="false" ht="12.75" hidden="false" customHeight="false" outlineLevel="0" collapsed="false">
      <c r="A26" s="121" t="n">
        <v>36526</v>
      </c>
      <c r="B26" s="122"/>
      <c r="C26" s="123" t="s">
        <v>98</v>
      </c>
      <c r="D26" s="124" t="n">
        <v>2.365</v>
      </c>
      <c r="E26" s="122"/>
      <c r="F26" s="125" t="n">
        <f aca="false">15000*31</f>
        <v>465000</v>
      </c>
      <c r="G26" s="124" t="n">
        <v>2.19</v>
      </c>
      <c r="H26" s="124"/>
      <c r="I26" s="126" t="n">
        <f aca="false">(+D26-G26)*F26</f>
        <v>81375.0000000001</v>
      </c>
      <c r="J26" s="127" t="n">
        <f aca="false">+I26</f>
        <v>81375.0000000001</v>
      </c>
      <c r="K26" s="127"/>
    </row>
    <row r="27" customFormat="false" ht="12.75" hidden="false" customHeight="false" outlineLevel="0" collapsed="false">
      <c r="A27" s="121" t="n">
        <v>36557</v>
      </c>
      <c r="B27" s="122"/>
      <c r="C27" s="123" t="s">
        <v>98</v>
      </c>
      <c r="D27" s="124" t="n">
        <v>2.365</v>
      </c>
      <c r="E27" s="122"/>
      <c r="F27" s="125" t="n">
        <f aca="false">15000*29</f>
        <v>435000</v>
      </c>
      <c r="G27" s="124" t="n">
        <v>2.41</v>
      </c>
      <c r="H27" s="124"/>
      <c r="I27" s="126" t="n">
        <f aca="false">(+D27-G27)*F27</f>
        <v>-19575</v>
      </c>
      <c r="J27" s="127" t="n">
        <f aca="false">+I27</f>
        <v>-19575</v>
      </c>
      <c r="K27" s="127"/>
    </row>
    <row r="28" customFormat="false" ht="12.75" hidden="false" customHeight="false" outlineLevel="0" collapsed="false">
      <c r="A28" s="121" t="n">
        <v>36586</v>
      </c>
      <c r="B28" s="122"/>
      <c r="C28" s="123" t="s">
        <v>98</v>
      </c>
      <c r="D28" s="124" t="n">
        <v>2.365</v>
      </c>
      <c r="E28" s="122"/>
      <c r="F28" s="125" t="n">
        <f aca="false">15000*31</f>
        <v>465000</v>
      </c>
      <c r="G28" s="124" t="n">
        <v>2.41</v>
      </c>
      <c r="H28" s="124"/>
      <c r="I28" s="126" t="n">
        <f aca="false">(+D28-G28)*F28</f>
        <v>-20925</v>
      </c>
      <c r="J28" s="127" t="n">
        <f aca="false">+I28</f>
        <v>-20925</v>
      </c>
      <c r="K28" s="127"/>
    </row>
    <row r="29" customFormat="false" ht="12.75" hidden="false" customHeight="false" outlineLevel="0" collapsed="false">
      <c r="A29" s="121" t="n">
        <v>36617</v>
      </c>
      <c r="B29" s="122"/>
      <c r="C29" s="123" t="s">
        <v>98</v>
      </c>
      <c r="D29" s="124" t="n">
        <v>2.365</v>
      </c>
      <c r="E29" s="122"/>
      <c r="F29" s="125" t="n">
        <f aca="false">15000*30</f>
        <v>450000</v>
      </c>
      <c r="G29" s="124" t="n">
        <v>2.79</v>
      </c>
      <c r="H29" s="124"/>
      <c r="I29" s="126" t="n">
        <f aca="false">(+D29-G29)*F29</f>
        <v>-191250</v>
      </c>
      <c r="J29" s="127" t="n">
        <f aca="false">+I29</f>
        <v>-191250</v>
      </c>
      <c r="K29" s="127"/>
    </row>
    <row r="30" customFormat="false" ht="12.75" hidden="false" customHeight="false" outlineLevel="0" collapsed="false">
      <c r="A30" s="121" t="n">
        <v>36647</v>
      </c>
      <c r="B30" s="122"/>
      <c r="C30" s="123" t="s">
        <v>98</v>
      </c>
      <c r="D30" s="124" t="n">
        <v>2.365</v>
      </c>
      <c r="E30" s="122"/>
      <c r="F30" s="125" t="n">
        <f aca="false">15000*31</f>
        <v>465000</v>
      </c>
      <c r="G30" s="124" t="n">
        <v>2.87</v>
      </c>
      <c r="H30" s="124"/>
      <c r="I30" s="126" t="n">
        <f aca="false">(+D30-G30)*F30</f>
        <v>-234825</v>
      </c>
      <c r="J30" s="127" t="n">
        <f aca="false">+I30</f>
        <v>-234825</v>
      </c>
      <c r="K30" s="127"/>
    </row>
    <row r="31" customFormat="false" ht="12.75" hidden="false" customHeight="false" outlineLevel="0" collapsed="false">
      <c r="A31" s="121" t="n">
        <v>36678</v>
      </c>
      <c r="B31" s="122"/>
      <c r="C31" s="123" t="s">
        <v>98</v>
      </c>
      <c r="D31" s="124" t="n">
        <v>2.365</v>
      </c>
      <c r="E31" s="122"/>
      <c r="F31" s="125" t="n">
        <f aca="false">15000*30</f>
        <v>450000</v>
      </c>
      <c r="G31" s="124" t="n">
        <v>4.1</v>
      </c>
      <c r="H31" s="124"/>
      <c r="I31" s="126" t="n">
        <f aca="false">(+D31-G31)*F31</f>
        <v>-780750</v>
      </c>
      <c r="J31" s="127" t="n">
        <f aca="false">+I31</f>
        <v>-780750</v>
      </c>
      <c r="K31" s="127"/>
    </row>
    <row r="32" customFormat="false" ht="12.75" hidden="false" customHeight="false" outlineLevel="0" collapsed="false">
      <c r="A32" s="121" t="n">
        <v>36708</v>
      </c>
      <c r="B32" s="122"/>
      <c r="C32" s="123" t="s">
        <v>98</v>
      </c>
      <c r="D32" s="124" t="n">
        <v>2.365</v>
      </c>
      <c r="E32" s="122"/>
      <c r="F32" s="125" t="n">
        <f aca="false">15000*31</f>
        <v>465000</v>
      </c>
      <c r="G32" s="124" t="n">
        <v>4.35</v>
      </c>
      <c r="H32" s="124"/>
      <c r="I32" s="126" t="n">
        <f aca="false">(+D32-G32)*F32</f>
        <v>-923025</v>
      </c>
      <c r="J32" s="127" t="n">
        <f aca="false">+I32</f>
        <v>-923025</v>
      </c>
      <c r="K32" s="127"/>
    </row>
    <row r="33" customFormat="false" ht="12.75" hidden="false" customHeight="false" outlineLevel="0" collapsed="false">
      <c r="A33" s="121" t="n">
        <v>36739</v>
      </c>
      <c r="B33" s="122"/>
      <c r="C33" s="123" t="s">
        <v>98</v>
      </c>
      <c r="D33" s="124" t="n">
        <v>2.365</v>
      </c>
      <c r="E33" s="122"/>
      <c r="F33" s="125" t="n">
        <f aca="false">15000*31</f>
        <v>465000</v>
      </c>
      <c r="G33" s="124" t="n">
        <v>3.77</v>
      </c>
      <c r="H33" s="124"/>
      <c r="I33" s="126" t="n">
        <f aca="false">(+D33-G33)*F33</f>
        <v>-653325</v>
      </c>
      <c r="J33" s="127" t="n">
        <f aca="false">+I33</f>
        <v>-653325</v>
      </c>
      <c r="K33" s="127"/>
    </row>
    <row r="34" customFormat="false" ht="12.75" hidden="false" customHeight="false" outlineLevel="0" collapsed="false">
      <c r="A34" s="121" t="n">
        <v>36770</v>
      </c>
      <c r="B34" s="122"/>
      <c r="C34" s="123" t="s">
        <v>98</v>
      </c>
      <c r="D34" s="124" t="n">
        <v>2.365</v>
      </c>
      <c r="E34" s="122"/>
      <c r="F34" s="125" t="n">
        <f aca="false">15000*30</f>
        <v>450000</v>
      </c>
      <c r="G34" s="124" t="n">
        <v>4.5</v>
      </c>
      <c r="H34" s="124"/>
      <c r="I34" s="126" t="n">
        <f aca="false">(+D34-G34)*F34</f>
        <v>-960750</v>
      </c>
      <c r="J34" s="127" t="n">
        <f aca="false">+I34</f>
        <v>-960750</v>
      </c>
      <c r="K34" s="127"/>
    </row>
    <row r="35" customFormat="false" ht="12.75" hidden="false" customHeight="false" outlineLevel="0" collapsed="false">
      <c r="A35" s="121" t="n">
        <v>36800</v>
      </c>
      <c r="B35" s="122"/>
      <c r="C35" s="123" t="s">
        <v>98</v>
      </c>
      <c r="D35" s="124" t="n">
        <v>2.365</v>
      </c>
      <c r="E35" s="122"/>
      <c r="F35" s="125" t="n">
        <f aca="false">15000*31</f>
        <v>465000</v>
      </c>
      <c r="G35" s="124" t="n">
        <v>5.15</v>
      </c>
      <c r="H35" s="124"/>
      <c r="I35" s="126" t="n">
        <f aca="false">(+D35-G35)*F35</f>
        <v>-1295025</v>
      </c>
      <c r="J35" s="127" t="n">
        <f aca="false">+I35</f>
        <v>-1295025</v>
      </c>
      <c r="K35" s="127"/>
    </row>
    <row r="36" customFormat="false" ht="12.75" hidden="false" customHeight="false" outlineLevel="0" collapsed="false">
      <c r="A36" s="121" t="n">
        <v>36831</v>
      </c>
      <c r="B36" s="122"/>
      <c r="C36" s="123" t="s">
        <v>98</v>
      </c>
      <c r="D36" s="124" t="n">
        <v>2.365</v>
      </c>
      <c r="E36" s="122"/>
      <c r="F36" s="125" t="n">
        <f aca="false">15000*30</f>
        <v>450000</v>
      </c>
      <c r="G36" s="124" t="n">
        <v>4.52</v>
      </c>
      <c r="H36" s="124"/>
      <c r="I36" s="126" t="n">
        <f aca="false">(+D36-G36)*F36</f>
        <v>-969750</v>
      </c>
      <c r="J36" s="127" t="n">
        <f aca="false">+I36</f>
        <v>-969750</v>
      </c>
      <c r="K36" s="127"/>
    </row>
    <row r="37" customFormat="false" ht="12.75" hidden="false" customHeight="false" outlineLevel="0" collapsed="false">
      <c r="A37" s="121" t="n">
        <v>36861</v>
      </c>
      <c r="B37" s="122"/>
      <c r="C37" s="123" t="s">
        <v>98</v>
      </c>
      <c r="D37" s="124" t="n">
        <v>2.365</v>
      </c>
      <c r="E37" s="122"/>
      <c r="F37" s="125" t="n">
        <f aca="false">15000*31</f>
        <v>465000</v>
      </c>
      <c r="G37" s="122"/>
      <c r="H37" s="124" t="n">
        <v>6.27</v>
      </c>
      <c r="I37" s="126" t="n">
        <f aca="false">SUM(D37-H37)*F37</f>
        <v>-1815825</v>
      </c>
      <c r="J37" s="128"/>
      <c r="K37" s="127" t="n">
        <f aca="false">+I37</f>
        <v>-1815825</v>
      </c>
    </row>
    <row r="38" customFormat="false" ht="12.75" hidden="false" customHeight="false" outlineLevel="0" collapsed="false">
      <c r="A38" s="121"/>
      <c r="B38" s="122"/>
      <c r="C38" s="123"/>
      <c r="D38" s="124"/>
      <c r="E38" s="122"/>
      <c r="F38" s="125"/>
      <c r="G38" s="122"/>
      <c r="H38" s="124"/>
      <c r="I38" s="137"/>
      <c r="J38" s="128"/>
      <c r="K38" s="127"/>
    </row>
    <row r="39" customFormat="false" ht="12.75" hidden="false" customHeight="false" outlineLevel="0" collapsed="false">
      <c r="A39" s="122"/>
      <c r="B39" s="122"/>
      <c r="C39" s="122"/>
      <c r="D39" s="122"/>
      <c r="E39" s="122"/>
      <c r="F39" s="129" t="n">
        <f aca="false">SUM(F26:F38)</f>
        <v>5490000</v>
      </c>
      <c r="G39" s="122"/>
      <c r="H39" s="122"/>
      <c r="I39" s="138" t="n">
        <f aca="false">SUM(I26:I38)</f>
        <v>-7783650</v>
      </c>
      <c r="J39" s="138" t="n">
        <f aca="false">SUM(J26:J38)</f>
        <v>-5967825</v>
      </c>
      <c r="K39" s="138" t="n">
        <f aca="false">SUM(K26:K38)</f>
        <v>-1815825</v>
      </c>
    </row>
    <row r="40" customFormat="false" ht="12.75" hidden="false" customHeight="false" outlineLevel="0" collapsed="false">
      <c r="A40" s="122"/>
      <c r="B40" s="122"/>
      <c r="C40" s="122"/>
      <c r="D40" s="122"/>
      <c r="E40" s="122"/>
      <c r="F40" s="122"/>
      <c r="G40" s="122"/>
      <c r="H40" s="122"/>
      <c r="I40" s="122"/>
      <c r="J40" s="128"/>
      <c r="K40" s="128"/>
    </row>
    <row r="41" customFormat="false" ht="13.5" hidden="false" customHeight="false" outlineLevel="0" collapsed="false">
      <c r="A41" s="122"/>
      <c r="B41" s="122"/>
      <c r="C41" s="122"/>
      <c r="D41" s="122"/>
      <c r="E41" s="122"/>
      <c r="F41" s="139" t="n">
        <f aca="false">+F39+F22</f>
        <v>0</v>
      </c>
      <c r="G41" s="122"/>
      <c r="H41" s="122"/>
      <c r="I41" s="140" t="n">
        <f aca="false">+I39+I22</f>
        <v>0</v>
      </c>
      <c r="J41" s="140" t="n">
        <f aca="false">+J39+J22</f>
        <v>0</v>
      </c>
      <c r="K41" s="140" t="n">
        <f aca="false">+K39+K22</f>
        <v>0</v>
      </c>
    </row>
    <row r="42" customFormat="false" ht="13.5" hidden="false" customHeight="false" outlineLevel="0" collapsed="false">
      <c r="A42" s="141"/>
      <c r="B42" s="141"/>
      <c r="C42" s="141"/>
      <c r="D42" s="141"/>
      <c r="E42" s="141"/>
      <c r="F42" s="141"/>
      <c r="G42" s="141"/>
      <c r="H42" s="141"/>
      <c r="I42" s="141"/>
      <c r="J42" s="142"/>
      <c r="K42" s="142"/>
    </row>
    <row r="44" customFormat="false" ht="12.75" hidden="false" customHeight="false" outlineLevel="0" collapsed="false">
      <c r="A44" s="105" t="s">
        <v>99</v>
      </c>
    </row>
    <row r="45" customFormat="false" ht="12.75" hidden="false" customHeight="false" outlineLevel="0" collapsed="false">
      <c r="I45" s="143"/>
    </row>
  </sheetData>
  <mergeCells count="4">
    <mergeCell ref="A1:K1"/>
    <mergeCell ref="A2:K2"/>
    <mergeCell ref="A3:K3"/>
    <mergeCell ref="I6:K6"/>
  </mergeCells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:IV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0.71"/>
    <col collapsed="false" customWidth="false" hidden="true" outlineLevel="0" max="5" min="5" style="0" width="9.06"/>
    <col collapsed="false" customWidth="true" hidden="false" outlineLevel="0" max="6" min="6" style="0" width="12.14"/>
    <col collapsed="false" customWidth="true" hidden="false" outlineLevel="0" max="7" min="7" style="0" width="14.28"/>
    <col collapsed="false" customWidth="true" hidden="false" outlineLevel="0" max="8" min="8" style="0" width="10.71"/>
    <col collapsed="false" customWidth="true" hidden="false" outlineLevel="0" max="9" min="9" style="0" width="13.7"/>
    <col collapsed="false" customWidth="true" hidden="false" outlineLevel="0" max="10" min="10" style="185" width="13.41"/>
    <col collapsed="false" customWidth="true" hidden="false" outlineLevel="0" max="11" min="11" style="185" width="13.7"/>
  </cols>
  <sheetData>
    <row r="1" customFormat="false" ht="15" hidden="false" customHeight="false" outlineLevel="0" collapsed="false">
      <c r="A1" s="107" t="s">
        <v>86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customFormat="false" ht="15" hidden="false" customHeight="false" outlineLevel="0" collapsed="false">
      <c r="A2" s="107" t="s">
        <v>87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customFormat="false" ht="15.75" hidden="false" customHeight="false" outlineLevel="0" collapsed="false">
      <c r="A3" s="107" t="s">
        <v>162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4" customFormat="false" ht="15.75" hidden="false" customHeight="false" outlineLevel="0" collapsed="false">
      <c r="A4" s="107" t="s">
        <v>161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</row>
    <row r="6" customFormat="false" ht="12.75" hidden="false" customHeight="false" outlineLevel="0" collapsed="false">
      <c r="A6" s="110" t="s">
        <v>89</v>
      </c>
      <c r="B6" s="111" t="s">
        <v>8</v>
      </c>
      <c r="C6" s="111" t="s">
        <v>8</v>
      </c>
      <c r="D6" s="111" t="s">
        <v>90</v>
      </c>
      <c r="E6" s="111"/>
      <c r="F6" s="111" t="s">
        <v>91</v>
      </c>
      <c r="G6" s="111" t="s">
        <v>68</v>
      </c>
      <c r="H6" s="111" t="s">
        <v>28</v>
      </c>
      <c r="I6" s="112" t="s">
        <v>93</v>
      </c>
      <c r="J6" s="112"/>
      <c r="K6" s="112"/>
    </row>
    <row r="7" customFormat="false" ht="12.75" hidden="false" customHeight="false" outlineLevel="0" collapsed="false">
      <c r="A7" s="113" t="s">
        <v>22</v>
      </c>
      <c r="B7" s="114" t="s">
        <v>18</v>
      </c>
      <c r="C7" s="114" t="s">
        <v>17</v>
      </c>
      <c r="D7" s="114" t="s">
        <v>23</v>
      </c>
      <c r="E7" s="114"/>
      <c r="F7" s="114" t="s">
        <v>94</v>
      </c>
      <c r="G7" s="114" t="s">
        <v>23</v>
      </c>
      <c r="H7" s="114" t="s">
        <v>23</v>
      </c>
      <c r="I7" s="114" t="s">
        <v>30</v>
      </c>
      <c r="J7" s="114" t="s">
        <v>31</v>
      </c>
      <c r="K7" s="115" t="s">
        <v>32</v>
      </c>
    </row>
    <row r="8" customFormat="false" ht="12.75" hidden="false" customHeight="false" outlineLevel="0" collapsed="false">
      <c r="A8" s="116"/>
      <c r="B8" s="117"/>
      <c r="C8" s="117"/>
      <c r="D8" s="117"/>
      <c r="E8" s="117"/>
      <c r="F8" s="117"/>
      <c r="G8" s="118" t="s">
        <v>95</v>
      </c>
      <c r="H8" s="119"/>
      <c r="I8" s="119" t="s">
        <v>96</v>
      </c>
      <c r="J8" s="119" t="s">
        <v>96</v>
      </c>
      <c r="K8" s="120" t="s">
        <v>96</v>
      </c>
    </row>
    <row r="9" customFormat="false" ht="12.75" hidden="false" customHeight="false" outlineLevel="0" collapsed="false">
      <c r="A9" s="121" t="n">
        <v>36069</v>
      </c>
      <c r="B9" s="122"/>
      <c r="C9" s="123" t="s">
        <v>37</v>
      </c>
      <c r="D9" s="124" t="n">
        <f aca="false">2.005</f>
        <v>2.005</v>
      </c>
      <c r="E9" s="122"/>
      <c r="F9" s="125" t="n">
        <f aca="false">-2500*31</f>
        <v>-77500</v>
      </c>
      <c r="G9" s="124" t="n">
        <f aca="false">1.82</f>
        <v>1.82</v>
      </c>
      <c r="H9" s="122"/>
      <c r="I9" s="126" t="n">
        <f aca="false">SUM(D9-G9)*F9</f>
        <v>-14337.5</v>
      </c>
      <c r="J9" s="149" t="n">
        <f aca="false">+I9</f>
        <v>-14337.5</v>
      </c>
      <c r="K9" s="149"/>
    </row>
    <row r="10" customFormat="false" ht="12.75" hidden="false" customHeight="false" outlineLevel="0" collapsed="false">
      <c r="A10" s="121" t="n">
        <v>36100</v>
      </c>
      <c r="B10" s="122"/>
      <c r="C10" s="123" t="s">
        <v>37</v>
      </c>
      <c r="D10" s="124" t="n">
        <f aca="false">2.005</f>
        <v>2.005</v>
      </c>
      <c r="E10" s="122"/>
      <c r="F10" s="125" t="n">
        <f aca="false">-2500*30</f>
        <v>-75000</v>
      </c>
      <c r="G10" s="124" t="n">
        <v>1.92</v>
      </c>
      <c r="H10" s="124"/>
      <c r="I10" s="126" t="n">
        <f aca="false">SUM(D10-G10)*F10</f>
        <v>-6375</v>
      </c>
      <c r="J10" s="149" t="n">
        <f aca="false">+I10</f>
        <v>-6375</v>
      </c>
      <c r="K10" s="149"/>
    </row>
    <row r="11" customFormat="false" ht="12.75" hidden="false" customHeight="false" outlineLevel="0" collapsed="false">
      <c r="A11" s="121" t="n">
        <v>36130</v>
      </c>
      <c r="B11" s="122"/>
      <c r="C11" s="123" t="s">
        <v>37</v>
      </c>
      <c r="D11" s="124" t="n">
        <f aca="false">2.005</f>
        <v>2.005</v>
      </c>
      <c r="E11" s="122"/>
      <c r="F11" s="125" t="n">
        <f aca="false">-2500*31</f>
        <v>-77500</v>
      </c>
      <c r="G11" s="124" t="n">
        <v>1.99</v>
      </c>
      <c r="H11" s="124"/>
      <c r="I11" s="126" t="n">
        <f aca="false">SUM(D11-G11)*F11</f>
        <v>-1162.49999999999</v>
      </c>
      <c r="J11" s="149" t="n">
        <f aca="false">+I11</f>
        <v>-1162.49999999999</v>
      </c>
      <c r="K11" s="149"/>
    </row>
    <row r="12" customFormat="false" ht="12.75" hidden="false" customHeight="false" outlineLevel="0" collapsed="false">
      <c r="A12" s="121" t="n">
        <v>36161</v>
      </c>
      <c r="B12" s="122"/>
      <c r="C12" s="123" t="s">
        <v>37</v>
      </c>
      <c r="D12" s="124" t="n">
        <f aca="false">2.005</f>
        <v>2.005</v>
      </c>
      <c r="E12" s="122"/>
      <c r="F12" s="125" t="n">
        <f aca="false">-2500*31</f>
        <v>-77500</v>
      </c>
      <c r="G12" s="124" t="n">
        <v>1.73</v>
      </c>
      <c r="H12" s="124"/>
      <c r="I12" s="126" t="n">
        <f aca="false">SUM(D12-G12)*F12</f>
        <v>-21312.5</v>
      </c>
      <c r="J12" s="149" t="n">
        <f aca="false">+I12</f>
        <v>-21312.5</v>
      </c>
      <c r="K12" s="149"/>
    </row>
    <row r="13" customFormat="false" ht="12.75" hidden="false" customHeight="false" outlineLevel="0" collapsed="false">
      <c r="A13" s="121" t="n">
        <v>36192</v>
      </c>
      <c r="B13" s="122"/>
      <c r="C13" s="123" t="s">
        <v>37</v>
      </c>
      <c r="D13" s="124" t="n">
        <f aca="false">2.005</f>
        <v>2.005</v>
      </c>
      <c r="E13" s="122"/>
      <c r="F13" s="125" t="n">
        <f aca="false">-2500*28</f>
        <v>-70000</v>
      </c>
      <c r="G13" s="124" t="n">
        <v>1.66</v>
      </c>
      <c r="H13" s="124"/>
      <c r="I13" s="126" t="n">
        <f aca="false">SUM(D13-G13)*F13</f>
        <v>-24150</v>
      </c>
      <c r="J13" s="149" t="n">
        <f aca="false">+I13</f>
        <v>-24150</v>
      </c>
      <c r="K13" s="149"/>
    </row>
    <row r="14" customFormat="false" ht="12.75" hidden="false" customHeight="false" outlineLevel="0" collapsed="false">
      <c r="A14" s="121" t="n">
        <v>36220</v>
      </c>
      <c r="B14" s="122"/>
      <c r="C14" s="123" t="s">
        <v>37</v>
      </c>
      <c r="D14" s="124" t="n">
        <f aca="false">2.005</f>
        <v>2.005</v>
      </c>
      <c r="E14" s="122"/>
      <c r="F14" s="125" t="n">
        <f aca="false">-2500*31</f>
        <v>-77500</v>
      </c>
      <c r="G14" s="124" t="n">
        <v>1.54</v>
      </c>
      <c r="H14" s="124"/>
      <c r="I14" s="126" t="n">
        <f aca="false">SUM(D14-G14)*F14</f>
        <v>-36037.5</v>
      </c>
      <c r="J14" s="149" t="n">
        <f aca="false">+I14</f>
        <v>-36037.5</v>
      </c>
      <c r="K14" s="149"/>
    </row>
    <row r="15" customFormat="false" ht="12.75" hidden="false" customHeight="false" outlineLevel="0" collapsed="false">
      <c r="A15" s="121" t="n">
        <v>36251</v>
      </c>
      <c r="B15" s="122"/>
      <c r="C15" s="123" t="s">
        <v>37</v>
      </c>
      <c r="D15" s="124" t="n">
        <f aca="false">2.005</f>
        <v>2.005</v>
      </c>
      <c r="E15" s="122"/>
      <c r="F15" s="125" t="n">
        <f aca="false">-2500*30</f>
        <v>-75000</v>
      </c>
      <c r="G15" s="124" t="n">
        <v>1.66</v>
      </c>
      <c r="H15" s="124"/>
      <c r="I15" s="126" t="n">
        <f aca="false">SUM(D15-G15)*F15</f>
        <v>-25875</v>
      </c>
      <c r="J15" s="149" t="n">
        <f aca="false">+I15</f>
        <v>-25875</v>
      </c>
      <c r="K15" s="149"/>
    </row>
    <row r="16" customFormat="false" ht="12.75" hidden="false" customHeight="false" outlineLevel="0" collapsed="false">
      <c r="A16" s="121" t="n">
        <v>36281</v>
      </c>
      <c r="B16" s="122"/>
      <c r="C16" s="123" t="s">
        <v>37</v>
      </c>
      <c r="D16" s="124" t="n">
        <f aca="false">2.005</f>
        <v>2.005</v>
      </c>
      <c r="E16" s="122"/>
      <c r="F16" s="125" t="n">
        <f aca="false">-2500*31</f>
        <v>-77500</v>
      </c>
      <c r="G16" s="124" t="n">
        <v>2.16</v>
      </c>
      <c r="H16" s="124"/>
      <c r="I16" s="126" t="n">
        <f aca="false">SUM(D16-G16)*F16</f>
        <v>12012.5</v>
      </c>
      <c r="J16" s="149" t="n">
        <f aca="false">+I16</f>
        <v>12012.5</v>
      </c>
      <c r="K16" s="149"/>
    </row>
    <row r="17" customFormat="false" ht="12.75" hidden="false" customHeight="false" outlineLevel="0" collapsed="false">
      <c r="A17" s="121" t="n">
        <v>36312</v>
      </c>
      <c r="B17" s="122"/>
      <c r="C17" s="123" t="s">
        <v>37</v>
      </c>
      <c r="D17" s="124" t="n">
        <f aca="false">2.005</f>
        <v>2.005</v>
      </c>
      <c r="E17" s="122"/>
      <c r="F17" s="125" t="n">
        <f aca="false">-2500*30</f>
        <v>-75000</v>
      </c>
      <c r="G17" s="124" t="n">
        <v>2.08</v>
      </c>
      <c r="H17" s="124"/>
      <c r="I17" s="126" t="n">
        <f aca="false">SUM(D17-G17)*F17</f>
        <v>5625.00000000001</v>
      </c>
      <c r="J17" s="149" t="n">
        <f aca="false">+I17</f>
        <v>5625.00000000001</v>
      </c>
      <c r="K17" s="149"/>
    </row>
    <row r="18" customFormat="false" ht="12.75" hidden="false" customHeight="false" outlineLevel="0" collapsed="false">
      <c r="A18" s="121" t="n">
        <v>36342</v>
      </c>
      <c r="B18" s="122"/>
      <c r="C18" s="123" t="s">
        <v>37</v>
      </c>
      <c r="D18" s="124" t="n">
        <f aca="false">2.005</f>
        <v>2.005</v>
      </c>
      <c r="E18" s="122"/>
      <c r="F18" s="125" t="n">
        <f aca="false">-2500*31</f>
        <v>-77500</v>
      </c>
      <c r="G18" s="124" t="n">
        <v>2.17</v>
      </c>
      <c r="H18" s="124"/>
      <c r="I18" s="126" t="n">
        <f aca="false">SUM(D18-G18)*F18</f>
        <v>12787.5</v>
      </c>
      <c r="J18" s="149" t="n">
        <f aca="false">+I18</f>
        <v>12787.5</v>
      </c>
      <c r="K18" s="149"/>
    </row>
    <row r="19" customFormat="false" ht="12.75" hidden="false" customHeight="false" outlineLevel="0" collapsed="false">
      <c r="A19" s="121" t="n">
        <v>36373</v>
      </c>
      <c r="B19" s="122"/>
      <c r="C19" s="123" t="s">
        <v>37</v>
      </c>
      <c r="D19" s="124" t="n">
        <f aca="false">2.005</f>
        <v>2.005</v>
      </c>
      <c r="E19" s="122"/>
      <c r="F19" s="125" t="n">
        <f aca="false">-2500*31</f>
        <v>-77500</v>
      </c>
      <c r="G19" s="124" t="n">
        <v>2.46</v>
      </c>
      <c r="H19" s="124"/>
      <c r="I19" s="126" t="n">
        <f aca="false">SUM(D19-G19)*F19</f>
        <v>35262.5</v>
      </c>
      <c r="J19" s="149" t="n">
        <f aca="false">+I19</f>
        <v>35262.5</v>
      </c>
      <c r="K19" s="149"/>
    </row>
    <row r="20" customFormat="false" ht="12.75" hidden="false" customHeight="false" outlineLevel="0" collapsed="false">
      <c r="A20" s="121" t="n">
        <v>36404</v>
      </c>
      <c r="B20" s="122"/>
      <c r="C20" s="123" t="s">
        <v>37</v>
      </c>
      <c r="D20" s="124" t="n">
        <f aca="false">2.005</f>
        <v>2.005</v>
      </c>
      <c r="E20" s="122"/>
      <c r="F20" s="125" t="n">
        <f aca="false">-2500*30</f>
        <v>-75000</v>
      </c>
      <c r="G20" s="124" t="n">
        <v>2.78</v>
      </c>
      <c r="H20" s="124"/>
      <c r="I20" s="126" t="n">
        <f aca="false">SUM(D20-G20)*F20</f>
        <v>58125</v>
      </c>
      <c r="J20" s="149" t="n">
        <f aca="false">+I20</f>
        <v>58125</v>
      </c>
      <c r="K20" s="149"/>
    </row>
    <row r="21" customFormat="false" ht="12.75" hidden="false" customHeight="false" outlineLevel="0" collapsed="false">
      <c r="A21" s="121" t="n">
        <v>36434</v>
      </c>
      <c r="B21" s="122"/>
      <c r="C21" s="123" t="s">
        <v>37</v>
      </c>
      <c r="D21" s="124" t="n">
        <f aca="false">2.005</f>
        <v>2.005</v>
      </c>
      <c r="E21" s="122"/>
      <c r="F21" s="125" t="n">
        <f aca="false">-2500*31</f>
        <v>-77500</v>
      </c>
      <c r="G21" s="124" t="n">
        <v>2.42</v>
      </c>
      <c r="H21" s="124"/>
      <c r="I21" s="126" t="n">
        <f aca="false">SUM(D21-G21)*F21</f>
        <v>32162.5</v>
      </c>
      <c r="J21" s="149" t="n">
        <f aca="false">+I21</f>
        <v>32162.5</v>
      </c>
      <c r="K21" s="149"/>
    </row>
    <row r="22" customFormat="false" ht="12.75" hidden="false" customHeight="false" outlineLevel="0" collapsed="false">
      <c r="A22" s="121" t="n">
        <v>36465</v>
      </c>
      <c r="B22" s="122"/>
      <c r="C22" s="123" t="s">
        <v>37</v>
      </c>
      <c r="D22" s="124" t="n">
        <f aca="false">2.005</f>
        <v>2.005</v>
      </c>
      <c r="E22" s="122"/>
      <c r="F22" s="125" t="n">
        <f aca="false">-2500*30</f>
        <v>-75000</v>
      </c>
      <c r="G22" s="124" t="n">
        <v>2.87</v>
      </c>
      <c r="H22" s="124"/>
      <c r="I22" s="126" t="n">
        <f aca="false">SUM(D22-G22)*F22</f>
        <v>64875</v>
      </c>
      <c r="J22" s="149" t="n">
        <f aca="false">+I22</f>
        <v>64875</v>
      </c>
      <c r="K22" s="149"/>
    </row>
    <row r="23" customFormat="false" ht="12.75" hidden="false" customHeight="false" outlineLevel="0" collapsed="false">
      <c r="A23" s="121" t="n">
        <v>36495</v>
      </c>
      <c r="B23" s="122"/>
      <c r="C23" s="123" t="s">
        <v>37</v>
      </c>
      <c r="D23" s="124" t="n">
        <f aca="false">2.005</f>
        <v>2.005</v>
      </c>
      <c r="E23" s="122"/>
      <c r="F23" s="125" t="n">
        <f aca="false">-2500*31</f>
        <v>-77500</v>
      </c>
      <c r="G23" s="124" t="n">
        <v>2.08</v>
      </c>
      <c r="H23" s="124"/>
      <c r="I23" s="126" t="n">
        <f aca="false">SUM(D23-G23)*F23</f>
        <v>5812.50000000001</v>
      </c>
      <c r="J23" s="149" t="n">
        <f aca="false">+I23</f>
        <v>5812.50000000001</v>
      </c>
      <c r="K23" s="149"/>
    </row>
    <row r="24" customFormat="false" ht="12.75" hidden="false" customHeight="false" outlineLevel="0" collapsed="false">
      <c r="A24" s="122"/>
      <c r="B24" s="122"/>
      <c r="C24" s="122"/>
      <c r="D24" s="122"/>
      <c r="E24" s="122"/>
      <c r="F24" s="129" t="n">
        <f aca="false">SUM(F9:F23)</f>
        <v>-1142500</v>
      </c>
      <c r="G24" s="122"/>
      <c r="H24" s="122"/>
      <c r="I24" s="138" t="n">
        <f aca="false">SUM(I9:I23)</f>
        <v>97412.5000000001</v>
      </c>
      <c r="J24" s="138" t="n">
        <f aca="false">SUM(J9:J23)</f>
        <v>97412.5000000001</v>
      </c>
      <c r="K24" s="138" t="n">
        <f aca="false">SUM(K9:K23)</f>
        <v>0</v>
      </c>
      <c r="L24" s="167" t="n">
        <f aca="false">+J24+K24-I24</f>
        <v>0</v>
      </c>
    </row>
    <row r="25" customFormat="false" ht="12.75" hidden="false" customHeight="false" outlineLevel="0" collapsed="false">
      <c r="A25" s="122"/>
      <c r="B25" s="122"/>
      <c r="C25" s="122"/>
      <c r="D25" s="122"/>
      <c r="E25" s="122"/>
      <c r="F25" s="131"/>
      <c r="G25" s="122"/>
      <c r="H25" s="122"/>
      <c r="I25" s="199"/>
      <c r="J25" s="200"/>
      <c r="K25" s="200"/>
      <c r="L25" s="167"/>
    </row>
    <row r="26" customFormat="false" ht="12.75" hidden="false" customHeight="false" outlineLevel="0" collapsed="false">
      <c r="A26" s="122"/>
      <c r="B26" s="122"/>
      <c r="C26" s="122"/>
      <c r="D26" s="122"/>
      <c r="E26" s="122"/>
      <c r="F26" s="131"/>
      <c r="G26" s="134" t="s">
        <v>142</v>
      </c>
      <c r="H26" s="122"/>
      <c r="I26" s="199"/>
      <c r="J26" s="200"/>
      <c r="K26" s="200"/>
      <c r="L26" s="167"/>
    </row>
    <row r="27" customFormat="false" ht="12.75" hidden="false" customHeight="false" outlineLevel="0" collapsed="false">
      <c r="A27" s="122"/>
      <c r="B27" s="122"/>
      <c r="C27" s="122"/>
      <c r="D27" s="122"/>
      <c r="E27" s="122"/>
      <c r="F27" s="122"/>
      <c r="G27" s="122"/>
      <c r="H27" s="122"/>
      <c r="I27" s="122"/>
      <c r="J27" s="149"/>
      <c r="K27" s="149"/>
    </row>
    <row r="28" customFormat="false" ht="12.75" hidden="false" customHeight="false" outlineLevel="0" collapsed="false">
      <c r="A28" s="121" t="n">
        <v>36069</v>
      </c>
      <c r="B28" s="122"/>
      <c r="C28" s="123" t="s">
        <v>98</v>
      </c>
      <c r="D28" s="124" t="n">
        <f aca="false">2.005</f>
        <v>2.005</v>
      </c>
      <c r="E28" s="122"/>
      <c r="F28" s="125" t="n">
        <f aca="false">2500*31</f>
        <v>77500</v>
      </c>
      <c r="G28" s="124" t="n">
        <v>1.78</v>
      </c>
      <c r="H28" s="124"/>
      <c r="I28" s="126" t="n">
        <f aca="false">SUM(D28-G28)*F28</f>
        <v>17437.5</v>
      </c>
      <c r="J28" s="149" t="n">
        <f aca="false">+I28</f>
        <v>17437.5</v>
      </c>
      <c r="K28" s="149"/>
    </row>
    <row r="29" customFormat="false" ht="12.75" hidden="false" customHeight="false" outlineLevel="0" collapsed="false">
      <c r="A29" s="121" t="n">
        <v>36100</v>
      </c>
      <c r="B29" s="122"/>
      <c r="C29" s="123" t="s">
        <v>98</v>
      </c>
      <c r="D29" s="124" t="n">
        <f aca="false">2.005</f>
        <v>2.005</v>
      </c>
      <c r="E29" s="122"/>
      <c r="F29" s="125" t="n">
        <f aca="false">2500*30</f>
        <v>75000</v>
      </c>
      <c r="G29" s="124" t="n">
        <v>1.99</v>
      </c>
      <c r="H29" s="124"/>
      <c r="I29" s="126" t="n">
        <f aca="false">SUM(D29-G29)*F29</f>
        <v>1124.99999999999</v>
      </c>
      <c r="J29" s="149" t="n">
        <f aca="false">+I29</f>
        <v>1124.99999999999</v>
      </c>
      <c r="K29" s="149"/>
    </row>
    <row r="30" customFormat="false" ht="12.75" hidden="false" customHeight="false" outlineLevel="0" collapsed="false">
      <c r="A30" s="121" t="n">
        <v>36130</v>
      </c>
      <c r="B30" s="122"/>
      <c r="C30" s="123" t="s">
        <v>98</v>
      </c>
      <c r="D30" s="124" t="n">
        <f aca="false">2.005</f>
        <v>2.005</v>
      </c>
      <c r="E30" s="122"/>
      <c r="F30" s="125" t="n">
        <f aca="false">2500*31</f>
        <v>77500</v>
      </c>
      <c r="G30" s="124" t="n">
        <v>1.74</v>
      </c>
      <c r="H30" s="124"/>
      <c r="I30" s="126" t="n">
        <f aca="false">SUM(D30-G30)*F30</f>
        <v>20537.5</v>
      </c>
      <c r="J30" s="149" t="n">
        <f aca="false">+I30</f>
        <v>20537.5</v>
      </c>
      <c r="K30" s="149"/>
    </row>
    <row r="31" customFormat="false" ht="12.75" hidden="false" customHeight="false" outlineLevel="0" collapsed="false">
      <c r="A31" s="121" t="n">
        <v>36161</v>
      </c>
      <c r="B31" s="122"/>
      <c r="C31" s="123" t="s">
        <v>98</v>
      </c>
      <c r="D31" s="124" t="n">
        <f aca="false">2.005</f>
        <v>2.005</v>
      </c>
      <c r="E31" s="122"/>
      <c r="F31" s="125" t="n">
        <f aca="false">2500*31</f>
        <v>77500</v>
      </c>
      <c r="G31" s="124" t="n">
        <v>1.73</v>
      </c>
      <c r="H31" s="124"/>
      <c r="I31" s="126" t="n">
        <f aca="false">SUM(D31-G31)*F31</f>
        <v>21312.5</v>
      </c>
      <c r="J31" s="149" t="n">
        <f aca="false">+I31</f>
        <v>21312.5</v>
      </c>
      <c r="K31" s="149"/>
    </row>
    <row r="32" customFormat="false" ht="12.75" hidden="false" customHeight="false" outlineLevel="0" collapsed="false">
      <c r="A32" s="121" t="n">
        <v>36192</v>
      </c>
      <c r="B32" s="122"/>
      <c r="C32" s="123" t="s">
        <v>98</v>
      </c>
      <c r="D32" s="124" t="n">
        <f aca="false">2.005</f>
        <v>2.005</v>
      </c>
      <c r="E32" s="122"/>
      <c r="F32" s="125" t="n">
        <f aca="false">2500*28</f>
        <v>70000</v>
      </c>
      <c r="G32" s="124" t="n">
        <v>1.63</v>
      </c>
      <c r="H32" s="124"/>
      <c r="I32" s="126" t="n">
        <f aca="false">SUM(D32-G32)*F32</f>
        <v>26250</v>
      </c>
      <c r="J32" s="149" t="n">
        <f aca="false">+I32</f>
        <v>26250</v>
      </c>
      <c r="K32" s="149"/>
    </row>
    <row r="33" customFormat="false" ht="12.75" hidden="false" customHeight="false" outlineLevel="0" collapsed="false">
      <c r="A33" s="121" t="n">
        <v>36220</v>
      </c>
      <c r="B33" s="122"/>
      <c r="C33" s="123" t="s">
        <v>98</v>
      </c>
      <c r="D33" s="124" t="n">
        <f aca="false">2.005</f>
        <v>2.005</v>
      </c>
      <c r="E33" s="122"/>
      <c r="F33" s="125" t="n">
        <f aca="false">2500*31</f>
        <v>77500</v>
      </c>
      <c r="G33" s="124" t="n">
        <v>1.59</v>
      </c>
      <c r="H33" s="124"/>
      <c r="I33" s="126" t="n">
        <f aca="false">SUM(D33-G33)*F33</f>
        <v>32162.5</v>
      </c>
      <c r="J33" s="149" t="n">
        <f aca="false">+I33</f>
        <v>32162.5</v>
      </c>
      <c r="K33" s="149"/>
    </row>
    <row r="34" customFormat="false" ht="12.75" hidden="false" customHeight="false" outlineLevel="0" collapsed="false">
      <c r="A34" s="121" t="n">
        <v>36251</v>
      </c>
      <c r="B34" s="122"/>
      <c r="C34" s="123" t="s">
        <v>98</v>
      </c>
      <c r="D34" s="124" t="n">
        <f aca="false">2.005</f>
        <v>2.005</v>
      </c>
      <c r="E34" s="122"/>
      <c r="F34" s="125" t="n">
        <f aca="false">2500*30</f>
        <v>75000</v>
      </c>
      <c r="G34" s="124" t="n">
        <v>1.94</v>
      </c>
      <c r="H34" s="124"/>
      <c r="I34" s="126" t="n">
        <f aca="false">SUM(D34-G34)*F34</f>
        <v>4875</v>
      </c>
      <c r="J34" s="149" t="n">
        <f aca="false">+I34</f>
        <v>4875</v>
      </c>
      <c r="K34" s="149"/>
    </row>
    <row r="35" customFormat="false" ht="12.75" hidden="false" customHeight="false" outlineLevel="0" collapsed="false">
      <c r="A35" s="121" t="n">
        <v>36281</v>
      </c>
      <c r="B35" s="122"/>
      <c r="C35" s="123" t="s">
        <v>98</v>
      </c>
      <c r="D35" s="124" t="n">
        <f aca="false">2.005</f>
        <v>2.005</v>
      </c>
      <c r="E35" s="122"/>
      <c r="F35" s="125" t="n">
        <f aca="false">2500*31</f>
        <v>77500</v>
      </c>
      <c r="G35" s="124" t="n">
        <v>2.06</v>
      </c>
      <c r="H35" s="124"/>
      <c r="I35" s="126" t="n">
        <f aca="false">SUM(D35-G35)*F35</f>
        <v>-4262.50000000001</v>
      </c>
      <c r="J35" s="149" t="n">
        <f aca="false">+I35</f>
        <v>-4262.50000000001</v>
      </c>
      <c r="K35" s="149"/>
    </row>
    <row r="36" customFormat="false" ht="12.75" hidden="false" customHeight="false" outlineLevel="0" collapsed="false">
      <c r="A36" s="121" t="n">
        <v>36312</v>
      </c>
      <c r="B36" s="122"/>
      <c r="C36" s="123" t="s">
        <v>98</v>
      </c>
      <c r="D36" s="124" t="n">
        <f aca="false">2.005</f>
        <v>2.005</v>
      </c>
      <c r="E36" s="122"/>
      <c r="F36" s="125" t="n">
        <f aca="false">2500*30</f>
        <v>75000</v>
      </c>
      <c r="G36" s="124" t="n">
        <v>2.07</v>
      </c>
      <c r="H36" s="124"/>
      <c r="I36" s="126" t="n">
        <f aca="false">SUM(D36-G36)*F36</f>
        <v>-4875</v>
      </c>
      <c r="J36" s="149" t="n">
        <f aca="false">+I36</f>
        <v>-4875</v>
      </c>
      <c r="K36" s="149"/>
    </row>
    <row r="37" customFormat="false" ht="12.75" hidden="false" customHeight="false" outlineLevel="0" collapsed="false">
      <c r="A37" s="121" t="n">
        <v>36342</v>
      </c>
      <c r="B37" s="122"/>
      <c r="C37" s="123" t="s">
        <v>98</v>
      </c>
      <c r="D37" s="124" t="n">
        <f aca="false">2.005</f>
        <v>2.005</v>
      </c>
      <c r="E37" s="122"/>
      <c r="F37" s="125" t="n">
        <f aca="false">2500*31</f>
        <v>77500</v>
      </c>
      <c r="G37" s="124" t="n">
        <v>2.11</v>
      </c>
      <c r="H37" s="124"/>
      <c r="I37" s="126" t="n">
        <f aca="false">SUM(D37-G37)*F37</f>
        <v>-8137.5</v>
      </c>
      <c r="J37" s="149" t="n">
        <f aca="false">+I37</f>
        <v>-8137.5</v>
      </c>
      <c r="K37" s="149"/>
    </row>
    <row r="38" customFormat="false" ht="12.75" hidden="false" customHeight="false" outlineLevel="0" collapsed="false">
      <c r="A38" s="121" t="n">
        <v>36373</v>
      </c>
      <c r="B38" s="122"/>
      <c r="C38" s="123" t="s">
        <v>98</v>
      </c>
      <c r="D38" s="124" t="n">
        <f aca="false">2.005</f>
        <v>2.005</v>
      </c>
      <c r="E38" s="122"/>
      <c r="F38" s="125" t="n">
        <f aca="false">2500*31</f>
        <v>77500</v>
      </c>
      <c r="G38" s="124" t="n">
        <v>2.51</v>
      </c>
      <c r="H38" s="124"/>
      <c r="I38" s="126" t="n">
        <f aca="false">SUM(D38-G38)*F38</f>
        <v>-39137.5</v>
      </c>
      <c r="J38" s="149" t="n">
        <f aca="false">+I38</f>
        <v>-39137.5</v>
      </c>
      <c r="K38" s="149"/>
    </row>
    <row r="39" customFormat="false" ht="12.75" hidden="false" customHeight="false" outlineLevel="0" collapsed="false">
      <c r="A39" s="121" t="n">
        <v>36404</v>
      </c>
      <c r="B39" s="122"/>
      <c r="C39" s="123" t="s">
        <v>98</v>
      </c>
      <c r="D39" s="124" t="n">
        <f aca="false">2.005</f>
        <v>2.005</v>
      </c>
      <c r="E39" s="122"/>
      <c r="F39" s="125" t="n">
        <f aca="false">2500*30</f>
        <v>75000</v>
      </c>
      <c r="G39" s="124" t="n">
        <v>2.36</v>
      </c>
      <c r="H39" s="124"/>
      <c r="I39" s="126" t="n">
        <f aca="false">SUM(D39-G39)*F39</f>
        <v>-26625</v>
      </c>
      <c r="J39" s="149" t="n">
        <f aca="false">+I39</f>
        <v>-26625</v>
      </c>
      <c r="K39" s="149"/>
    </row>
    <row r="40" customFormat="false" ht="12.75" hidden="false" customHeight="false" outlineLevel="0" collapsed="false">
      <c r="A40" s="121" t="n">
        <v>36434</v>
      </c>
      <c r="B40" s="122"/>
      <c r="C40" s="123" t="s">
        <v>98</v>
      </c>
      <c r="D40" s="124" t="n">
        <f aca="false">2.005</f>
        <v>2.005</v>
      </c>
      <c r="E40" s="122"/>
      <c r="F40" s="125" t="n">
        <f aca="false">2500*31</f>
        <v>77500</v>
      </c>
      <c r="G40" s="124" t="n">
        <v>2.62</v>
      </c>
      <c r="H40" s="124"/>
      <c r="I40" s="126" t="n">
        <f aca="false">SUM(D40-G40)*F40</f>
        <v>-47662.5</v>
      </c>
      <c r="J40" s="149" t="n">
        <f aca="false">+I40</f>
        <v>-47662.5</v>
      </c>
      <c r="K40" s="149"/>
    </row>
    <row r="41" customFormat="false" ht="12.75" hidden="false" customHeight="false" outlineLevel="0" collapsed="false">
      <c r="A41" s="121" t="n">
        <v>36465</v>
      </c>
      <c r="B41" s="122"/>
      <c r="C41" s="123" t="s">
        <v>98</v>
      </c>
      <c r="D41" s="124" t="n">
        <f aca="false">2.005</f>
        <v>2.005</v>
      </c>
      <c r="E41" s="122"/>
      <c r="F41" s="125" t="n">
        <f aca="false">2500*30</f>
        <v>75000</v>
      </c>
      <c r="G41" s="124" t="n">
        <v>2.17</v>
      </c>
      <c r="H41" s="124"/>
      <c r="I41" s="126" t="n">
        <f aca="false">SUM(D41-G41)*F41</f>
        <v>-12375</v>
      </c>
      <c r="J41" s="149" t="n">
        <f aca="false">+I41</f>
        <v>-12375</v>
      </c>
      <c r="K41" s="149"/>
    </row>
    <row r="42" customFormat="false" ht="12.75" hidden="false" customHeight="false" outlineLevel="0" collapsed="false">
      <c r="A42" s="121" t="n">
        <v>36495</v>
      </c>
      <c r="B42" s="122"/>
      <c r="C42" s="123" t="s">
        <v>98</v>
      </c>
      <c r="D42" s="124" t="n">
        <f aca="false">2.005</f>
        <v>2.005</v>
      </c>
      <c r="E42" s="122"/>
      <c r="F42" s="125" t="n">
        <f aca="false">2500*31</f>
        <v>77500</v>
      </c>
      <c r="G42" s="124" t="n">
        <v>2.24</v>
      </c>
      <c r="H42" s="124"/>
      <c r="I42" s="126" t="n">
        <f aca="false">SUM(D42-G42)*F42</f>
        <v>-18212.5</v>
      </c>
      <c r="J42" s="149" t="n">
        <f aca="false">+I42</f>
        <v>-18212.5</v>
      </c>
      <c r="K42" s="149"/>
    </row>
    <row r="43" customFormat="false" ht="12.75" hidden="false" customHeight="false" outlineLevel="0" collapsed="false">
      <c r="A43" s="122"/>
      <c r="B43" s="122"/>
      <c r="C43" s="122"/>
      <c r="D43" s="122"/>
      <c r="E43" s="122"/>
      <c r="F43" s="129" t="n">
        <f aca="false">SUM(F28:F42)</f>
        <v>1142500</v>
      </c>
      <c r="G43" s="122"/>
      <c r="H43" s="122"/>
      <c r="I43" s="138" t="n">
        <f aca="false">SUM(I28:I42)</f>
        <v>-37587.5000000001</v>
      </c>
      <c r="J43" s="138" t="n">
        <f aca="false">SUM(J28:J42)</f>
        <v>-37587.5000000001</v>
      </c>
      <c r="K43" s="138" t="n">
        <f aca="false">SUM(K28:K42)</f>
        <v>0</v>
      </c>
      <c r="L43" s="167" t="n">
        <f aca="false">+J43+K43-I43</f>
        <v>0</v>
      </c>
    </row>
    <row r="44" customFormat="false" ht="12.75" hidden="false" customHeight="false" outlineLevel="0" collapsed="false">
      <c r="A44" s="122"/>
      <c r="B44" s="122"/>
      <c r="C44" s="122"/>
      <c r="D44" s="122"/>
      <c r="E44" s="122"/>
      <c r="F44" s="122"/>
      <c r="G44" s="122"/>
      <c r="H44" s="122"/>
      <c r="I44" s="122"/>
      <c r="J44" s="149"/>
      <c r="K44" s="149"/>
    </row>
    <row r="45" customFormat="false" ht="13.5" hidden="false" customHeight="false" outlineLevel="0" collapsed="false">
      <c r="A45" s="122"/>
      <c r="B45" s="122"/>
      <c r="C45" s="122"/>
      <c r="D45" s="122"/>
      <c r="E45" s="122"/>
      <c r="F45" s="139" t="n">
        <f aca="false">+F43+F24</f>
        <v>0</v>
      </c>
      <c r="G45" s="122"/>
      <c r="H45" s="122"/>
      <c r="I45" s="140" t="n">
        <f aca="false">+I43+I24</f>
        <v>59825</v>
      </c>
      <c r="J45" s="140" t="n">
        <f aca="false">+J43+J24</f>
        <v>59825</v>
      </c>
      <c r="K45" s="140" t="n">
        <f aca="false">+K43+K24</f>
        <v>0</v>
      </c>
      <c r="L45" s="167" t="n">
        <f aca="false">+J45+K45-I45</f>
        <v>0</v>
      </c>
    </row>
    <row r="46" customFormat="false" ht="13.5" hidden="false" customHeight="false" outlineLevel="0" collapsed="false">
      <c r="A46" s="141"/>
      <c r="B46" s="141"/>
      <c r="C46" s="141"/>
      <c r="D46" s="141"/>
      <c r="E46" s="141"/>
      <c r="F46" s="141"/>
      <c r="G46" s="141"/>
      <c r="H46" s="141"/>
      <c r="I46" s="141"/>
      <c r="J46" s="193"/>
      <c r="K46" s="193"/>
    </row>
    <row r="48" customFormat="false" ht="12.75" hidden="false" customHeight="false" outlineLevel="0" collapsed="false">
      <c r="A48" s="105" t="s">
        <v>99</v>
      </c>
      <c r="J48" s="0"/>
      <c r="K48" s="0"/>
    </row>
  </sheetData>
  <mergeCells count="5">
    <mergeCell ref="A1:K1"/>
    <mergeCell ref="A2:K2"/>
    <mergeCell ref="A3:K3"/>
    <mergeCell ref="A4:K4"/>
    <mergeCell ref="I6:K6"/>
  </mergeCells>
  <printOptions headings="false" gridLines="false" gridLinesSet="true" horizontalCentered="true" verticalCentered="true"/>
  <pageMargins left="0.25" right="0.25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&amp;L&amp;"Arial,Italic"&amp;8&amp;D&amp;T&amp;R&amp;"Arial,Italic"&amp;8G:/Common/TW Fuel Hedge/Fixed2_Avista_2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48"/>
  <sheetViews>
    <sheetView showFormulas="false" showGridLines="true" showRowColHeaders="true" showZeros="true" rightToLeft="false" tabSelected="false" showOutlineSymbols="true" defaultGridColor="true" view="normal" topLeftCell="I33" colorId="64" zoomScale="100" zoomScaleNormal="100" zoomScalePageLayoutView="100" workbookViewId="0">
      <pane xSplit="9165" ySplit="0" topLeftCell="I9" activePane="topLeft" state="split"/>
      <selection pane="topLeft" activeCell="A4" activeCellId="0" sqref="A4:IV4"/>
      <selection pane="topRight" activeCell="I33" activeCellId="0" sqref="I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0.71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4.28"/>
    <col collapsed="false" customWidth="true" hidden="false" outlineLevel="0" max="8" min="8" style="0" width="10.71"/>
    <col collapsed="false" customWidth="true" hidden="false" outlineLevel="0" max="9" min="9" style="0" width="13.7"/>
    <col collapsed="false" customWidth="true" hidden="false" outlineLevel="0" max="11" min="10" style="0" width="13.41"/>
  </cols>
  <sheetData>
    <row r="1" customFormat="false" ht="15" hidden="false" customHeight="false" outlineLevel="0" collapsed="false">
      <c r="A1" s="107" t="s">
        <v>86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customFormat="false" ht="15" hidden="false" customHeight="false" outlineLevel="0" collapsed="false">
      <c r="A2" s="107" t="s">
        <v>87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customFormat="false" ht="15.75" hidden="false" customHeight="false" outlineLevel="0" collapsed="false">
      <c r="A3" s="107" t="s">
        <v>163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4" customFormat="false" ht="15.75" hidden="false" customHeight="false" outlineLevel="0" collapsed="false">
      <c r="A4" s="107" t="s">
        <v>161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</row>
    <row r="6" customFormat="false" ht="12.75" hidden="false" customHeight="false" outlineLevel="0" collapsed="false">
      <c r="A6" s="110" t="s">
        <v>89</v>
      </c>
      <c r="B6" s="111" t="s">
        <v>8</v>
      </c>
      <c r="C6" s="111" t="s">
        <v>8</v>
      </c>
      <c r="D6" s="111" t="s">
        <v>90</v>
      </c>
      <c r="E6" s="111"/>
      <c r="F6" s="111" t="s">
        <v>91</v>
      </c>
      <c r="G6" s="111" t="s">
        <v>68</v>
      </c>
      <c r="H6" s="111" t="s">
        <v>28</v>
      </c>
      <c r="I6" s="112" t="s">
        <v>93</v>
      </c>
      <c r="J6" s="112"/>
      <c r="K6" s="112"/>
    </row>
    <row r="7" customFormat="false" ht="12.75" hidden="false" customHeight="false" outlineLevel="0" collapsed="false">
      <c r="A7" s="113" t="s">
        <v>22</v>
      </c>
      <c r="B7" s="114" t="s">
        <v>18</v>
      </c>
      <c r="C7" s="114" t="s">
        <v>17</v>
      </c>
      <c r="D7" s="114" t="s">
        <v>23</v>
      </c>
      <c r="E7" s="114"/>
      <c r="F7" s="114" t="s">
        <v>94</v>
      </c>
      <c r="G7" s="114" t="s">
        <v>23</v>
      </c>
      <c r="H7" s="114" t="s">
        <v>23</v>
      </c>
      <c r="I7" s="114" t="s">
        <v>30</v>
      </c>
      <c r="J7" s="114" t="s">
        <v>31</v>
      </c>
      <c r="K7" s="115" t="s">
        <v>32</v>
      </c>
    </row>
    <row r="8" customFormat="false" ht="12.75" hidden="false" customHeight="false" outlineLevel="0" collapsed="false">
      <c r="A8" s="116"/>
      <c r="B8" s="117"/>
      <c r="C8" s="117"/>
      <c r="D8" s="117"/>
      <c r="E8" s="117"/>
      <c r="F8" s="117"/>
      <c r="G8" s="118" t="s">
        <v>95</v>
      </c>
      <c r="H8" s="119"/>
      <c r="I8" s="119" t="s">
        <v>96</v>
      </c>
      <c r="J8" s="119" t="s">
        <v>96</v>
      </c>
      <c r="K8" s="120" t="s">
        <v>96</v>
      </c>
    </row>
    <row r="9" customFormat="false" ht="12.75" hidden="false" customHeight="false" outlineLevel="0" collapsed="false">
      <c r="A9" s="121" t="n">
        <v>36069</v>
      </c>
      <c r="B9" s="122"/>
      <c r="C9" s="123" t="s">
        <v>43</v>
      </c>
      <c r="D9" s="124" t="n">
        <f aca="false">2.1</f>
        <v>2.1</v>
      </c>
      <c r="E9" s="122"/>
      <c r="F9" s="125" t="n">
        <f aca="false">-2500*31</f>
        <v>-77500</v>
      </c>
      <c r="G9" s="124" t="n">
        <f aca="false">1.82</f>
        <v>1.82</v>
      </c>
      <c r="H9" s="122"/>
      <c r="I9" s="126" t="n">
        <f aca="false">SUM(D9-G9)*F9</f>
        <v>-21700</v>
      </c>
      <c r="J9" s="127" t="n">
        <f aca="false">+I9</f>
        <v>-21700</v>
      </c>
      <c r="K9" s="127"/>
    </row>
    <row r="10" customFormat="false" ht="12.75" hidden="false" customHeight="false" outlineLevel="0" collapsed="false">
      <c r="A10" s="121" t="n">
        <v>36100</v>
      </c>
      <c r="B10" s="122"/>
      <c r="C10" s="123" t="s">
        <v>43</v>
      </c>
      <c r="D10" s="124" t="n">
        <f aca="false">2.1</f>
        <v>2.1</v>
      </c>
      <c r="E10" s="122"/>
      <c r="F10" s="125" t="n">
        <f aca="false">-2500*30</f>
        <v>-75000</v>
      </c>
      <c r="G10" s="124" t="n">
        <v>1.92</v>
      </c>
      <c r="H10" s="124"/>
      <c r="I10" s="126" t="n">
        <f aca="false">SUM(D10-G10)*F10</f>
        <v>-13500</v>
      </c>
      <c r="J10" s="127" t="n">
        <f aca="false">+I10</f>
        <v>-13500</v>
      </c>
      <c r="K10" s="127"/>
    </row>
    <row r="11" customFormat="false" ht="12.75" hidden="false" customHeight="false" outlineLevel="0" collapsed="false">
      <c r="A11" s="121" t="n">
        <v>36130</v>
      </c>
      <c r="B11" s="122"/>
      <c r="C11" s="123" t="s">
        <v>43</v>
      </c>
      <c r="D11" s="124" t="n">
        <f aca="false">2.1</f>
        <v>2.1</v>
      </c>
      <c r="E11" s="122"/>
      <c r="F11" s="125" t="n">
        <f aca="false">-2500*31</f>
        <v>-77500</v>
      </c>
      <c r="G11" s="124" t="n">
        <v>1.99</v>
      </c>
      <c r="H11" s="124"/>
      <c r="I11" s="126" t="n">
        <f aca="false">SUM(D11-G11)*F11</f>
        <v>-8525.00000000001</v>
      </c>
      <c r="J11" s="127" t="n">
        <f aca="false">+I11</f>
        <v>-8525.00000000001</v>
      </c>
      <c r="K11" s="127"/>
    </row>
    <row r="12" customFormat="false" ht="12.75" hidden="false" customHeight="false" outlineLevel="0" collapsed="false">
      <c r="A12" s="121" t="n">
        <v>36161</v>
      </c>
      <c r="B12" s="122"/>
      <c r="C12" s="123" t="s">
        <v>43</v>
      </c>
      <c r="D12" s="124" t="n">
        <f aca="false">2.1</f>
        <v>2.1</v>
      </c>
      <c r="E12" s="122"/>
      <c r="F12" s="125" t="n">
        <f aca="false">-2500*31</f>
        <v>-77500</v>
      </c>
      <c r="G12" s="124" t="n">
        <v>1.73</v>
      </c>
      <c r="H12" s="124"/>
      <c r="I12" s="126" t="n">
        <f aca="false">SUM(D12-G12)*F12</f>
        <v>-28675</v>
      </c>
      <c r="J12" s="127" t="n">
        <f aca="false">+I12</f>
        <v>-28675</v>
      </c>
      <c r="K12" s="127"/>
    </row>
    <row r="13" customFormat="false" ht="12.75" hidden="false" customHeight="false" outlineLevel="0" collapsed="false">
      <c r="A13" s="121" t="n">
        <v>36192</v>
      </c>
      <c r="B13" s="122"/>
      <c r="C13" s="123" t="s">
        <v>43</v>
      </c>
      <c r="D13" s="124" t="n">
        <f aca="false">2.1</f>
        <v>2.1</v>
      </c>
      <c r="E13" s="122"/>
      <c r="F13" s="125" t="n">
        <f aca="false">-2500*28</f>
        <v>-70000</v>
      </c>
      <c r="G13" s="124" t="n">
        <v>1.66</v>
      </c>
      <c r="H13" s="124"/>
      <c r="I13" s="126" t="n">
        <f aca="false">SUM(D13-G13)*F13</f>
        <v>-30800</v>
      </c>
      <c r="J13" s="127" t="n">
        <f aca="false">+I13</f>
        <v>-30800</v>
      </c>
      <c r="K13" s="127"/>
    </row>
    <row r="14" customFormat="false" ht="12.75" hidden="false" customHeight="false" outlineLevel="0" collapsed="false">
      <c r="A14" s="121" t="n">
        <v>36220</v>
      </c>
      <c r="B14" s="122"/>
      <c r="C14" s="123" t="s">
        <v>43</v>
      </c>
      <c r="D14" s="124" t="n">
        <f aca="false">2.1</f>
        <v>2.1</v>
      </c>
      <c r="E14" s="122"/>
      <c r="F14" s="125" t="n">
        <f aca="false">-2500*31</f>
        <v>-77500</v>
      </c>
      <c r="G14" s="124" t="n">
        <v>1.54</v>
      </c>
      <c r="H14" s="124"/>
      <c r="I14" s="126" t="n">
        <f aca="false">SUM(D14-G14)*F14</f>
        <v>-43400</v>
      </c>
      <c r="J14" s="127" t="n">
        <f aca="false">+I14</f>
        <v>-43400</v>
      </c>
      <c r="K14" s="127"/>
    </row>
    <row r="15" customFormat="false" ht="12.75" hidden="false" customHeight="false" outlineLevel="0" collapsed="false">
      <c r="A15" s="121" t="n">
        <v>36251</v>
      </c>
      <c r="B15" s="122"/>
      <c r="C15" s="123" t="s">
        <v>43</v>
      </c>
      <c r="D15" s="124" t="n">
        <f aca="false">2.1</f>
        <v>2.1</v>
      </c>
      <c r="E15" s="122"/>
      <c r="F15" s="125" t="n">
        <f aca="false">-2500*30</f>
        <v>-75000</v>
      </c>
      <c r="G15" s="124" t="n">
        <v>1.66</v>
      </c>
      <c r="H15" s="124"/>
      <c r="I15" s="126" t="n">
        <f aca="false">SUM(D15-G15)*F15</f>
        <v>-33000</v>
      </c>
      <c r="J15" s="127" t="n">
        <f aca="false">+I15</f>
        <v>-33000</v>
      </c>
      <c r="K15" s="127"/>
    </row>
    <row r="16" customFormat="false" ht="12.75" hidden="false" customHeight="false" outlineLevel="0" collapsed="false">
      <c r="A16" s="121" t="n">
        <v>36281</v>
      </c>
      <c r="B16" s="122"/>
      <c r="C16" s="123" t="s">
        <v>43</v>
      </c>
      <c r="D16" s="124" t="n">
        <f aca="false">2.1</f>
        <v>2.1</v>
      </c>
      <c r="E16" s="122"/>
      <c r="F16" s="125" t="n">
        <f aca="false">-2500*31</f>
        <v>-77500</v>
      </c>
      <c r="G16" s="124" t="n">
        <v>2.16</v>
      </c>
      <c r="H16" s="124"/>
      <c r="I16" s="126" t="n">
        <f aca="false">SUM(D16-G16)*F16</f>
        <v>4650.00000000001</v>
      </c>
      <c r="J16" s="127" t="n">
        <f aca="false">+I16</f>
        <v>4650.00000000001</v>
      </c>
      <c r="K16" s="127"/>
    </row>
    <row r="17" customFormat="false" ht="12.75" hidden="false" customHeight="false" outlineLevel="0" collapsed="false">
      <c r="A17" s="121" t="n">
        <v>36312</v>
      </c>
      <c r="B17" s="122"/>
      <c r="C17" s="123" t="s">
        <v>43</v>
      </c>
      <c r="D17" s="124" t="n">
        <f aca="false">2.1</f>
        <v>2.1</v>
      </c>
      <c r="E17" s="122"/>
      <c r="F17" s="125" t="n">
        <f aca="false">-2500*30</f>
        <v>-75000</v>
      </c>
      <c r="G17" s="124" t="n">
        <v>2.08</v>
      </c>
      <c r="H17" s="124"/>
      <c r="I17" s="126" t="n">
        <f aca="false">SUM(D17-G17)*F17</f>
        <v>-1500</v>
      </c>
      <c r="J17" s="127" t="n">
        <f aca="false">+I17</f>
        <v>-1500</v>
      </c>
      <c r="K17" s="127"/>
    </row>
    <row r="18" customFormat="false" ht="12.75" hidden="false" customHeight="false" outlineLevel="0" collapsed="false">
      <c r="A18" s="121" t="n">
        <v>36342</v>
      </c>
      <c r="B18" s="122"/>
      <c r="C18" s="123" t="s">
        <v>43</v>
      </c>
      <c r="D18" s="124" t="n">
        <f aca="false">2.1</f>
        <v>2.1</v>
      </c>
      <c r="E18" s="122"/>
      <c r="F18" s="125" t="n">
        <f aca="false">-2500*31</f>
        <v>-77500</v>
      </c>
      <c r="G18" s="124" t="n">
        <v>2.17</v>
      </c>
      <c r="H18" s="124"/>
      <c r="I18" s="126" t="n">
        <f aca="false">SUM(D18-G18)*F18</f>
        <v>5424.99999999999</v>
      </c>
      <c r="J18" s="127" t="n">
        <f aca="false">+I18</f>
        <v>5424.99999999999</v>
      </c>
      <c r="K18" s="127"/>
    </row>
    <row r="19" customFormat="false" ht="12.75" hidden="false" customHeight="false" outlineLevel="0" collapsed="false">
      <c r="A19" s="121" t="n">
        <v>36373</v>
      </c>
      <c r="B19" s="122"/>
      <c r="C19" s="123" t="s">
        <v>43</v>
      </c>
      <c r="D19" s="124" t="n">
        <f aca="false">2.1</f>
        <v>2.1</v>
      </c>
      <c r="E19" s="122"/>
      <c r="F19" s="125" t="n">
        <f aca="false">-2500*31</f>
        <v>-77500</v>
      </c>
      <c r="G19" s="124" t="n">
        <v>2.46</v>
      </c>
      <c r="H19" s="124"/>
      <c r="I19" s="126" t="n">
        <f aca="false">SUM(D19-G19)*F19</f>
        <v>27900</v>
      </c>
      <c r="J19" s="127" t="n">
        <f aca="false">+I19</f>
        <v>27900</v>
      </c>
      <c r="K19" s="127"/>
    </row>
    <row r="20" customFormat="false" ht="12.75" hidden="false" customHeight="false" outlineLevel="0" collapsed="false">
      <c r="A20" s="121" t="n">
        <v>36404</v>
      </c>
      <c r="B20" s="122"/>
      <c r="C20" s="123" t="s">
        <v>43</v>
      </c>
      <c r="D20" s="124" t="n">
        <f aca="false">2.1</f>
        <v>2.1</v>
      </c>
      <c r="E20" s="122"/>
      <c r="F20" s="125" t="n">
        <f aca="false">-2500*30</f>
        <v>-75000</v>
      </c>
      <c r="G20" s="124" t="n">
        <v>2.78</v>
      </c>
      <c r="H20" s="124"/>
      <c r="I20" s="126" t="n">
        <f aca="false">SUM(D20-G20)*F20</f>
        <v>51000</v>
      </c>
      <c r="J20" s="127" t="n">
        <f aca="false">+I20</f>
        <v>51000</v>
      </c>
      <c r="K20" s="127"/>
    </row>
    <row r="21" customFormat="false" ht="12.75" hidden="false" customHeight="false" outlineLevel="0" collapsed="false">
      <c r="A21" s="121" t="n">
        <v>36434</v>
      </c>
      <c r="B21" s="122"/>
      <c r="C21" s="123" t="s">
        <v>43</v>
      </c>
      <c r="D21" s="124" t="n">
        <f aca="false">2.1</f>
        <v>2.1</v>
      </c>
      <c r="E21" s="122"/>
      <c r="F21" s="125" t="n">
        <f aca="false">-2500*31</f>
        <v>-77500</v>
      </c>
      <c r="G21" s="124" t="n">
        <v>2.42</v>
      </c>
      <c r="H21" s="124"/>
      <c r="I21" s="126" t="n">
        <f aca="false">SUM(D21-G21)*F21</f>
        <v>24800</v>
      </c>
      <c r="J21" s="127" t="n">
        <f aca="false">+I21</f>
        <v>24800</v>
      </c>
      <c r="K21" s="127"/>
    </row>
    <row r="22" customFormat="false" ht="12.75" hidden="false" customHeight="false" outlineLevel="0" collapsed="false">
      <c r="A22" s="121" t="n">
        <v>36465</v>
      </c>
      <c r="B22" s="122"/>
      <c r="C22" s="123" t="s">
        <v>43</v>
      </c>
      <c r="D22" s="124" t="n">
        <f aca="false">2.1</f>
        <v>2.1</v>
      </c>
      <c r="E22" s="122"/>
      <c r="F22" s="125" t="n">
        <f aca="false">-2500*30</f>
        <v>-75000</v>
      </c>
      <c r="G22" s="124" t="n">
        <v>2.87</v>
      </c>
      <c r="H22" s="124"/>
      <c r="I22" s="126" t="n">
        <f aca="false">SUM(D22-G22)*F22</f>
        <v>57750</v>
      </c>
      <c r="J22" s="127" t="n">
        <f aca="false">+I22</f>
        <v>57750</v>
      </c>
      <c r="K22" s="127"/>
    </row>
    <row r="23" customFormat="false" ht="12.75" hidden="false" customHeight="false" outlineLevel="0" collapsed="false">
      <c r="A23" s="121" t="n">
        <v>36495</v>
      </c>
      <c r="B23" s="122"/>
      <c r="C23" s="123" t="s">
        <v>43</v>
      </c>
      <c r="D23" s="124" t="n">
        <f aca="false">2.1</f>
        <v>2.1</v>
      </c>
      <c r="E23" s="122"/>
      <c r="F23" s="125" t="n">
        <f aca="false">-2500*31</f>
        <v>-77500</v>
      </c>
      <c r="G23" s="124" t="n">
        <v>2.08</v>
      </c>
      <c r="H23" s="124"/>
      <c r="I23" s="126" t="n">
        <f aca="false">SUM(D23-G23)*F23</f>
        <v>-1550</v>
      </c>
      <c r="J23" s="127" t="n">
        <f aca="false">+I23</f>
        <v>-1550</v>
      </c>
      <c r="K23" s="127"/>
    </row>
    <row r="24" customFormat="false" ht="12.75" hidden="false" customHeight="false" outlineLevel="0" collapsed="false">
      <c r="A24" s="122"/>
      <c r="B24" s="122"/>
      <c r="C24" s="122"/>
      <c r="D24" s="122"/>
      <c r="E24" s="122"/>
      <c r="F24" s="129" t="n">
        <f aca="false">SUM(F9:F23)</f>
        <v>-1142500</v>
      </c>
      <c r="G24" s="122"/>
      <c r="H24" s="122"/>
      <c r="I24" s="130" t="n">
        <f aca="false">SUM(I9:I23)</f>
        <v>-11125.0000000001</v>
      </c>
      <c r="J24" s="130" t="n">
        <f aca="false">SUM(J9:J23)</f>
        <v>-11125.0000000001</v>
      </c>
      <c r="K24" s="130" t="n">
        <f aca="false">SUM(K9:K23)</f>
        <v>0</v>
      </c>
    </row>
    <row r="25" customFormat="false" ht="12.75" hidden="false" customHeight="false" outlineLevel="0" collapsed="false">
      <c r="A25" s="122"/>
      <c r="B25" s="122"/>
      <c r="C25" s="122"/>
      <c r="D25" s="122"/>
      <c r="E25" s="122"/>
      <c r="F25" s="131"/>
      <c r="G25" s="122"/>
      <c r="H25" s="122"/>
      <c r="I25" s="132"/>
      <c r="J25" s="133"/>
      <c r="K25" s="133"/>
    </row>
    <row r="26" customFormat="false" ht="12.75" hidden="false" customHeight="false" outlineLevel="0" collapsed="false">
      <c r="A26" s="122"/>
      <c r="B26" s="122"/>
      <c r="C26" s="122"/>
      <c r="D26" s="122"/>
      <c r="E26" s="122"/>
      <c r="F26" s="122"/>
      <c r="G26" s="134" t="s">
        <v>142</v>
      </c>
      <c r="H26" s="135"/>
      <c r="I26" s="122"/>
      <c r="J26" s="128"/>
      <c r="K26" s="128"/>
    </row>
    <row r="27" customFormat="false" ht="12.75" hidden="false" customHeight="false" outlineLevel="0" collapsed="false">
      <c r="A27" s="122"/>
      <c r="B27" s="122"/>
      <c r="C27" s="122"/>
      <c r="D27" s="122"/>
      <c r="E27" s="122"/>
      <c r="F27" s="122"/>
      <c r="G27" s="136"/>
      <c r="H27" s="135"/>
      <c r="I27" s="122"/>
      <c r="J27" s="128"/>
      <c r="K27" s="128"/>
    </row>
    <row r="28" customFormat="false" ht="12.75" hidden="false" customHeight="false" outlineLevel="0" collapsed="false">
      <c r="A28" s="121" t="n">
        <v>36069</v>
      </c>
      <c r="B28" s="122"/>
      <c r="C28" s="123" t="s">
        <v>98</v>
      </c>
      <c r="D28" s="124" t="n">
        <f aca="false">2.1</f>
        <v>2.1</v>
      </c>
      <c r="E28" s="122"/>
      <c r="F28" s="125" t="n">
        <f aca="false">2500*31</f>
        <v>77500</v>
      </c>
      <c r="G28" s="124" t="n">
        <v>1.78</v>
      </c>
      <c r="H28" s="124"/>
      <c r="I28" s="126" t="n">
        <f aca="false">SUM(D28-G28)*F28</f>
        <v>24800</v>
      </c>
      <c r="J28" s="127" t="n">
        <f aca="false">+I28</f>
        <v>24800</v>
      </c>
      <c r="K28" s="127"/>
    </row>
    <row r="29" customFormat="false" ht="12.75" hidden="false" customHeight="false" outlineLevel="0" collapsed="false">
      <c r="A29" s="121" t="n">
        <v>36100</v>
      </c>
      <c r="B29" s="122"/>
      <c r="C29" s="123" t="s">
        <v>98</v>
      </c>
      <c r="D29" s="124" t="n">
        <f aca="false">2.1</f>
        <v>2.1</v>
      </c>
      <c r="E29" s="122"/>
      <c r="F29" s="125" t="n">
        <f aca="false">2500*30</f>
        <v>75000</v>
      </c>
      <c r="G29" s="124" t="n">
        <v>1.99</v>
      </c>
      <c r="H29" s="124"/>
      <c r="I29" s="126" t="n">
        <f aca="false">SUM(D29-G29)*F29</f>
        <v>8250.00000000001</v>
      </c>
      <c r="J29" s="127" t="n">
        <f aca="false">+I29</f>
        <v>8250.00000000001</v>
      </c>
      <c r="K29" s="127"/>
    </row>
    <row r="30" customFormat="false" ht="12.75" hidden="false" customHeight="false" outlineLevel="0" collapsed="false">
      <c r="A30" s="121" t="n">
        <v>36130</v>
      </c>
      <c r="B30" s="122"/>
      <c r="C30" s="123" t="s">
        <v>98</v>
      </c>
      <c r="D30" s="124" t="n">
        <f aca="false">2.1</f>
        <v>2.1</v>
      </c>
      <c r="E30" s="122"/>
      <c r="F30" s="125" t="n">
        <f aca="false">2500*31</f>
        <v>77500</v>
      </c>
      <c r="G30" s="124" t="n">
        <v>1.74</v>
      </c>
      <c r="H30" s="124"/>
      <c r="I30" s="126" t="n">
        <f aca="false">SUM(D30-G30)*F30</f>
        <v>27900</v>
      </c>
      <c r="J30" s="127" t="n">
        <f aca="false">+I30</f>
        <v>27900</v>
      </c>
      <c r="K30" s="127"/>
    </row>
    <row r="31" customFormat="false" ht="12.75" hidden="false" customHeight="false" outlineLevel="0" collapsed="false">
      <c r="A31" s="121" t="n">
        <v>36161</v>
      </c>
      <c r="B31" s="122"/>
      <c r="C31" s="123" t="s">
        <v>98</v>
      </c>
      <c r="D31" s="124" t="n">
        <f aca="false">2.1</f>
        <v>2.1</v>
      </c>
      <c r="E31" s="122"/>
      <c r="F31" s="125" t="n">
        <f aca="false">2500*31</f>
        <v>77500</v>
      </c>
      <c r="G31" s="124" t="n">
        <v>1.73</v>
      </c>
      <c r="H31" s="124"/>
      <c r="I31" s="126" t="n">
        <f aca="false">SUM(D31-G31)*F31</f>
        <v>28675</v>
      </c>
      <c r="J31" s="127" t="n">
        <f aca="false">+I31</f>
        <v>28675</v>
      </c>
      <c r="K31" s="127"/>
    </row>
    <row r="32" customFormat="false" ht="12.75" hidden="false" customHeight="false" outlineLevel="0" collapsed="false">
      <c r="A32" s="121" t="n">
        <v>36192</v>
      </c>
      <c r="B32" s="122"/>
      <c r="C32" s="123" t="s">
        <v>98</v>
      </c>
      <c r="D32" s="124" t="n">
        <f aca="false">2.1</f>
        <v>2.1</v>
      </c>
      <c r="E32" s="122"/>
      <c r="F32" s="125" t="n">
        <f aca="false">2500*28</f>
        <v>70000</v>
      </c>
      <c r="G32" s="124" t="n">
        <v>1.63</v>
      </c>
      <c r="H32" s="124"/>
      <c r="I32" s="126" t="n">
        <f aca="false">SUM(D32-G32)*F32</f>
        <v>32900</v>
      </c>
      <c r="J32" s="127" t="n">
        <f aca="false">+I32</f>
        <v>32900</v>
      </c>
      <c r="K32" s="127"/>
    </row>
    <row r="33" customFormat="false" ht="12.75" hidden="false" customHeight="false" outlineLevel="0" collapsed="false">
      <c r="A33" s="121" t="n">
        <v>36220</v>
      </c>
      <c r="B33" s="122"/>
      <c r="C33" s="123" t="s">
        <v>98</v>
      </c>
      <c r="D33" s="124" t="n">
        <f aca="false">2.1</f>
        <v>2.1</v>
      </c>
      <c r="E33" s="122"/>
      <c r="F33" s="125" t="n">
        <f aca="false">2500*31</f>
        <v>77500</v>
      </c>
      <c r="G33" s="124" t="n">
        <v>1.59</v>
      </c>
      <c r="H33" s="124"/>
      <c r="I33" s="126" t="n">
        <f aca="false">SUM(D33-G33)*F33</f>
        <v>39525</v>
      </c>
      <c r="J33" s="127" t="n">
        <f aca="false">+I33</f>
        <v>39525</v>
      </c>
      <c r="K33" s="127"/>
    </row>
    <row r="34" customFormat="false" ht="12.75" hidden="false" customHeight="false" outlineLevel="0" collapsed="false">
      <c r="A34" s="121" t="n">
        <v>36251</v>
      </c>
      <c r="B34" s="122"/>
      <c r="C34" s="123" t="s">
        <v>98</v>
      </c>
      <c r="D34" s="124" t="n">
        <f aca="false">2.1</f>
        <v>2.1</v>
      </c>
      <c r="E34" s="122"/>
      <c r="F34" s="125" t="n">
        <f aca="false">2500*30</f>
        <v>75000</v>
      </c>
      <c r="G34" s="124" t="n">
        <v>1.94</v>
      </c>
      <c r="H34" s="124"/>
      <c r="I34" s="126" t="n">
        <f aca="false">SUM(D34-G34)*F34</f>
        <v>12000</v>
      </c>
      <c r="J34" s="127" t="n">
        <f aca="false">+I34</f>
        <v>12000</v>
      </c>
      <c r="K34" s="127"/>
    </row>
    <row r="35" customFormat="false" ht="12.75" hidden="false" customHeight="false" outlineLevel="0" collapsed="false">
      <c r="A35" s="121" t="n">
        <v>36281</v>
      </c>
      <c r="B35" s="122"/>
      <c r="C35" s="123" t="s">
        <v>98</v>
      </c>
      <c r="D35" s="124" t="n">
        <f aca="false">2.1</f>
        <v>2.1</v>
      </c>
      <c r="E35" s="122"/>
      <c r="F35" s="125" t="n">
        <f aca="false">2500*31</f>
        <v>77500</v>
      </c>
      <c r="G35" s="124" t="n">
        <v>2.06</v>
      </c>
      <c r="H35" s="124"/>
      <c r="I35" s="126" t="n">
        <f aca="false">SUM(D35-G35)*F35</f>
        <v>3100</v>
      </c>
      <c r="J35" s="127" t="n">
        <f aca="false">+I35</f>
        <v>3100</v>
      </c>
      <c r="K35" s="127"/>
    </row>
    <row r="36" customFormat="false" ht="12.75" hidden="false" customHeight="false" outlineLevel="0" collapsed="false">
      <c r="A36" s="121" t="n">
        <v>36312</v>
      </c>
      <c r="B36" s="122"/>
      <c r="C36" s="123" t="s">
        <v>98</v>
      </c>
      <c r="D36" s="124" t="n">
        <f aca="false">2.1</f>
        <v>2.1</v>
      </c>
      <c r="E36" s="122"/>
      <c r="F36" s="125" t="n">
        <f aca="false">2500*30</f>
        <v>75000</v>
      </c>
      <c r="G36" s="124" t="n">
        <v>2.07</v>
      </c>
      <c r="H36" s="124"/>
      <c r="I36" s="126" t="n">
        <f aca="false">SUM(D36-G36)*F36</f>
        <v>2250.00000000002</v>
      </c>
      <c r="J36" s="127" t="n">
        <f aca="false">+I36</f>
        <v>2250.00000000002</v>
      </c>
      <c r="K36" s="127"/>
    </row>
    <row r="37" customFormat="false" ht="12.75" hidden="false" customHeight="false" outlineLevel="0" collapsed="false">
      <c r="A37" s="121" t="n">
        <v>36342</v>
      </c>
      <c r="B37" s="122"/>
      <c r="C37" s="123" t="s">
        <v>98</v>
      </c>
      <c r="D37" s="124" t="n">
        <f aca="false">2.1</f>
        <v>2.1</v>
      </c>
      <c r="E37" s="122"/>
      <c r="F37" s="125" t="n">
        <f aca="false">2500*31</f>
        <v>77500</v>
      </c>
      <c r="G37" s="124" t="n">
        <v>2.11</v>
      </c>
      <c r="H37" s="124"/>
      <c r="I37" s="126" t="n">
        <f aca="false">SUM(D37-G37)*F37</f>
        <v>-774.999999999984</v>
      </c>
      <c r="J37" s="127" t="n">
        <f aca="false">+I37</f>
        <v>-774.999999999984</v>
      </c>
      <c r="K37" s="127"/>
    </row>
    <row r="38" customFormat="false" ht="12.75" hidden="false" customHeight="false" outlineLevel="0" collapsed="false">
      <c r="A38" s="121" t="n">
        <v>36373</v>
      </c>
      <c r="B38" s="122"/>
      <c r="C38" s="123" t="s">
        <v>98</v>
      </c>
      <c r="D38" s="124" t="n">
        <f aca="false">2.1</f>
        <v>2.1</v>
      </c>
      <c r="E38" s="122"/>
      <c r="F38" s="125" t="n">
        <f aca="false">2500*31</f>
        <v>77500</v>
      </c>
      <c r="G38" s="124" t="n">
        <v>2.51</v>
      </c>
      <c r="H38" s="124"/>
      <c r="I38" s="126" t="n">
        <f aca="false">SUM(D38-G38)*F38</f>
        <v>-31775</v>
      </c>
      <c r="J38" s="127" t="n">
        <f aca="false">+I38</f>
        <v>-31775</v>
      </c>
      <c r="K38" s="127"/>
    </row>
    <row r="39" customFormat="false" ht="12.75" hidden="false" customHeight="false" outlineLevel="0" collapsed="false">
      <c r="A39" s="121" t="n">
        <v>36404</v>
      </c>
      <c r="B39" s="122"/>
      <c r="C39" s="123" t="s">
        <v>98</v>
      </c>
      <c r="D39" s="124" t="n">
        <f aca="false">2.1</f>
        <v>2.1</v>
      </c>
      <c r="E39" s="122"/>
      <c r="F39" s="125" t="n">
        <f aca="false">2500*30</f>
        <v>75000</v>
      </c>
      <c r="G39" s="124" t="n">
        <v>2.36</v>
      </c>
      <c r="H39" s="124"/>
      <c r="I39" s="126" t="n">
        <f aca="false">SUM(D39-G39)*F39</f>
        <v>-19500</v>
      </c>
      <c r="J39" s="127" t="n">
        <f aca="false">+I39</f>
        <v>-19500</v>
      </c>
      <c r="K39" s="127"/>
    </row>
    <row r="40" customFormat="false" ht="12.75" hidden="false" customHeight="false" outlineLevel="0" collapsed="false">
      <c r="A40" s="121" t="n">
        <v>36434</v>
      </c>
      <c r="B40" s="122"/>
      <c r="C40" s="123" t="s">
        <v>98</v>
      </c>
      <c r="D40" s="124" t="n">
        <f aca="false">2.1</f>
        <v>2.1</v>
      </c>
      <c r="E40" s="122"/>
      <c r="F40" s="125" t="n">
        <f aca="false">2500*31</f>
        <v>77500</v>
      </c>
      <c r="G40" s="124" t="n">
        <v>2.62</v>
      </c>
      <c r="H40" s="124"/>
      <c r="I40" s="126" t="n">
        <f aca="false">SUM(D40-G40)*F40</f>
        <v>-40300</v>
      </c>
      <c r="J40" s="127" t="n">
        <f aca="false">+I40</f>
        <v>-40300</v>
      </c>
      <c r="K40" s="127"/>
    </row>
    <row r="41" customFormat="false" ht="12.75" hidden="false" customHeight="false" outlineLevel="0" collapsed="false">
      <c r="A41" s="121" t="n">
        <v>36465</v>
      </c>
      <c r="B41" s="122"/>
      <c r="C41" s="123" t="s">
        <v>98</v>
      </c>
      <c r="D41" s="124" t="n">
        <f aca="false">2.1</f>
        <v>2.1</v>
      </c>
      <c r="E41" s="122"/>
      <c r="F41" s="125" t="n">
        <f aca="false">2500*30</f>
        <v>75000</v>
      </c>
      <c r="G41" s="124" t="n">
        <v>2.17</v>
      </c>
      <c r="H41" s="124"/>
      <c r="I41" s="126" t="n">
        <f aca="false">SUM(D41-G41)*F41</f>
        <v>-5249.99999999999</v>
      </c>
      <c r="J41" s="127" t="n">
        <f aca="false">+I41</f>
        <v>-5249.99999999999</v>
      </c>
      <c r="K41" s="127"/>
    </row>
    <row r="42" customFormat="false" ht="12.75" hidden="false" customHeight="false" outlineLevel="0" collapsed="false">
      <c r="A42" s="121" t="n">
        <v>36495</v>
      </c>
      <c r="B42" s="122"/>
      <c r="C42" s="123" t="s">
        <v>98</v>
      </c>
      <c r="D42" s="124" t="n">
        <f aca="false">2.1</f>
        <v>2.1</v>
      </c>
      <c r="E42" s="122"/>
      <c r="F42" s="125" t="n">
        <f aca="false">2500*31</f>
        <v>77500</v>
      </c>
      <c r="G42" s="124" t="n">
        <v>2.24</v>
      </c>
      <c r="H42" s="124"/>
      <c r="I42" s="126" t="n">
        <f aca="false">SUM(D42-G42)*F42</f>
        <v>-10850</v>
      </c>
      <c r="J42" s="127" t="n">
        <f aca="false">+I42</f>
        <v>-10850</v>
      </c>
      <c r="K42" s="127"/>
    </row>
    <row r="43" customFormat="false" ht="12.75" hidden="false" customHeight="false" outlineLevel="0" collapsed="false">
      <c r="A43" s="122"/>
      <c r="B43" s="122"/>
      <c r="C43" s="122"/>
      <c r="D43" s="122"/>
      <c r="E43" s="122"/>
      <c r="F43" s="129" t="n">
        <f aca="false">SUM(F28:F42)</f>
        <v>1142500</v>
      </c>
      <c r="G43" s="122"/>
      <c r="H43" s="122"/>
      <c r="I43" s="138" t="n">
        <f aca="false">SUM(I28:I42)</f>
        <v>70950.0000000001</v>
      </c>
      <c r="J43" s="138" t="n">
        <f aca="false">SUM(J28:J42)</f>
        <v>70950.0000000001</v>
      </c>
      <c r="K43" s="138" t="n">
        <f aca="false">SUM(K28:K42)</f>
        <v>0</v>
      </c>
    </row>
    <row r="44" customFormat="false" ht="12.75" hidden="false" customHeight="false" outlineLevel="0" collapsed="false">
      <c r="A44" s="122"/>
      <c r="B44" s="122"/>
      <c r="C44" s="122"/>
      <c r="D44" s="122"/>
      <c r="E44" s="122"/>
      <c r="F44" s="122"/>
      <c r="G44" s="122"/>
      <c r="H44" s="122"/>
      <c r="I44" s="122"/>
      <c r="J44" s="128"/>
      <c r="K44" s="128"/>
    </row>
    <row r="45" customFormat="false" ht="13.5" hidden="false" customHeight="false" outlineLevel="0" collapsed="false">
      <c r="A45" s="122"/>
      <c r="B45" s="122"/>
      <c r="C45" s="122"/>
      <c r="D45" s="122"/>
      <c r="E45" s="122"/>
      <c r="F45" s="139" t="n">
        <f aca="false">+F43+F24</f>
        <v>0</v>
      </c>
      <c r="G45" s="122"/>
      <c r="H45" s="122"/>
      <c r="I45" s="140" t="n">
        <f aca="false">+I43+I24</f>
        <v>59825</v>
      </c>
      <c r="J45" s="140" t="n">
        <f aca="false">+J43+J24</f>
        <v>59825</v>
      </c>
      <c r="K45" s="140" t="n">
        <f aca="false">+K43+K24</f>
        <v>0</v>
      </c>
    </row>
    <row r="46" customFormat="false" ht="13.5" hidden="false" customHeight="false" outlineLevel="0" collapsed="false">
      <c r="A46" s="141"/>
      <c r="B46" s="141"/>
      <c r="C46" s="141"/>
      <c r="D46" s="141"/>
      <c r="E46" s="141"/>
      <c r="F46" s="141"/>
      <c r="G46" s="141"/>
      <c r="H46" s="141"/>
      <c r="I46" s="141"/>
      <c r="J46" s="142"/>
      <c r="K46" s="142"/>
    </row>
    <row r="48" customFormat="false" ht="12.75" hidden="false" customHeight="false" outlineLevel="0" collapsed="false">
      <c r="A48" s="105" t="s">
        <v>99</v>
      </c>
    </row>
  </sheetData>
  <mergeCells count="5">
    <mergeCell ref="A1:K1"/>
    <mergeCell ref="A2:K2"/>
    <mergeCell ref="A3:K3"/>
    <mergeCell ref="A4:K4"/>
    <mergeCell ref="I6:K6"/>
  </mergeCells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&amp;L&amp;"Arial,Italic"&amp;8&amp;D&amp;T&amp;R&amp;"Arial,Italic"&amp;8G:/Common/TW Fuel Hedge/Fixed2_Sempra_2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34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F17" activeCellId="0" sqref="F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0.71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4.28"/>
    <col collapsed="false" customWidth="true" hidden="false" outlineLevel="0" max="8" min="8" style="0" width="10.71"/>
    <col collapsed="false" customWidth="true" hidden="false" outlineLevel="0" max="9" min="9" style="0" width="14.99"/>
    <col collapsed="false" customWidth="true" hidden="false" outlineLevel="0" max="10" min="10" style="0" width="13.41"/>
    <col collapsed="false" customWidth="true" hidden="false" outlineLevel="0" max="11" min="11" style="0" width="14.99"/>
  </cols>
  <sheetData>
    <row r="1" customFormat="false" ht="15" hidden="false" customHeight="false" outlineLevel="0" collapsed="false">
      <c r="A1" s="107" t="s">
        <v>86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customFormat="false" ht="15" hidden="false" customHeight="false" outlineLevel="0" collapsed="false">
      <c r="A2" s="107" t="s">
        <v>87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customFormat="false" ht="15.75" hidden="false" customHeight="false" outlineLevel="0" collapsed="false">
      <c r="A3" s="107" t="s">
        <v>164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4" customFormat="false" ht="15.75" hidden="false" customHeight="false" outlineLevel="0" collapsed="false">
      <c r="A4" s="107" t="s">
        <v>161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</row>
    <row r="6" customFormat="false" ht="12.75" hidden="false" customHeight="false" outlineLevel="0" collapsed="false">
      <c r="A6" s="110" t="s">
        <v>89</v>
      </c>
      <c r="B6" s="111" t="s">
        <v>8</v>
      </c>
      <c r="C6" s="111" t="s">
        <v>8</v>
      </c>
      <c r="D6" s="111" t="s">
        <v>90</v>
      </c>
      <c r="E6" s="111"/>
      <c r="F6" s="111" t="s">
        <v>91</v>
      </c>
      <c r="G6" s="111" t="s">
        <v>68</v>
      </c>
      <c r="H6" s="111" t="s">
        <v>28</v>
      </c>
      <c r="I6" s="112" t="s">
        <v>93</v>
      </c>
      <c r="J6" s="112"/>
      <c r="K6" s="112"/>
    </row>
    <row r="7" customFormat="false" ht="12.75" hidden="false" customHeight="false" outlineLevel="0" collapsed="false">
      <c r="A7" s="113" t="s">
        <v>22</v>
      </c>
      <c r="B7" s="114" t="s">
        <v>18</v>
      </c>
      <c r="C7" s="114" t="s">
        <v>17</v>
      </c>
      <c r="D7" s="114" t="s">
        <v>23</v>
      </c>
      <c r="E7" s="114"/>
      <c r="F7" s="114" t="s">
        <v>94</v>
      </c>
      <c r="G7" s="114" t="s">
        <v>23</v>
      </c>
      <c r="H7" s="114" t="s">
        <v>23</v>
      </c>
      <c r="I7" s="114" t="s">
        <v>30</v>
      </c>
      <c r="J7" s="114" t="s">
        <v>31</v>
      </c>
      <c r="K7" s="115" t="s">
        <v>32</v>
      </c>
    </row>
    <row r="8" customFormat="false" ht="12.75" hidden="false" customHeight="false" outlineLevel="0" collapsed="false">
      <c r="A8" s="116"/>
      <c r="B8" s="117"/>
      <c r="C8" s="117"/>
      <c r="D8" s="117"/>
      <c r="E8" s="117"/>
      <c r="F8" s="117"/>
      <c r="G8" s="118" t="s">
        <v>95</v>
      </c>
      <c r="H8" s="119"/>
      <c r="I8" s="119" t="s">
        <v>96</v>
      </c>
      <c r="J8" s="119" t="s">
        <v>96</v>
      </c>
      <c r="K8" s="120" t="s">
        <v>96</v>
      </c>
    </row>
    <row r="9" customFormat="false" ht="12.75" hidden="false" customHeight="false" outlineLevel="0" collapsed="false">
      <c r="A9" s="121" t="n">
        <v>36281</v>
      </c>
      <c r="B9" s="122"/>
      <c r="C9" s="123" t="s">
        <v>43</v>
      </c>
      <c r="D9" s="124" t="n">
        <v>2.01</v>
      </c>
      <c r="E9" s="122"/>
      <c r="F9" s="125" t="n">
        <f aca="false">-10000*31</f>
        <v>-310000</v>
      </c>
      <c r="G9" s="124" t="n">
        <v>2.16</v>
      </c>
      <c r="H9" s="124"/>
      <c r="I9" s="126" t="n">
        <f aca="false">SUM(D9-G9)*F9</f>
        <v>46500.0000000001</v>
      </c>
      <c r="J9" s="127" t="n">
        <f aca="false">+I9</f>
        <v>46500.0000000001</v>
      </c>
      <c r="K9" s="127"/>
    </row>
    <row r="10" customFormat="false" ht="12.75" hidden="false" customHeight="false" outlineLevel="0" collapsed="false">
      <c r="A10" s="121" t="n">
        <v>36312</v>
      </c>
      <c r="B10" s="122"/>
      <c r="C10" s="123" t="s">
        <v>43</v>
      </c>
      <c r="D10" s="124" t="n">
        <v>2.01</v>
      </c>
      <c r="E10" s="122"/>
      <c r="F10" s="125" t="n">
        <f aca="false">-10000*30</f>
        <v>-300000</v>
      </c>
      <c r="G10" s="124" t="n">
        <v>2.08</v>
      </c>
      <c r="H10" s="124"/>
      <c r="I10" s="126" t="n">
        <f aca="false">SUM(D10-G10)*F10</f>
        <v>21000.0000000001</v>
      </c>
      <c r="J10" s="127" t="n">
        <f aca="false">+I10</f>
        <v>21000.0000000001</v>
      </c>
      <c r="K10" s="127"/>
    </row>
    <row r="11" customFormat="false" ht="12.75" hidden="false" customHeight="false" outlineLevel="0" collapsed="false">
      <c r="A11" s="121" t="n">
        <v>36342</v>
      </c>
      <c r="B11" s="122"/>
      <c r="C11" s="123" t="s">
        <v>43</v>
      </c>
      <c r="D11" s="124" t="n">
        <v>2.01</v>
      </c>
      <c r="E11" s="122"/>
      <c r="F11" s="125" t="n">
        <f aca="false">-10000*31</f>
        <v>-310000</v>
      </c>
      <c r="G11" s="124" t="n">
        <v>2.17</v>
      </c>
      <c r="H11" s="124"/>
      <c r="I11" s="126" t="n">
        <f aca="false">SUM(D11-G11)*F11</f>
        <v>49600</v>
      </c>
      <c r="J11" s="127" t="n">
        <f aca="false">+I11</f>
        <v>49600</v>
      </c>
      <c r="K11" s="127"/>
    </row>
    <row r="12" customFormat="false" ht="12.75" hidden="false" customHeight="false" outlineLevel="0" collapsed="false">
      <c r="A12" s="121" t="n">
        <v>36373</v>
      </c>
      <c r="B12" s="122"/>
      <c r="C12" s="123" t="s">
        <v>43</v>
      </c>
      <c r="D12" s="124" t="n">
        <v>2.01</v>
      </c>
      <c r="E12" s="122"/>
      <c r="F12" s="125" t="n">
        <f aca="false">-10000*31</f>
        <v>-310000</v>
      </c>
      <c r="G12" s="124" t="n">
        <v>2.46</v>
      </c>
      <c r="H12" s="124"/>
      <c r="I12" s="126" t="n">
        <f aca="false">SUM(D12-G12)*F12</f>
        <v>139500</v>
      </c>
      <c r="J12" s="127" t="n">
        <f aca="false">+I12</f>
        <v>139500</v>
      </c>
      <c r="K12" s="127"/>
    </row>
    <row r="13" customFormat="false" ht="12.75" hidden="false" customHeight="false" outlineLevel="0" collapsed="false">
      <c r="A13" s="121" t="n">
        <v>36404</v>
      </c>
      <c r="B13" s="122"/>
      <c r="C13" s="123" t="s">
        <v>43</v>
      </c>
      <c r="D13" s="124" t="n">
        <v>2.01</v>
      </c>
      <c r="E13" s="122"/>
      <c r="F13" s="125" t="n">
        <f aca="false">-10000*30</f>
        <v>-300000</v>
      </c>
      <c r="G13" s="124" t="n">
        <v>2.78</v>
      </c>
      <c r="H13" s="124"/>
      <c r="I13" s="126" t="n">
        <f aca="false">SUM(D13-G13)*F13</f>
        <v>231000</v>
      </c>
      <c r="J13" s="127" t="n">
        <f aca="false">+I13</f>
        <v>231000</v>
      </c>
      <c r="K13" s="127"/>
    </row>
    <row r="14" customFormat="false" ht="12.75" hidden="false" customHeight="false" outlineLevel="0" collapsed="false">
      <c r="A14" s="121" t="n">
        <v>36434</v>
      </c>
      <c r="B14" s="122"/>
      <c r="C14" s="123" t="s">
        <v>43</v>
      </c>
      <c r="D14" s="124" t="n">
        <v>2.01</v>
      </c>
      <c r="E14" s="122"/>
      <c r="F14" s="125" t="n">
        <f aca="false">-10000*31</f>
        <v>-310000</v>
      </c>
      <c r="G14" s="124" t="n">
        <v>2.42</v>
      </c>
      <c r="H14" s="124"/>
      <c r="I14" s="126" t="n">
        <f aca="false">SUM(D14-G14)*F14</f>
        <v>127100</v>
      </c>
      <c r="J14" s="127" t="n">
        <f aca="false">+I14</f>
        <v>127100</v>
      </c>
      <c r="K14" s="127"/>
    </row>
    <row r="15" customFormat="false" ht="12.75" hidden="false" customHeight="false" outlineLevel="0" collapsed="false">
      <c r="A15" s="121" t="n">
        <v>36465</v>
      </c>
      <c r="B15" s="122"/>
      <c r="C15" s="123" t="s">
        <v>43</v>
      </c>
      <c r="D15" s="124" t="n">
        <v>2.01</v>
      </c>
      <c r="E15" s="122"/>
      <c r="F15" s="125" t="n">
        <f aca="false">-10000*30</f>
        <v>-300000</v>
      </c>
      <c r="G15" s="124" t="n">
        <v>2.87</v>
      </c>
      <c r="H15" s="124"/>
      <c r="I15" s="126" t="n">
        <f aca="false">SUM(D15-G15)*F15</f>
        <v>258000</v>
      </c>
      <c r="J15" s="127" t="n">
        <f aca="false">+I15</f>
        <v>258000</v>
      </c>
      <c r="K15" s="127"/>
    </row>
    <row r="16" customFormat="false" ht="12.75" hidden="false" customHeight="false" outlineLevel="0" collapsed="false">
      <c r="A16" s="121" t="n">
        <v>36495</v>
      </c>
      <c r="B16" s="122"/>
      <c r="C16" s="123" t="s">
        <v>43</v>
      </c>
      <c r="D16" s="124" t="n">
        <v>2.01</v>
      </c>
      <c r="E16" s="122"/>
      <c r="F16" s="125" t="n">
        <f aca="false">-10000*31</f>
        <v>-310000</v>
      </c>
      <c r="G16" s="124" t="n">
        <v>2.08</v>
      </c>
      <c r="H16" s="124"/>
      <c r="I16" s="126" t="n">
        <f aca="false">SUM(D16-G16)*F16</f>
        <v>21700.0000000001</v>
      </c>
      <c r="J16" s="127" t="n">
        <f aca="false">+I16</f>
        <v>21700.0000000001</v>
      </c>
      <c r="K16" s="127"/>
    </row>
    <row r="17" customFormat="false" ht="12.75" hidden="false" customHeight="false" outlineLevel="0" collapsed="false">
      <c r="A17" s="122"/>
      <c r="B17" s="122"/>
      <c r="C17" s="122"/>
      <c r="D17" s="122"/>
      <c r="E17" s="122"/>
      <c r="F17" s="129" t="n">
        <f aca="false">SUM(F9:F16)</f>
        <v>-2450000</v>
      </c>
      <c r="G17" s="122"/>
      <c r="H17" s="122"/>
      <c r="I17" s="130" t="n">
        <f aca="false">SUM(I9:I16)</f>
        <v>894400.000000001</v>
      </c>
      <c r="J17" s="130" t="n">
        <f aca="false">SUM(J9:J16)</f>
        <v>894400.000000001</v>
      </c>
      <c r="K17" s="130" t="n">
        <f aca="false">SUM(K9:K16)</f>
        <v>0</v>
      </c>
    </row>
    <row r="18" customFormat="false" ht="12.75" hidden="false" customHeight="false" outlineLevel="0" collapsed="false">
      <c r="A18" s="122"/>
      <c r="B18" s="122"/>
      <c r="C18" s="122"/>
      <c r="D18" s="122"/>
      <c r="E18" s="122"/>
      <c r="F18" s="131"/>
      <c r="G18" s="122"/>
      <c r="H18" s="122"/>
      <c r="I18" s="132"/>
      <c r="J18" s="133"/>
      <c r="K18" s="133"/>
    </row>
    <row r="19" customFormat="false" ht="12.75" hidden="false" customHeight="false" outlineLevel="0" collapsed="false">
      <c r="A19" s="122"/>
      <c r="B19" s="122"/>
      <c r="C19" s="122"/>
      <c r="D19" s="122"/>
      <c r="E19" s="122"/>
      <c r="F19" s="122"/>
      <c r="G19" s="134" t="s">
        <v>142</v>
      </c>
      <c r="H19" s="135"/>
      <c r="I19" s="122"/>
      <c r="J19" s="128"/>
      <c r="K19" s="128"/>
    </row>
    <row r="20" customFormat="false" ht="12.75" hidden="false" customHeight="false" outlineLevel="0" collapsed="false">
      <c r="A20" s="122"/>
      <c r="B20" s="122"/>
      <c r="C20" s="122"/>
      <c r="D20" s="124"/>
      <c r="E20" s="122"/>
      <c r="F20" s="122"/>
      <c r="G20" s="136"/>
      <c r="H20" s="135"/>
      <c r="I20" s="122"/>
      <c r="J20" s="128"/>
      <c r="K20" s="128"/>
    </row>
    <row r="21" customFormat="false" ht="12.75" hidden="false" customHeight="false" outlineLevel="0" collapsed="false">
      <c r="A21" s="121" t="n">
        <v>36281</v>
      </c>
      <c r="B21" s="122"/>
      <c r="C21" s="123" t="s">
        <v>98</v>
      </c>
      <c r="D21" s="124" t="n">
        <v>2.01</v>
      </c>
      <c r="E21" s="122"/>
      <c r="F21" s="125" t="n">
        <f aca="false">10000*31</f>
        <v>310000</v>
      </c>
      <c r="G21" s="124" t="n">
        <v>2.06</v>
      </c>
      <c r="H21" s="124"/>
      <c r="I21" s="126" t="n">
        <f aca="false">SUM(D21-G21)*F21</f>
        <v>-15500.0000000001</v>
      </c>
      <c r="J21" s="127" t="n">
        <f aca="false">+I21</f>
        <v>-15500.0000000001</v>
      </c>
      <c r="K21" s="127"/>
    </row>
    <row r="22" customFormat="false" ht="12.75" hidden="false" customHeight="false" outlineLevel="0" collapsed="false">
      <c r="A22" s="121" t="n">
        <v>36312</v>
      </c>
      <c r="B22" s="122"/>
      <c r="C22" s="123" t="s">
        <v>98</v>
      </c>
      <c r="D22" s="124" t="n">
        <v>2.01</v>
      </c>
      <c r="E22" s="122"/>
      <c r="F22" s="125" t="n">
        <f aca="false">10000*30</f>
        <v>300000</v>
      </c>
      <c r="G22" s="124" t="n">
        <v>2.07</v>
      </c>
      <c r="H22" s="124"/>
      <c r="I22" s="126" t="n">
        <f aca="false">SUM(D22-G22)*F22</f>
        <v>-18000</v>
      </c>
      <c r="J22" s="127" t="n">
        <f aca="false">+I22</f>
        <v>-18000</v>
      </c>
      <c r="K22" s="127"/>
    </row>
    <row r="23" customFormat="false" ht="12.75" hidden="false" customHeight="false" outlineLevel="0" collapsed="false">
      <c r="A23" s="121" t="n">
        <v>36342</v>
      </c>
      <c r="B23" s="122"/>
      <c r="C23" s="123" t="s">
        <v>98</v>
      </c>
      <c r="D23" s="124" t="n">
        <v>2.01</v>
      </c>
      <c r="E23" s="122"/>
      <c r="F23" s="125" t="n">
        <f aca="false">10000*31</f>
        <v>310000</v>
      </c>
      <c r="G23" s="124" t="n">
        <v>2.11</v>
      </c>
      <c r="H23" s="124"/>
      <c r="I23" s="126" t="n">
        <f aca="false">SUM(D23-G23)*F23</f>
        <v>-31000</v>
      </c>
      <c r="J23" s="127" t="n">
        <f aca="false">+I23</f>
        <v>-31000</v>
      </c>
      <c r="K23" s="127"/>
    </row>
    <row r="24" customFormat="false" ht="12.75" hidden="false" customHeight="false" outlineLevel="0" collapsed="false">
      <c r="A24" s="121" t="n">
        <v>36373</v>
      </c>
      <c r="B24" s="122"/>
      <c r="C24" s="123" t="s">
        <v>98</v>
      </c>
      <c r="D24" s="124" t="n">
        <v>2.01</v>
      </c>
      <c r="E24" s="122"/>
      <c r="F24" s="125" t="n">
        <f aca="false">10000*31</f>
        <v>310000</v>
      </c>
      <c r="G24" s="124" t="n">
        <v>2.51</v>
      </c>
      <c r="H24" s="124"/>
      <c r="I24" s="126" t="n">
        <f aca="false">SUM(D24-G24)*F24</f>
        <v>-155000</v>
      </c>
      <c r="J24" s="127" t="n">
        <f aca="false">+I24</f>
        <v>-155000</v>
      </c>
      <c r="K24" s="127"/>
    </row>
    <row r="25" customFormat="false" ht="12.75" hidden="false" customHeight="false" outlineLevel="0" collapsed="false">
      <c r="A25" s="121" t="n">
        <v>36404</v>
      </c>
      <c r="B25" s="122"/>
      <c r="C25" s="123" t="s">
        <v>98</v>
      </c>
      <c r="D25" s="124" t="n">
        <v>2.01</v>
      </c>
      <c r="E25" s="122"/>
      <c r="F25" s="125" t="n">
        <f aca="false">10000*30</f>
        <v>300000</v>
      </c>
      <c r="G25" s="124" t="n">
        <v>2.36</v>
      </c>
      <c r="H25" s="124"/>
      <c r="I25" s="126" t="n">
        <f aca="false">SUM(D25-G25)*F25</f>
        <v>-105000</v>
      </c>
      <c r="J25" s="127" t="n">
        <f aca="false">+I25</f>
        <v>-105000</v>
      </c>
      <c r="K25" s="127"/>
    </row>
    <row r="26" customFormat="false" ht="12.75" hidden="false" customHeight="false" outlineLevel="0" collapsed="false">
      <c r="A26" s="121" t="n">
        <v>36434</v>
      </c>
      <c r="B26" s="122"/>
      <c r="C26" s="123" t="s">
        <v>98</v>
      </c>
      <c r="D26" s="124" t="n">
        <v>2.01</v>
      </c>
      <c r="E26" s="122"/>
      <c r="F26" s="125" t="n">
        <f aca="false">10000*31</f>
        <v>310000</v>
      </c>
      <c r="G26" s="124" t="n">
        <v>2.62</v>
      </c>
      <c r="H26" s="124"/>
      <c r="I26" s="126" t="n">
        <f aca="false">SUM(D26-G26)*F26</f>
        <v>-189100</v>
      </c>
      <c r="J26" s="127" t="n">
        <f aca="false">+I26</f>
        <v>-189100</v>
      </c>
      <c r="K26" s="127"/>
    </row>
    <row r="27" customFormat="false" ht="12.75" hidden="false" customHeight="false" outlineLevel="0" collapsed="false">
      <c r="A27" s="121" t="n">
        <v>36465</v>
      </c>
      <c r="B27" s="122"/>
      <c r="C27" s="123" t="s">
        <v>98</v>
      </c>
      <c r="D27" s="124" t="n">
        <v>2.01</v>
      </c>
      <c r="E27" s="122"/>
      <c r="F27" s="125" t="n">
        <f aca="false">10000*30</f>
        <v>300000</v>
      </c>
      <c r="G27" s="124" t="n">
        <v>2.17</v>
      </c>
      <c r="H27" s="124"/>
      <c r="I27" s="126" t="n">
        <f aca="false">SUM(D27-G27)*F27</f>
        <v>-48000</v>
      </c>
      <c r="J27" s="127" t="n">
        <f aca="false">+I27</f>
        <v>-48000</v>
      </c>
      <c r="K27" s="127"/>
    </row>
    <row r="28" customFormat="false" ht="12.75" hidden="false" customHeight="false" outlineLevel="0" collapsed="false">
      <c r="A28" s="121" t="n">
        <v>36495</v>
      </c>
      <c r="B28" s="122"/>
      <c r="C28" s="123" t="s">
        <v>98</v>
      </c>
      <c r="D28" s="124" t="n">
        <v>2.01</v>
      </c>
      <c r="E28" s="122"/>
      <c r="F28" s="125" t="n">
        <f aca="false">10000*31</f>
        <v>310000</v>
      </c>
      <c r="G28" s="124" t="n">
        <v>2.24</v>
      </c>
      <c r="H28" s="124"/>
      <c r="I28" s="126" t="n">
        <f aca="false">SUM(D28-G28)*F28</f>
        <v>-71300.0000000001</v>
      </c>
      <c r="J28" s="127" t="n">
        <f aca="false">+I28</f>
        <v>-71300.0000000001</v>
      </c>
      <c r="K28" s="127"/>
    </row>
    <row r="29" customFormat="false" ht="12.75" hidden="false" customHeight="false" outlineLevel="0" collapsed="false">
      <c r="A29" s="122"/>
      <c r="B29" s="122"/>
      <c r="C29" s="122"/>
      <c r="D29" s="122"/>
      <c r="E29" s="122"/>
      <c r="F29" s="129" t="n">
        <f aca="false">SUM(F21:F28)</f>
        <v>2450000</v>
      </c>
      <c r="G29" s="122"/>
      <c r="H29" s="122"/>
      <c r="I29" s="138" t="n">
        <f aca="false">SUM(I21:I28)</f>
        <v>-632900</v>
      </c>
      <c r="J29" s="138" t="n">
        <f aca="false">SUM(J21:J28)</f>
        <v>-632900</v>
      </c>
      <c r="K29" s="138" t="n">
        <f aca="false">SUM(K21:K28)</f>
        <v>0</v>
      </c>
    </row>
    <row r="30" customFormat="false" ht="12.75" hidden="false" customHeight="false" outlineLevel="0" collapsed="false">
      <c r="A30" s="122"/>
      <c r="B30" s="122"/>
      <c r="C30" s="122"/>
      <c r="D30" s="122"/>
      <c r="E30" s="122"/>
      <c r="F30" s="122"/>
      <c r="G30" s="122"/>
      <c r="H30" s="122"/>
      <c r="I30" s="122"/>
      <c r="J30" s="128"/>
      <c r="K30" s="128"/>
    </row>
    <row r="31" customFormat="false" ht="13.5" hidden="false" customHeight="false" outlineLevel="0" collapsed="false">
      <c r="A31" s="122"/>
      <c r="B31" s="122"/>
      <c r="C31" s="122"/>
      <c r="D31" s="122"/>
      <c r="E31" s="122"/>
      <c r="F31" s="139" t="n">
        <f aca="false">+F29+F17</f>
        <v>0</v>
      </c>
      <c r="G31" s="122"/>
      <c r="H31" s="122"/>
      <c r="I31" s="140" t="n">
        <f aca="false">+I29+I17</f>
        <v>261500</v>
      </c>
      <c r="J31" s="140" t="n">
        <f aca="false">+J29+J17</f>
        <v>261500</v>
      </c>
      <c r="K31" s="140" t="n">
        <f aca="false">+K29+K17</f>
        <v>0</v>
      </c>
    </row>
    <row r="32" customFormat="false" ht="13.5" hidden="false" customHeight="false" outlineLevel="0" collapsed="false">
      <c r="A32" s="141"/>
      <c r="B32" s="141"/>
      <c r="C32" s="141"/>
      <c r="D32" s="141"/>
      <c r="E32" s="141"/>
      <c r="F32" s="141"/>
      <c r="G32" s="141"/>
      <c r="H32" s="141"/>
      <c r="I32" s="141"/>
      <c r="J32" s="142"/>
      <c r="K32" s="142"/>
    </row>
    <row r="34" customFormat="false" ht="12.75" hidden="false" customHeight="false" outlineLevel="0" collapsed="false">
      <c r="A34" s="105" t="s">
        <v>99</v>
      </c>
    </row>
  </sheetData>
  <mergeCells count="5">
    <mergeCell ref="A1:K1"/>
    <mergeCell ref="A2:K2"/>
    <mergeCell ref="A3:K3"/>
    <mergeCell ref="A4:K4"/>
    <mergeCell ref="I6:K6"/>
  </mergeCells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5.7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3.14"/>
    <col collapsed="false" customWidth="true" hidden="false" outlineLevel="0" max="8" min="8" style="0" width="10.71"/>
    <col collapsed="false" customWidth="true" hidden="false" outlineLevel="0" max="9" min="9" style="0" width="15.41"/>
    <col collapsed="false" customWidth="true" hidden="false" outlineLevel="0" max="10" min="10" style="0" width="13.41"/>
    <col collapsed="false" customWidth="true" hidden="false" outlineLevel="0" max="11" min="11" style="0" width="15.41"/>
  </cols>
  <sheetData>
    <row r="1" customFormat="false" ht="15" hidden="false" customHeight="false" outlineLevel="0" collapsed="false">
      <c r="A1" s="107" t="s">
        <v>100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customFormat="false" ht="15" hidden="false" customHeight="false" outlineLevel="0" collapsed="false">
      <c r="A2" s="107" t="s">
        <v>87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customFormat="false" ht="15.75" hidden="false" customHeight="false" outlineLevel="0" collapsed="false">
      <c r="A3" s="107" t="s">
        <v>101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4" customFormat="false" ht="15.75" hidden="false" customHeight="false" outlineLevel="0" collapsed="false">
      <c r="A4" s="144"/>
      <c r="B4" s="144"/>
      <c r="C4" s="144"/>
      <c r="D4" s="144"/>
      <c r="E4" s="144"/>
      <c r="F4" s="144"/>
      <c r="G4" s="144"/>
      <c r="H4" s="144"/>
      <c r="I4" s="144"/>
      <c r="J4" s="144"/>
      <c r="K4" s="144"/>
    </row>
    <row r="5" customFormat="false" ht="12.75" hidden="false" customHeight="false" outlineLevel="0" collapsed="false">
      <c r="G5" s="145"/>
      <c r="H5" s="145"/>
    </row>
    <row r="6" customFormat="false" ht="12.75" hidden="false" customHeight="false" outlineLevel="0" collapsed="false">
      <c r="A6" s="110" t="s">
        <v>89</v>
      </c>
      <c r="B6" s="111" t="s">
        <v>8</v>
      </c>
      <c r="C6" s="111" t="s">
        <v>8</v>
      </c>
      <c r="D6" s="111" t="s">
        <v>90</v>
      </c>
      <c r="E6" s="111"/>
      <c r="F6" s="111" t="s">
        <v>91</v>
      </c>
      <c r="G6" s="111" t="s">
        <v>68</v>
      </c>
      <c r="H6" s="111" t="s">
        <v>28</v>
      </c>
      <c r="I6" s="112" t="s">
        <v>93</v>
      </c>
      <c r="J6" s="112"/>
      <c r="K6" s="112"/>
    </row>
    <row r="7" customFormat="false" ht="12.75" hidden="false" customHeight="false" outlineLevel="0" collapsed="false">
      <c r="A7" s="113" t="s">
        <v>22</v>
      </c>
      <c r="B7" s="114" t="s">
        <v>18</v>
      </c>
      <c r="C7" s="114" t="s">
        <v>17</v>
      </c>
      <c r="D7" s="114" t="s">
        <v>23</v>
      </c>
      <c r="E7" s="114"/>
      <c r="F7" s="114" t="s">
        <v>94</v>
      </c>
      <c r="G7" s="114" t="s">
        <v>23</v>
      </c>
      <c r="H7" s="114" t="s">
        <v>23</v>
      </c>
      <c r="I7" s="114" t="s">
        <v>30</v>
      </c>
      <c r="J7" s="114" t="s">
        <v>31</v>
      </c>
      <c r="K7" s="115" t="s">
        <v>32</v>
      </c>
    </row>
    <row r="8" customFormat="false" ht="12.75" hidden="false" customHeight="false" outlineLevel="0" collapsed="false">
      <c r="A8" s="116"/>
      <c r="B8" s="117"/>
      <c r="C8" s="117"/>
      <c r="D8" s="117"/>
      <c r="E8" s="117"/>
      <c r="F8" s="117"/>
      <c r="G8" s="118" t="s">
        <v>102</v>
      </c>
      <c r="H8" s="119"/>
      <c r="I8" s="119" t="s">
        <v>96</v>
      </c>
      <c r="J8" s="119" t="s">
        <v>96</v>
      </c>
      <c r="K8" s="120" t="s">
        <v>96</v>
      </c>
    </row>
    <row r="9" customFormat="false" ht="12.75" hidden="false" customHeight="false" outlineLevel="0" collapsed="false">
      <c r="A9" s="121" t="n">
        <v>37408</v>
      </c>
      <c r="B9" s="122"/>
      <c r="C9" s="123" t="s">
        <v>59</v>
      </c>
      <c r="D9" s="124" t="n">
        <v>3.3</v>
      </c>
      <c r="E9" s="122"/>
      <c r="F9" s="125" t="n">
        <v>-2000000</v>
      </c>
      <c r="G9" s="124"/>
      <c r="H9" s="124" t="n">
        <f aca="false">+[2]Elpaso!$F9</f>
        <v>4.11</v>
      </c>
      <c r="I9" s="126" t="n">
        <f aca="false">(-H9+D9)*F9</f>
        <v>1620000</v>
      </c>
      <c r="J9" s="127"/>
      <c r="K9" s="127" t="n">
        <f aca="false">+I9</f>
        <v>1620000</v>
      </c>
    </row>
    <row r="10" customFormat="false" ht="12.75" hidden="false" customHeight="false" outlineLevel="0" collapsed="false">
      <c r="A10" s="121" t="n">
        <v>37438</v>
      </c>
      <c r="B10" s="122"/>
      <c r="C10" s="123" t="s">
        <v>59</v>
      </c>
      <c r="D10" s="124" t="n">
        <v>3.3</v>
      </c>
      <c r="E10" s="122"/>
      <c r="F10" s="125" t="n">
        <v>-3000000</v>
      </c>
      <c r="G10" s="124"/>
      <c r="H10" s="124" t="n">
        <f aca="false">+[2]Elpaso!$F10</f>
        <v>4.11</v>
      </c>
      <c r="I10" s="126" t="n">
        <f aca="false">(-H10+D10)*F10</f>
        <v>2430000</v>
      </c>
      <c r="J10" s="127"/>
      <c r="K10" s="127" t="n">
        <f aca="false">+I10</f>
        <v>2430000</v>
      </c>
    </row>
    <row r="11" customFormat="false" ht="12.75" hidden="false" customHeight="false" outlineLevel="0" collapsed="false">
      <c r="A11" s="121" t="n">
        <v>37469</v>
      </c>
      <c r="B11" s="122"/>
      <c r="C11" s="123" t="s">
        <v>59</v>
      </c>
      <c r="D11" s="124" t="n">
        <v>3.3</v>
      </c>
      <c r="E11" s="122"/>
      <c r="F11" s="125" t="n">
        <v>-3000000</v>
      </c>
      <c r="G11" s="122"/>
      <c r="H11" s="124" t="n">
        <f aca="false">+[2]Elpaso!$F11</f>
        <v>4.112</v>
      </c>
      <c r="I11" s="126" t="n">
        <f aca="false">(-H11+D11)*F11</f>
        <v>2436000</v>
      </c>
      <c r="J11" s="128"/>
      <c r="K11" s="127" t="n">
        <f aca="false">+I11</f>
        <v>2436000</v>
      </c>
    </row>
    <row r="12" customFormat="false" ht="12.75" hidden="false" customHeight="false" outlineLevel="0" collapsed="false">
      <c r="A12" s="121" t="n">
        <v>37500</v>
      </c>
      <c r="B12" s="122"/>
      <c r="C12" s="123" t="s">
        <v>59</v>
      </c>
      <c r="D12" s="124" t="n">
        <v>3.3</v>
      </c>
      <c r="E12" s="122"/>
      <c r="F12" s="125" t="n">
        <v>-3000000</v>
      </c>
      <c r="G12" s="122"/>
      <c r="H12" s="124" t="n">
        <f aca="false">+[2]Elpaso!$F12</f>
        <v>4.107</v>
      </c>
      <c r="I12" s="126" t="n">
        <f aca="false">(-H12+D12)*F12</f>
        <v>2421000</v>
      </c>
      <c r="J12" s="128"/>
      <c r="K12" s="127" t="n">
        <f aca="false">+I12</f>
        <v>2421000</v>
      </c>
    </row>
    <row r="13" customFormat="false" ht="12.75" hidden="false" customHeight="false" outlineLevel="0" collapsed="false">
      <c r="A13" s="121" t="n">
        <v>37530</v>
      </c>
      <c r="B13" s="122"/>
      <c r="C13" s="123" t="s">
        <v>59</v>
      </c>
      <c r="D13" s="124" t="n">
        <v>3.3</v>
      </c>
      <c r="E13" s="122"/>
      <c r="F13" s="125" t="n">
        <v>-4000000</v>
      </c>
      <c r="G13" s="122"/>
      <c r="H13" s="124" t="n">
        <f aca="false">+[2]Elpaso!$F13</f>
        <v>4.102</v>
      </c>
      <c r="I13" s="126" t="n">
        <f aca="false">(-H13+D13)*F13</f>
        <v>3208000</v>
      </c>
      <c r="J13" s="128"/>
      <c r="K13" s="127" t="n">
        <f aca="false">+I13</f>
        <v>3208000</v>
      </c>
    </row>
    <row r="14" customFormat="false" ht="12.75" hidden="false" customHeight="false" outlineLevel="0" collapsed="false">
      <c r="A14" s="121"/>
      <c r="B14" s="122"/>
      <c r="C14" s="123"/>
      <c r="D14" s="124"/>
      <c r="E14" s="122"/>
      <c r="F14" s="146"/>
      <c r="G14" s="122"/>
      <c r="H14" s="124"/>
      <c r="I14" s="147"/>
      <c r="J14" s="128"/>
      <c r="K14" s="148"/>
    </row>
    <row r="15" customFormat="false" ht="12.75" hidden="false" customHeight="false" outlineLevel="0" collapsed="false">
      <c r="A15" s="121"/>
      <c r="B15" s="122"/>
      <c r="C15" s="123"/>
      <c r="D15" s="124"/>
      <c r="E15" s="122"/>
      <c r="F15" s="125" t="n">
        <f aca="false">SUM(F9:F14)</f>
        <v>-15000000</v>
      </c>
      <c r="G15" s="122"/>
      <c r="H15" s="124"/>
      <c r="I15" s="126" t="n">
        <f aca="false">SUM(I9:I14)</f>
        <v>12115000</v>
      </c>
      <c r="J15" s="128"/>
      <c r="K15" s="126" t="n">
        <f aca="false">SUM(K9:K14)</f>
        <v>12115000</v>
      </c>
    </row>
    <row r="16" customFormat="false" ht="12.75" hidden="false" customHeight="false" outlineLevel="0" collapsed="false">
      <c r="A16" s="121"/>
      <c r="B16" s="122"/>
      <c r="C16" s="123"/>
      <c r="D16" s="124"/>
      <c r="E16" s="122"/>
      <c r="F16" s="125"/>
      <c r="G16" s="122"/>
      <c r="H16" s="124"/>
      <c r="I16" s="126"/>
      <c r="J16" s="128"/>
      <c r="K16" s="149"/>
    </row>
    <row r="17" customFormat="false" ht="12.75" hidden="false" customHeight="false" outlineLevel="0" collapsed="false">
      <c r="A17" s="121" t="n">
        <v>37408</v>
      </c>
      <c r="B17" s="122"/>
      <c r="C17" s="123" t="s">
        <v>103</v>
      </c>
      <c r="D17" s="124" t="n">
        <v>2.32</v>
      </c>
      <c r="E17" s="122"/>
      <c r="F17" s="125" t="n">
        <v>-2000000</v>
      </c>
      <c r="G17" s="122"/>
      <c r="H17" s="124" t="n">
        <f aca="false">+[2]Elpaso!$F9</f>
        <v>4.11</v>
      </c>
      <c r="I17" s="126" t="n">
        <f aca="false">(+H17-D17)*F17</f>
        <v>-3580000</v>
      </c>
      <c r="J17" s="128"/>
      <c r="K17" s="127" t="n">
        <f aca="false">+I17</f>
        <v>-3580000</v>
      </c>
    </row>
    <row r="18" customFormat="false" ht="12.75" hidden="false" customHeight="false" outlineLevel="0" collapsed="false">
      <c r="A18" s="121" t="n">
        <v>37438</v>
      </c>
      <c r="B18" s="122"/>
      <c r="C18" s="123" t="s">
        <v>103</v>
      </c>
      <c r="D18" s="124" t="n">
        <v>2.32</v>
      </c>
      <c r="E18" s="122"/>
      <c r="F18" s="125" t="n">
        <v>-3000000</v>
      </c>
      <c r="G18" s="122"/>
      <c r="H18" s="124" t="n">
        <f aca="false">+[2]Elpaso!$F10</f>
        <v>4.11</v>
      </c>
      <c r="I18" s="126" t="n">
        <f aca="false">(+H18-D18)*F18</f>
        <v>-5370000</v>
      </c>
      <c r="J18" s="128"/>
      <c r="K18" s="127" t="n">
        <f aca="false">+I18</f>
        <v>-5370000</v>
      </c>
    </row>
    <row r="19" customFormat="false" ht="12.75" hidden="false" customHeight="false" outlineLevel="0" collapsed="false">
      <c r="A19" s="121" t="n">
        <v>37469</v>
      </c>
      <c r="B19" s="122"/>
      <c r="C19" s="123" t="s">
        <v>103</v>
      </c>
      <c r="D19" s="124" t="n">
        <v>2.32</v>
      </c>
      <c r="E19" s="122"/>
      <c r="F19" s="125" t="n">
        <v>-3000000</v>
      </c>
      <c r="G19" s="122"/>
      <c r="H19" s="124" t="n">
        <f aca="false">+[2]Elpaso!$F11</f>
        <v>4.112</v>
      </c>
      <c r="I19" s="126" t="n">
        <f aca="false">(+H19-D19)*F19</f>
        <v>-5376000</v>
      </c>
      <c r="J19" s="128"/>
      <c r="K19" s="127" t="n">
        <f aca="false">+I19</f>
        <v>-5376000</v>
      </c>
    </row>
    <row r="20" customFormat="false" ht="12.75" hidden="false" customHeight="false" outlineLevel="0" collapsed="false">
      <c r="A20" s="121" t="n">
        <v>37500</v>
      </c>
      <c r="B20" s="122"/>
      <c r="C20" s="123" t="s">
        <v>103</v>
      </c>
      <c r="D20" s="124" t="n">
        <v>2.32</v>
      </c>
      <c r="E20" s="122"/>
      <c r="F20" s="125" t="n">
        <v>-3000000</v>
      </c>
      <c r="G20" s="122"/>
      <c r="H20" s="124" t="n">
        <f aca="false">+[2]Elpaso!$F12</f>
        <v>4.107</v>
      </c>
      <c r="I20" s="126" t="n">
        <f aca="false">(+H20-D20)*F20</f>
        <v>-5361000</v>
      </c>
      <c r="J20" s="128"/>
      <c r="K20" s="127" t="n">
        <f aca="false">+I20</f>
        <v>-5361000</v>
      </c>
    </row>
    <row r="21" customFormat="false" ht="12.75" hidden="false" customHeight="false" outlineLevel="0" collapsed="false">
      <c r="A21" s="121" t="n">
        <v>37530</v>
      </c>
      <c r="B21" s="122"/>
      <c r="C21" s="123" t="s">
        <v>103</v>
      </c>
      <c r="D21" s="124" t="n">
        <v>2.32</v>
      </c>
      <c r="E21" s="122"/>
      <c r="F21" s="125" t="n">
        <v>-4000000</v>
      </c>
      <c r="G21" s="122"/>
      <c r="H21" s="124" t="n">
        <f aca="false">+[2]Elpaso!$F13</f>
        <v>4.102</v>
      </c>
      <c r="I21" s="126" t="n">
        <f aca="false">(+H21-D21)*F21</f>
        <v>-7128000</v>
      </c>
      <c r="J21" s="128"/>
      <c r="K21" s="127" t="n">
        <f aca="false">+I21</f>
        <v>-7128000</v>
      </c>
    </row>
    <row r="22" customFormat="false" ht="12.75" hidden="false" customHeight="false" outlineLevel="0" collapsed="false">
      <c r="A22" s="121"/>
      <c r="B22" s="122"/>
      <c r="C22" s="123"/>
      <c r="D22" s="124"/>
      <c r="E22" s="122"/>
      <c r="F22" s="146"/>
      <c r="G22" s="122"/>
      <c r="H22" s="124"/>
      <c r="I22" s="147"/>
      <c r="J22" s="128"/>
      <c r="K22" s="148"/>
    </row>
    <row r="23" customFormat="false" ht="12.75" hidden="false" customHeight="false" outlineLevel="0" collapsed="false">
      <c r="A23" s="121"/>
      <c r="B23" s="122"/>
      <c r="C23" s="123"/>
      <c r="D23" s="124"/>
      <c r="E23" s="122"/>
      <c r="F23" s="125" t="n">
        <f aca="false">SUM(F17:F22)</f>
        <v>-15000000</v>
      </c>
      <c r="G23" s="122"/>
      <c r="H23" s="124"/>
      <c r="I23" s="126" t="n">
        <f aca="false">SUM(I17:I22)</f>
        <v>-26815000</v>
      </c>
      <c r="J23" s="128"/>
      <c r="K23" s="126" t="n">
        <f aca="false">SUM(K17:K22)</f>
        <v>-26815000</v>
      </c>
    </row>
    <row r="24" customFormat="false" ht="12.75" hidden="false" customHeight="false" outlineLevel="0" collapsed="false">
      <c r="A24" s="121"/>
      <c r="B24" s="122"/>
      <c r="C24" s="123"/>
      <c r="D24" s="124"/>
      <c r="E24" s="122"/>
      <c r="F24" s="125"/>
      <c r="G24" s="122"/>
      <c r="H24" s="124"/>
      <c r="I24" s="126"/>
      <c r="J24" s="128"/>
      <c r="K24" s="149"/>
    </row>
    <row r="25" customFormat="false" ht="13.5" hidden="false" customHeight="false" outlineLevel="0" collapsed="false">
      <c r="A25" s="121"/>
      <c r="B25" s="122"/>
      <c r="C25" s="123"/>
      <c r="D25" s="124"/>
      <c r="E25" s="122"/>
      <c r="F25" s="150"/>
      <c r="G25" s="122"/>
      <c r="H25" s="124"/>
      <c r="I25" s="151" t="n">
        <f aca="false">+I23+I15</f>
        <v>-14700000</v>
      </c>
      <c r="J25" s="128"/>
      <c r="K25" s="151" t="n">
        <f aca="false">+K23+K15</f>
        <v>-14700000</v>
      </c>
    </row>
    <row r="26" customFormat="false" ht="13.5" hidden="false" customHeight="false" outlineLevel="0" collapsed="false">
      <c r="A26" s="141"/>
      <c r="B26" s="141"/>
      <c r="C26" s="141"/>
      <c r="D26" s="141"/>
      <c r="E26" s="141"/>
      <c r="F26" s="141"/>
      <c r="G26" s="141"/>
      <c r="H26" s="141"/>
      <c r="I26" s="141"/>
      <c r="J26" s="142"/>
      <c r="K26" s="142"/>
    </row>
    <row r="28" customFormat="false" ht="12.75" hidden="false" customHeight="false" outlineLevel="0" collapsed="false">
      <c r="A28" s="105" t="s">
        <v>99</v>
      </c>
    </row>
  </sheetData>
  <mergeCells count="5">
    <mergeCell ref="A1:K1"/>
    <mergeCell ref="A2:K2"/>
    <mergeCell ref="A3:K3"/>
    <mergeCell ref="A4:K4"/>
    <mergeCell ref="I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1655" ySplit="0" topLeftCell="J1" activePane="topLeft" state="split"/>
      <selection pane="topLeft" activeCell="A1" activeCellId="0" sqref="A1"/>
      <selection pane="topRight" activeCell="J1" activeCellId="0" sqref="J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0.71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4.28"/>
    <col collapsed="false" customWidth="true" hidden="false" outlineLevel="0" max="8" min="8" style="0" width="14.56"/>
    <col collapsed="false" customWidth="true" hidden="false" outlineLevel="0" max="9" min="9" style="0" width="14.99"/>
    <col collapsed="false" customWidth="true" hidden="false" outlineLevel="0" max="10" min="10" style="0" width="13.41"/>
    <col collapsed="false" customWidth="true" hidden="false" outlineLevel="0" max="11" min="11" style="0" width="14.99"/>
  </cols>
  <sheetData>
    <row r="1" customFormat="false" ht="15" hidden="false" customHeight="false" outlineLevel="0" collapsed="false">
      <c r="A1" s="107" t="s">
        <v>86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customFormat="false" ht="15" hidden="false" customHeight="false" outlineLevel="0" collapsed="false">
      <c r="A2" s="107" t="s">
        <v>87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customFormat="false" ht="15.75" hidden="false" customHeight="false" outlineLevel="0" collapsed="false">
      <c r="A3" s="107" t="s">
        <v>104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4" customFormat="false" ht="15.75" hidden="false" customHeight="false" outlineLevel="0" collapsed="false">
      <c r="A4" s="108"/>
      <c r="B4" s="108"/>
      <c r="C4" s="108"/>
      <c r="D4" s="108"/>
      <c r="E4" s="108"/>
      <c r="F4" s="108"/>
      <c r="G4" s="108"/>
      <c r="H4" s="108"/>
      <c r="I4" s="108"/>
      <c r="J4" s="109"/>
      <c r="K4" s="109"/>
    </row>
    <row r="6" customFormat="false" ht="12.75" hidden="false" customHeight="false" outlineLevel="0" collapsed="false">
      <c r="A6" s="110" t="s">
        <v>89</v>
      </c>
      <c r="B6" s="111" t="s">
        <v>8</v>
      </c>
      <c r="C6" s="111" t="s">
        <v>8</v>
      </c>
      <c r="D6" s="111" t="s">
        <v>90</v>
      </c>
      <c r="E6" s="111"/>
      <c r="F6" s="111" t="s">
        <v>91</v>
      </c>
      <c r="G6" s="111" t="s">
        <v>68</v>
      </c>
      <c r="H6" s="111" t="s">
        <v>105</v>
      </c>
      <c r="I6" s="112" t="s">
        <v>93</v>
      </c>
      <c r="J6" s="112"/>
      <c r="K6" s="112"/>
    </row>
    <row r="7" customFormat="false" ht="12.75" hidden="false" customHeight="false" outlineLevel="0" collapsed="false">
      <c r="A7" s="113" t="s">
        <v>22</v>
      </c>
      <c r="B7" s="114" t="s">
        <v>18</v>
      </c>
      <c r="C7" s="114" t="s">
        <v>17</v>
      </c>
      <c r="D7" s="114" t="s">
        <v>23</v>
      </c>
      <c r="E7" s="114"/>
      <c r="F7" s="114" t="s">
        <v>94</v>
      </c>
      <c r="G7" s="114" t="s">
        <v>23</v>
      </c>
      <c r="H7" s="114" t="s">
        <v>23</v>
      </c>
      <c r="I7" s="114" t="s">
        <v>30</v>
      </c>
      <c r="J7" s="114" t="s">
        <v>31</v>
      </c>
      <c r="K7" s="115" t="s">
        <v>32</v>
      </c>
    </row>
    <row r="8" customFormat="false" ht="12.75" hidden="false" customHeight="false" outlineLevel="0" collapsed="false">
      <c r="A8" s="116"/>
      <c r="B8" s="117"/>
      <c r="C8" s="117"/>
      <c r="D8" s="117"/>
      <c r="E8" s="117"/>
      <c r="F8" s="117"/>
      <c r="G8" s="118" t="s">
        <v>95</v>
      </c>
      <c r="H8" s="119"/>
      <c r="I8" s="119" t="s">
        <v>96</v>
      </c>
      <c r="J8" s="119" t="s">
        <v>96</v>
      </c>
      <c r="K8" s="120" t="s">
        <v>96</v>
      </c>
    </row>
    <row r="9" customFormat="false" ht="12.75" hidden="false" customHeight="false" outlineLevel="0" collapsed="false">
      <c r="A9" s="121" t="n">
        <v>36892</v>
      </c>
      <c r="B9" s="122"/>
      <c r="C9" s="123" t="s">
        <v>59</v>
      </c>
      <c r="D9" s="124" t="n">
        <v>3.23</v>
      </c>
      <c r="E9" s="122"/>
      <c r="F9" s="125" t="n">
        <f aca="false">-5000*31</f>
        <v>-155000</v>
      </c>
      <c r="G9" s="124"/>
      <c r="H9" s="124" t="n">
        <f aca="false">+'[2]ELpaso SJ &amp; Prm'!$F33</f>
        <v>6.679</v>
      </c>
      <c r="I9" s="126" t="n">
        <f aca="false">SUM(D9-H9)*F9</f>
        <v>534595</v>
      </c>
      <c r="J9" s="127"/>
      <c r="K9" s="127" t="n">
        <f aca="false">+I9</f>
        <v>534595</v>
      </c>
    </row>
    <row r="10" customFormat="false" ht="12.75" hidden="false" customHeight="false" outlineLevel="0" collapsed="false">
      <c r="A10" s="121" t="n">
        <v>36923</v>
      </c>
      <c r="B10" s="122"/>
      <c r="C10" s="123" t="s">
        <v>59</v>
      </c>
      <c r="D10" s="124" t="n">
        <v>3.23</v>
      </c>
      <c r="E10" s="122"/>
      <c r="F10" s="125" t="n">
        <f aca="false">-5000*28</f>
        <v>-140000</v>
      </c>
      <c r="G10" s="124"/>
      <c r="H10" s="124" t="n">
        <f aca="false">+'[2]ELpaso SJ &amp; Prm'!$F34</f>
        <v>6.503</v>
      </c>
      <c r="I10" s="126" t="n">
        <f aca="false">SUM(D10-H10)*F10</f>
        <v>458220</v>
      </c>
      <c r="J10" s="127"/>
      <c r="K10" s="127" t="n">
        <f aca="false">+I10</f>
        <v>458220</v>
      </c>
    </row>
    <row r="11" customFormat="false" ht="12.75" hidden="false" customHeight="false" outlineLevel="0" collapsed="false">
      <c r="A11" s="121" t="n">
        <v>36951</v>
      </c>
      <c r="B11" s="122"/>
      <c r="C11" s="123" t="s">
        <v>59</v>
      </c>
      <c r="D11" s="124" t="n">
        <v>3.23</v>
      </c>
      <c r="E11" s="122"/>
      <c r="F11" s="125" t="n">
        <f aca="false">-5000*31</f>
        <v>-155000</v>
      </c>
      <c r="G11" s="124"/>
      <c r="H11" s="124" t="n">
        <f aca="false">+'[2]ELpaso SJ &amp; Prm'!$F35</f>
        <v>5.881</v>
      </c>
      <c r="I11" s="126" t="n">
        <f aca="false">SUM(D11-H11)*F11</f>
        <v>410905</v>
      </c>
      <c r="J11" s="127"/>
      <c r="K11" s="127" t="n">
        <f aca="false">+I11</f>
        <v>410905</v>
      </c>
    </row>
    <row r="12" customFormat="false" ht="12.75" hidden="false" customHeight="false" outlineLevel="0" collapsed="false">
      <c r="A12" s="121" t="n">
        <v>36982</v>
      </c>
      <c r="B12" s="122"/>
      <c r="C12" s="123" t="s">
        <v>59</v>
      </c>
      <c r="D12" s="124" t="n">
        <v>3.23</v>
      </c>
      <c r="E12" s="122"/>
      <c r="F12" s="125" t="n">
        <f aca="false">-5000*30</f>
        <v>-150000</v>
      </c>
      <c r="G12" s="124"/>
      <c r="H12" s="124" t="n">
        <f aca="false">+'[2]ELpaso SJ &amp; Prm'!$F36</f>
        <v>5.145</v>
      </c>
      <c r="I12" s="126" t="n">
        <f aca="false">SUM(D12-H12)*F12</f>
        <v>287250</v>
      </c>
      <c r="J12" s="127"/>
      <c r="K12" s="127" t="n">
        <f aca="false">+I12</f>
        <v>287250</v>
      </c>
    </row>
    <row r="13" customFormat="false" ht="12.75" hidden="false" customHeight="false" outlineLevel="0" collapsed="false">
      <c r="A13" s="121" t="n">
        <v>37012</v>
      </c>
      <c r="B13" s="122"/>
      <c r="C13" s="123" t="s">
        <v>59</v>
      </c>
      <c r="D13" s="124" t="n">
        <v>3.23</v>
      </c>
      <c r="E13" s="122"/>
      <c r="F13" s="125" t="n">
        <f aca="false">-5000*31</f>
        <v>-155000</v>
      </c>
      <c r="G13" s="122"/>
      <c r="H13" s="124" t="n">
        <f aca="false">+'[2]ELpaso SJ &amp; Prm'!$F37</f>
        <v>4.86</v>
      </c>
      <c r="I13" s="126" t="n">
        <f aca="false">SUM(D13-H13)*F13</f>
        <v>252650</v>
      </c>
      <c r="J13" s="128"/>
      <c r="K13" s="127" t="n">
        <f aca="false">+I13</f>
        <v>252650</v>
      </c>
    </row>
    <row r="14" customFormat="false" ht="12.75" hidden="false" customHeight="false" outlineLevel="0" collapsed="false">
      <c r="A14" s="121" t="n">
        <v>37043</v>
      </c>
      <c r="B14" s="122"/>
      <c r="C14" s="123" t="s">
        <v>59</v>
      </c>
      <c r="D14" s="124" t="n">
        <v>3.23</v>
      </c>
      <c r="E14" s="122"/>
      <c r="F14" s="125" t="n">
        <f aca="false">-5000*30</f>
        <v>-150000</v>
      </c>
      <c r="G14" s="122"/>
      <c r="H14" s="124" t="n">
        <f aca="false">+'[2]ELpaso SJ &amp; Prm'!$F38</f>
        <v>4.845</v>
      </c>
      <c r="I14" s="126" t="n">
        <f aca="false">SUM(D14-H14)*F14</f>
        <v>242250</v>
      </c>
      <c r="J14" s="128"/>
      <c r="K14" s="127" t="n">
        <f aca="false">+I14</f>
        <v>242250</v>
      </c>
    </row>
    <row r="15" customFormat="false" ht="12.75" hidden="false" customHeight="false" outlineLevel="0" collapsed="false">
      <c r="A15" s="121" t="n">
        <v>37073</v>
      </c>
      <c r="B15" s="122"/>
      <c r="C15" s="123" t="s">
        <v>59</v>
      </c>
      <c r="D15" s="124" t="n">
        <v>3.23</v>
      </c>
      <c r="E15" s="122"/>
      <c r="F15" s="125" t="n">
        <f aca="false">-5000*31</f>
        <v>-155000</v>
      </c>
      <c r="G15" s="122"/>
      <c r="H15" s="124" t="n">
        <f aca="false">+'[2]ELpaso SJ &amp; Prm'!$F39</f>
        <v>4.895</v>
      </c>
      <c r="I15" s="126" t="n">
        <f aca="false">SUM(D15-H15)*F15</f>
        <v>258075</v>
      </c>
      <c r="J15" s="128"/>
      <c r="K15" s="127" t="n">
        <f aca="false">+I15</f>
        <v>258075</v>
      </c>
    </row>
    <row r="16" customFormat="false" ht="12.75" hidden="false" customHeight="false" outlineLevel="0" collapsed="false">
      <c r="A16" s="121" t="n">
        <v>37104</v>
      </c>
      <c r="B16" s="122"/>
      <c r="C16" s="123" t="s">
        <v>59</v>
      </c>
      <c r="D16" s="124" t="n">
        <v>3.23</v>
      </c>
      <c r="E16" s="122"/>
      <c r="F16" s="125" t="n">
        <f aca="false">-5000*31</f>
        <v>-155000</v>
      </c>
      <c r="G16" s="122"/>
      <c r="H16" s="124" t="n">
        <f aca="false">+'[2]ELpaso SJ &amp; Prm'!$F40</f>
        <v>4.885</v>
      </c>
      <c r="I16" s="126" t="n">
        <f aca="false">SUM(D16-H16)*F16</f>
        <v>256525</v>
      </c>
      <c r="J16" s="128"/>
      <c r="K16" s="127" t="n">
        <f aca="false">+I16</f>
        <v>256525</v>
      </c>
    </row>
    <row r="17" customFormat="false" ht="12.75" hidden="false" customHeight="false" outlineLevel="0" collapsed="false">
      <c r="A17" s="121" t="n">
        <v>37135</v>
      </c>
      <c r="B17" s="122"/>
      <c r="C17" s="123" t="s">
        <v>59</v>
      </c>
      <c r="D17" s="124" t="n">
        <v>3.23</v>
      </c>
      <c r="E17" s="122"/>
      <c r="F17" s="125" t="n">
        <f aca="false">-5000*30</f>
        <v>-150000</v>
      </c>
      <c r="G17" s="122"/>
      <c r="H17" s="124" t="n">
        <f aca="false">+'[2]ELpaso SJ &amp; Prm'!$F41</f>
        <v>4.87</v>
      </c>
      <c r="I17" s="126" t="n">
        <f aca="false">SUM(D17-H17)*F17</f>
        <v>246000</v>
      </c>
      <c r="J17" s="128"/>
      <c r="K17" s="127" t="n">
        <f aca="false">+I17</f>
        <v>246000</v>
      </c>
    </row>
    <row r="18" customFormat="false" ht="12.75" hidden="false" customHeight="false" outlineLevel="0" collapsed="false">
      <c r="A18" s="121" t="n">
        <v>37165</v>
      </c>
      <c r="B18" s="122"/>
      <c r="C18" s="123" t="s">
        <v>59</v>
      </c>
      <c r="D18" s="124" t="n">
        <v>3.23</v>
      </c>
      <c r="E18" s="122"/>
      <c r="F18" s="125" t="n">
        <f aca="false">-5000*31</f>
        <v>-155000</v>
      </c>
      <c r="G18" s="122"/>
      <c r="H18" s="124" t="n">
        <f aca="false">+'[2]ELpaso SJ &amp; Prm'!$F42</f>
        <v>4.81</v>
      </c>
      <c r="I18" s="126" t="n">
        <f aca="false">SUM(D18-H18)*F18</f>
        <v>244900</v>
      </c>
      <c r="J18" s="128"/>
      <c r="K18" s="127" t="n">
        <f aca="false">+I18</f>
        <v>244900</v>
      </c>
    </row>
    <row r="19" customFormat="false" ht="12.75" hidden="false" customHeight="false" outlineLevel="0" collapsed="false">
      <c r="A19" s="121" t="n">
        <v>37196</v>
      </c>
      <c r="B19" s="122"/>
      <c r="C19" s="123" t="s">
        <v>59</v>
      </c>
      <c r="D19" s="124" t="n">
        <v>3.23</v>
      </c>
      <c r="E19" s="122"/>
      <c r="F19" s="125" t="n">
        <f aca="false">-5000*30</f>
        <v>-150000</v>
      </c>
      <c r="G19" s="122"/>
      <c r="H19" s="124" t="n">
        <f aca="false">+'[2]ELpaso SJ &amp; Prm'!$F43</f>
        <v>4.875</v>
      </c>
      <c r="I19" s="126" t="n">
        <f aca="false">SUM(D19-H19)*F19</f>
        <v>246750</v>
      </c>
      <c r="J19" s="128"/>
      <c r="K19" s="127" t="n">
        <f aca="false">+I19</f>
        <v>246750</v>
      </c>
    </row>
    <row r="20" customFormat="false" ht="12.75" hidden="false" customHeight="false" outlineLevel="0" collapsed="false">
      <c r="A20" s="121" t="n">
        <v>37226</v>
      </c>
      <c r="B20" s="122"/>
      <c r="C20" s="123" t="s">
        <v>59</v>
      </c>
      <c r="D20" s="124" t="n">
        <v>3.23</v>
      </c>
      <c r="E20" s="122"/>
      <c r="F20" s="125" t="n">
        <f aca="false">-5000*31</f>
        <v>-155000</v>
      </c>
      <c r="G20" s="122"/>
      <c r="H20" s="124" t="n">
        <f aca="false">+'[2]ELpaso SJ &amp; Prm'!$F44</f>
        <v>4.95</v>
      </c>
      <c r="I20" s="126" t="n">
        <f aca="false">SUM(D20-H20)*F20</f>
        <v>266600</v>
      </c>
      <c r="J20" s="128"/>
      <c r="K20" s="127" t="n">
        <f aca="false">+I20</f>
        <v>266600</v>
      </c>
    </row>
    <row r="21" customFormat="false" ht="12.75" hidden="false" customHeight="false" outlineLevel="0" collapsed="false">
      <c r="A21" s="121"/>
      <c r="B21" s="122"/>
      <c r="C21" s="123"/>
      <c r="D21" s="124"/>
      <c r="E21" s="122"/>
      <c r="F21" s="125"/>
      <c r="G21" s="122"/>
      <c r="H21" s="124"/>
      <c r="I21" s="126"/>
      <c r="J21" s="128"/>
      <c r="K21" s="127"/>
    </row>
    <row r="22" customFormat="false" ht="12.75" hidden="false" customHeight="false" outlineLevel="0" collapsed="false">
      <c r="A22" s="122"/>
      <c r="B22" s="122"/>
      <c r="C22" s="122"/>
      <c r="D22" s="122"/>
      <c r="E22" s="122"/>
      <c r="F22" s="129" t="n">
        <f aca="false">SUM(F9:F20)</f>
        <v>-1825000</v>
      </c>
      <c r="G22" s="122"/>
      <c r="H22" s="122"/>
      <c r="I22" s="130" t="n">
        <f aca="false">SUM(I9:I20)</f>
        <v>3704720</v>
      </c>
      <c r="J22" s="130" t="n">
        <f aca="false">SUM(J9:J20)</f>
        <v>0</v>
      </c>
      <c r="K22" s="130" t="n">
        <f aca="false">SUM(K9:K20)</f>
        <v>3704720</v>
      </c>
    </row>
    <row r="23" customFormat="false" ht="12.75" hidden="false" customHeight="false" outlineLevel="0" collapsed="false">
      <c r="A23" s="122"/>
      <c r="B23" s="122"/>
      <c r="C23" s="122"/>
      <c r="D23" s="122"/>
      <c r="E23" s="122"/>
      <c r="F23" s="131"/>
      <c r="G23" s="122"/>
      <c r="H23" s="122"/>
      <c r="I23" s="132"/>
      <c r="J23" s="133"/>
      <c r="K23" s="133"/>
    </row>
    <row r="24" customFormat="false" ht="12.75" hidden="false" customHeight="false" outlineLevel="0" collapsed="false">
      <c r="A24" s="122"/>
      <c r="B24" s="122"/>
      <c r="C24" s="122"/>
      <c r="D24" s="122"/>
      <c r="E24" s="122"/>
      <c r="F24" s="122"/>
      <c r="G24" s="134" t="s">
        <v>95</v>
      </c>
      <c r="H24" s="135"/>
      <c r="I24" s="122"/>
      <c r="J24" s="128"/>
      <c r="K24" s="128"/>
    </row>
    <row r="25" customFormat="false" ht="12.75" hidden="false" customHeight="false" outlineLevel="0" collapsed="false">
      <c r="A25" s="122"/>
      <c r="B25" s="122"/>
      <c r="C25" s="122"/>
      <c r="D25" s="124"/>
      <c r="E25" s="122"/>
      <c r="F25" s="122"/>
      <c r="G25" s="136"/>
      <c r="H25" s="135"/>
      <c r="I25" s="122"/>
      <c r="J25" s="128"/>
      <c r="K25" s="128"/>
    </row>
    <row r="26" customFormat="false" ht="12.75" hidden="false" customHeight="false" outlineLevel="0" collapsed="false">
      <c r="A26" s="121" t="n">
        <v>36892</v>
      </c>
      <c r="B26" s="122"/>
      <c r="C26" s="123" t="s">
        <v>98</v>
      </c>
      <c r="D26" s="124" t="n">
        <v>3.23</v>
      </c>
      <c r="E26" s="122"/>
      <c r="F26" s="125" t="n">
        <f aca="false">5000*31</f>
        <v>155000</v>
      </c>
      <c r="G26" s="124"/>
      <c r="H26" s="124" t="n">
        <f aca="false">+'[2]ELpaso SJ &amp; Prm'!$F33</f>
        <v>6.679</v>
      </c>
      <c r="I26" s="126" t="n">
        <f aca="false">(+D26-H26)*F26</f>
        <v>-534595</v>
      </c>
      <c r="J26" s="127"/>
      <c r="K26" s="127" t="n">
        <f aca="false">+I26</f>
        <v>-534595</v>
      </c>
    </row>
    <row r="27" customFormat="false" ht="12.75" hidden="false" customHeight="false" outlineLevel="0" collapsed="false">
      <c r="A27" s="121" t="n">
        <v>36923</v>
      </c>
      <c r="B27" s="122"/>
      <c r="C27" s="123" t="s">
        <v>98</v>
      </c>
      <c r="D27" s="124" t="n">
        <v>3.23</v>
      </c>
      <c r="E27" s="122"/>
      <c r="F27" s="125" t="n">
        <f aca="false">5000*28</f>
        <v>140000</v>
      </c>
      <c r="G27" s="124"/>
      <c r="H27" s="124" t="n">
        <f aca="false">+'[2]ELpaso SJ &amp; Prm'!$F34</f>
        <v>6.503</v>
      </c>
      <c r="I27" s="126" t="n">
        <f aca="false">(+D27-H27)*F27</f>
        <v>-458220</v>
      </c>
      <c r="J27" s="127"/>
      <c r="K27" s="127" t="n">
        <f aca="false">+I27</f>
        <v>-458220</v>
      </c>
    </row>
    <row r="28" customFormat="false" ht="12.75" hidden="false" customHeight="false" outlineLevel="0" collapsed="false">
      <c r="A28" s="121" t="n">
        <v>36951</v>
      </c>
      <c r="B28" s="122"/>
      <c r="C28" s="123" t="s">
        <v>98</v>
      </c>
      <c r="D28" s="124" t="n">
        <v>3.23</v>
      </c>
      <c r="E28" s="122"/>
      <c r="F28" s="125" t="n">
        <f aca="false">5000*31</f>
        <v>155000</v>
      </c>
      <c r="G28" s="124"/>
      <c r="H28" s="124" t="n">
        <f aca="false">+'[2]ELpaso SJ &amp; Prm'!$F35</f>
        <v>5.881</v>
      </c>
      <c r="I28" s="126" t="n">
        <f aca="false">(+D28-H28)*F28</f>
        <v>-410905</v>
      </c>
      <c r="J28" s="127"/>
      <c r="K28" s="127" t="n">
        <f aca="false">+I28</f>
        <v>-410905</v>
      </c>
    </row>
    <row r="29" customFormat="false" ht="12.75" hidden="false" customHeight="false" outlineLevel="0" collapsed="false">
      <c r="A29" s="121" t="n">
        <v>36982</v>
      </c>
      <c r="B29" s="122"/>
      <c r="C29" s="123" t="s">
        <v>98</v>
      </c>
      <c r="D29" s="124" t="n">
        <v>3.23</v>
      </c>
      <c r="E29" s="122"/>
      <c r="F29" s="125" t="n">
        <f aca="false">5000*30</f>
        <v>150000</v>
      </c>
      <c r="G29" s="124"/>
      <c r="H29" s="124" t="n">
        <f aca="false">+'[2]ELpaso SJ &amp; Prm'!$F36</f>
        <v>5.145</v>
      </c>
      <c r="I29" s="126" t="n">
        <f aca="false">(+D29-H29)*F29</f>
        <v>-287250</v>
      </c>
      <c r="J29" s="127"/>
      <c r="K29" s="127" t="n">
        <f aca="false">+I29</f>
        <v>-287250</v>
      </c>
    </row>
    <row r="30" customFormat="false" ht="12.75" hidden="false" customHeight="false" outlineLevel="0" collapsed="false">
      <c r="A30" s="121" t="n">
        <v>37012</v>
      </c>
      <c r="B30" s="122"/>
      <c r="C30" s="123" t="s">
        <v>98</v>
      </c>
      <c r="D30" s="124" t="n">
        <v>3.23</v>
      </c>
      <c r="E30" s="122"/>
      <c r="F30" s="125" t="n">
        <f aca="false">5000*31</f>
        <v>155000</v>
      </c>
      <c r="G30" s="122"/>
      <c r="H30" s="124" t="n">
        <f aca="false">+'[2]ELpaso SJ &amp; Prm'!$F37</f>
        <v>4.86</v>
      </c>
      <c r="I30" s="126" t="n">
        <f aca="false">(+D30-H30)*F30</f>
        <v>-252650</v>
      </c>
      <c r="J30" s="128"/>
      <c r="K30" s="127" t="n">
        <f aca="false">+I30</f>
        <v>-252650</v>
      </c>
    </row>
    <row r="31" customFormat="false" ht="12.75" hidden="false" customHeight="false" outlineLevel="0" collapsed="false">
      <c r="A31" s="121" t="n">
        <v>37043</v>
      </c>
      <c r="B31" s="122"/>
      <c r="C31" s="123" t="s">
        <v>98</v>
      </c>
      <c r="D31" s="124" t="n">
        <v>3.23</v>
      </c>
      <c r="E31" s="122"/>
      <c r="F31" s="125" t="n">
        <f aca="false">5000*30</f>
        <v>150000</v>
      </c>
      <c r="G31" s="122"/>
      <c r="H31" s="124" t="n">
        <f aca="false">+'[2]ELpaso SJ &amp; Prm'!$F38</f>
        <v>4.845</v>
      </c>
      <c r="I31" s="126" t="n">
        <f aca="false">(+D31-H31)*F31</f>
        <v>-242250</v>
      </c>
      <c r="J31" s="128"/>
      <c r="K31" s="127" t="n">
        <f aca="false">+I31</f>
        <v>-242250</v>
      </c>
    </row>
    <row r="32" customFormat="false" ht="12.75" hidden="false" customHeight="false" outlineLevel="0" collapsed="false">
      <c r="A32" s="121" t="n">
        <v>37073</v>
      </c>
      <c r="B32" s="122"/>
      <c r="C32" s="123" t="s">
        <v>98</v>
      </c>
      <c r="D32" s="124" t="n">
        <v>3.23</v>
      </c>
      <c r="E32" s="122"/>
      <c r="F32" s="125" t="n">
        <f aca="false">5000*31</f>
        <v>155000</v>
      </c>
      <c r="G32" s="122"/>
      <c r="H32" s="124" t="n">
        <f aca="false">+'[2]ELpaso SJ &amp; Prm'!$F39</f>
        <v>4.895</v>
      </c>
      <c r="I32" s="126" t="n">
        <f aca="false">(+D32-H32)*F32</f>
        <v>-258075</v>
      </c>
      <c r="J32" s="128"/>
      <c r="K32" s="127" t="n">
        <f aca="false">+I32</f>
        <v>-258075</v>
      </c>
    </row>
    <row r="33" customFormat="false" ht="12.75" hidden="false" customHeight="false" outlineLevel="0" collapsed="false">
      <c r="A33" s="121" t="n">
        <v>37104</v>
      </c>
      <c r="B33" s="122"/>
      <c r="C33" s="123" t="s">
        <v>98</v>
      </c>
      <c r="D33" s="124" t="n">
        <v>3.23</v>
      </c>
      <c r="E33" s="122"/>
      <c r="F33" s="125" t="n">
        <f aca="false">5000*31</f>
        <v>155000</v>
      </c>
      <c r="G33" s="122"/>
      <c r="H33" s="124" t="n">
        <f aca="false">+'[2]ELpaso SJ &amp; Prm'!$F40</f>
        <v>4.885</v>
      </c>
      <c r="I33" s="126" t="n">
        <f aca="false">(+D33-H33)*F33</f>
        <v>-256525</v>
      </c>
      <c r="J33" s="128"/>
      <c r="K33" s="127" t="n">
        <f aca="false">+I33</f>
        <v>-256525</v>
      </c>
    </row>
    <row r="34" customFormat="false" ht="12.75" hidden="false" customHeight="false" outlineLevel="0" collapsed="false">
      <c r="A34" s="121" t="n">
        <v>37135</v>
      </c>
      <c r="B34" s="122"/>
      <c r="C34" s="123" t="s">
        <v>98</v>
      </c>
      <c r="D34" s="124" t="n">
        <v>3.23</v>
      </c>
      <c r="E34" s="122"/>
      <c r="F34" s="125" t="n">
        <f aca="false">5000*30</f>
        <v>150000</v>
      </c>
      <c r="G34" s="122"/>
      <c r="H34" s="124" t="n">
        <f aca="false">+'[2]ELpaso SJ &amp; Prm'!$F41</f>
        <v>4.87</v>
      </c>
      <c r="I34" s="126" t="n">
        <f aca="false">(+D34-H34)*F34</f>
        <v>-246000</v>
      </c>
      <c r="J34" s="128"/>
      <c r="K34" s="127" t="n">
        <f aca="false">+I34</f>
        <v>-246000</v>
      </c>
    </row>
    <row r="35" customFormat="false" ht="12.75" hidden="false" customHeight="false" outlineLevel="0" collapsed="false">
      <c r="A35" s="121" t="n">
        <v>37165</v>
      </c>
      <c r="B35" s="122"/>
      <c r="C35" s="123" t="s">
        <v>98</v>
      </c>
      <c r="D35" s="124" t="n">
        <v>3.23</v>
      </c>
      <c r="E35" s="122"/>
      <c r="F35" s="125" t="n">
        <f aca="false">5000*31</f>
        <v>155000</v>
      </c>
      <c r="G35" s="122"/>
      <c r="H35" s="124" t="n">
        <f aca="false">+'[2]ELpaso SJ &amp; Prm'!$F42</f>
        <v>4.81</v>
      </c>
      <c r="I35" s="126" t="n">
        <f aca="false">(+D35-H35)*F35</f>
        <v>-244900</v>
      </c>
      <c r="J35" s="128"/>
      <c r="K35" s="127" t="n">
        <f aca="false">+I35</f>
        <v>-244900</v>
      </c>
    </row>
    <row r="36" customFormat="false" ht="12.75" hidden="false" customHeight="false" outlineLevel="0" collapsed="false">
      <c r="A36" s="121" t="n">
        <v>37196</v>
      </c>
      <c r="B36" s="122"/>
      <c r="C36" s="123" t="s">
        <v>98</v>
      </c>
      <c r="D36" s="124" t="n">
        <v>3.23</v>
      </c>
      <c r="E36" s="122"/>
      <c r="F36" s="125" t="n">
        <f aca="false">5000*30</f>
        <v>150000</v>
      </c>
      <c r="G36" s="122"/>
      <c r="H36" s="124" t="n">
        <f aca="false">+'[2]ELpaso SJ &amp; Prm'!$F43</f>
        <v>4.875</v>
      </c>
      <c r="I36" s="126" t="n">
        <f aca="false">(+D36-H36)*F36</f>
        <v>-246750</v>
      </c>
      <c r="J36" s="128"/>
      <c r="K36" s="127" t="n">
        <f aca="false">+I36</f>
        <v>-246750</v>
      </c>
    </row>
    <row r="37" customFormat="false" ht="12.75" hidden="false" customHeight="false" outlineLevel="0" collapsed="false">
      <c r="A37" s="121" t="n">
        <v>37226</v>
      </c>
      <c r="B37" s="122"/>
      <c r="C37" s="123" t="s">
        <v>98</v>
      </c>
      <c r="D37" s="124" t="n">
        <v>3.23</v>
      </c>
      <c r="E37" s="122"/>
      <c r="F37" s="125" t="n">
        <f aca="false">5000*31</f>
        <v>155000</v>
      </c>
      <c r="G37" s="122"/>
      <c r="H37" s="124" t="n">
        <f aca="false">+'[2]ELpaso SJ &amp; Prm'!$F44</f>
        <v>4.95</v>
      </c>
      <c r="I37" s="126" t="n">
        <f aca="false">(+D37-H37)*F37</f>
        <v>-266600</v>
      </c>
      <c r="J37" s="128"/>
      <c r="K37" s="127" t="n">
        <f aca="false">+I37</f>
        <v>-266600</v>
      </c>
    </row>
    <row r="38" customFormat="false" ht="12.75" hidden="false" customHeight="false" outlineLevel="0" collapsed="false">
      <c r="A38" s="121"/>
      <c r="B38" s="122"/>
      <c r="C38" s="123"/>
      <c r="D38" s="124"/>
      <c r="E38" s="122"/>
      <c r="F38" s="125"/>
      <c r="G38" s="122"/>
      <c r="H38" s="124"/>
      <c r="I38" s="137"/>
      <c r="J38" s="128"/>
      <c r="K38" s="127"/>
    </row>
    <row r="39" customFormat="false" ht="12.75" hidden="false" customHeight="false" outlineLevel="0" collapsed="false">
      <c r="A39" s="122"/>
      <c r="B39" s="122"/>
      <c r="C39" s="122"/>
      <c r="D39" s="122"/>
      <c r="E39" s="122"/>
      <c r="F39" s="129" t="n">
        <f aca="false">SUM(F26:F38)</f>
        <v>1825000</v>
      </c>
      <c r="G39" s="122"/>
      <c r="H39" s="122"/>
      <c r="I39" s="138" t="n">
        <f aca="false">SUM(I26:I38)</f>
        <v>-3704720</v>
      </c>
      <c r="J39" s="138" t="n">
        <f aca="false">SUM(J26:J38)</f>
        <v>0</v>
      </c>
      <c r="K39" s="138" t="n">
        <f aca="false">SUM(K26:K38)</f>
        <v>-3704720</v>
      </c>
    </row>
    <row r="40" customFormat="false" ht="12.75" hidden="false" customHeight="false" outlineLevel="0" collapsed="false">
      <c r="A40" s="122"/>
      <c r="B40" s="122"/>
      <c r="C40" s="122"/>
      <c r="D40" s="122"/>
      <c r="E40" s="122"/>
      <c r="F40" s="122"/>
      <c r="G40" s="122"/>
      <c r="H40" s="122"/>
      <c r="I40" s="122"/>
      <c r="J40" s="128"/>
      <c r="K40" s="128"/>
    </row>
    <row r="41" customFormat="false" ht="13.5" hidden="false" customHeight="false" outlineLevel="0" collapsed="false">
      <c r="A41" s="122"/>
      <c r="B41" s="122"/>
      <c r="C41" s="122"/>
      <c r="D41" s="122"/>
      <c r="E41" s="122"/>
      <c r="F41" s="139" t="n">
        <f aca="false">+F39+F22</f>
        <v>0</v>
      </c>
      <c r="G41" s="122"/>
      <c r="H41" s="122"/>
      <c r="I41" s="140" t="n">
        <f aca="false">+I39+I22</f>
        <v>0</v>
      </c>
      <c r="J41" s="140" t="n">
        <f aca="false">+J39+J22</f>
        <v>0</v>
      </c>
      <c r="K41" s="140" t="n">
        <f aca="false">+K39+K22</f>
        <v>0</v>
      </c>
    </row>
    <row r="42" customFormat="false" ht="13.5" hidden="false" customHeight="false" outlineLevel="0" collapsed="false">
      <c r="A42" s="141"/>
      <c r="B42" s="141"/>
      <c r="C42" s="141"/>
      <c r="D42" s="141"/>
      <c r="E42" s="141"/>
      <c r="F42" s="141"/>
      <c r="G42" s="141"/>
      <c r="H42" s="141"/>
      <c r="I42" s="141"/>
      <c r="J42" s="142"/>
      <c r="K42" s="142"/>
    </row>
    <row r="44" customFormat="false" ht="12.75" hidden="false" customHeight="false" outlineLevel="0" collapsed="false">
      <c r="A44" s="105" t="s">
        <v>99</v>
      </c>
    </row>
  </sheetData>
  <mergeCells count="4">
    <mergeCell ref="A1:K1"/>
    <mergeCell ref="A2:K2"/>
    <mergeCell ref="A3:K3"/>
    <mergeCell ref="I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0.71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4.28"/>
    <col collapsed="false" customWidth="true" hidden="false" outlineLevel="0" max="8" min="8" style="0" width="14.56"/>
    <col collapsed="false" customWidth="true" hidden="false" outlineLevel="0" max="9" min="9" style="0" width="14.99"/>
    <col collapsed="false" customWidth="true" hidden="false" outlineLevel="0" max="10" min="10" style="0" width="13.41"/>
    <col collapsed="false" customWidth="true" hidden="false" outlineLevel="0" max="11" min="11" style="0" width="14.99"/>
  </cols>
  <sheetData>
    <row r="1" customFormat="false" ht="15" hidden="false" customHeight="false" outlineLevel="0" collapsed="false">
      <c r="A1" s="107" t="s">
        <v>86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customFormat="false" ht="15" hidden="false" customHeight="false" outlineLevel="0" collapsed="false">
      <c r="A2" s="107" t="s">
        <v>87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customFormat="false" ht="15.75" hidden="false" customHeight="false" outlineLevel="0" collapsed="false">
      <c r="A3" s="107" t="s">
        <v>106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4" customFormat="false" ht="15.75" hidden="false" customHeight="false" outlineLevel="0" collapsed="false">
      <c r="A4" s="108"/>
      <c r="B4" s="108"/>
      <c r="C4" s="108"/>
      <c r="D4" s="108"/>
      <c r="E4" s="108"/>
      <c r="F4" s="108"/>
      <c r="G4" s="108"/>
      <c r="H4" s="108"/>
      <c r="I4" s="108"/>
      <c r="J4" s="109"/>
      <c r="K4" s="109"/>
    </row>
    <row r="6" customFormat="false" ht="12.75" hidden="false" customHeight="false" outlineLevel="0" collapsed="false">
      <c r="A6" s="110" t="s">
        <v>89</v>
      </c>
      <c r="B6" s="111" t="s">
        <v>8</v>
      </c>
      <c r="C6" s="111" t="s">
        <v>8</v>
      </c>
      <c r="D6" s="111" t="s">
        <v>90</v>
      </c>
      <c r="E6" s="111"/>
      <c r="F6" s="111" t="s">
        <v>91</v>
      </c>
      <c r="G6" s="111" t="s">
        <v>68</v>
      </c>
      <c r="H6" s="111" t="s">
        <v>105</v>
      </c>
      <c r="I6" s="112" t="s">
        <v>93</v>
      </c>
      <c r="J6" s="112"/>
      <c r="K6" s="112"/>
    </row>
    <row r="7" customFormat="false" ht="12.75" hidden="false" customHeight="false" outlineLevel="0" collapsed="false">
      <c r="A7" s="113" t="s">
        <v>22</v>
      </c>
      <c r="B7" s="114" t="s">
        <v>18</v>
      </c>
      <c r="C7" s="114" t="s">
        <v>17</v>
      </c>
      <c r="D7" s="114" t="s">
        <v>23</v>
      </c>
      <c r="E7" s="114"/>
      <c r="F7" s="114" t="s">
        <v>94</v>
      </c>
      <c r="G7" s="114" t="s">
        <v>23</v>
      </c>
      <c r="H7" s="114" t="s">
        <v>23</v>
      </c>
      <c r="I7" s="114" t="s">
        <v>30</v>
      </c>
      <c r="J7" s="114" t="s">
        <v>31</v>
      </c>
      <c r="K7" s="115" t="s">
        <v>32</v>
      </c>
    </row>
    <row r="8" customFormat="false" ht="12.75" hidden="false" customHeight="false" outlineLevel="0" collapsed="false">
      <c r="A8" s="116"/>
      <c r="B8" s="117"/>
      <c r="C8" s="117"/>
      <c r="D8" s="117"/>
      <c r="E8" s="117"/>
      <c r="F8" s="117"/>
      <c r="G8" s="118" t="s">
        <v>95</v>
      </c>
      <c r="H8" s="119"/>
      <c r="I8" s="119" t="s">
        <v>96</v>
      </c>
      <c r="J8" s="119" t="s">
        <v>96</v>
      </c>
      <c r="K8" s="120" t="s">
        <v>96</v>
      </c>
    </row>
    <row r="9" customFormat="false" ht="12.75" hidden="false" customHeight="false" outlineLevel="0" collapsed="false">
      <c r="A9" s="121" t="n">
        <v>36892</v>
      </c>
      <c r="B9" s="122"/>
      <c r="C9" s="123" t="s">
        <v>59</v>
      </c>
      <c r="D9" s="124" t="n">
        <v>3.74</v>
      </c>
      <c r="E9" s="122"/>
      <c r="F9" s="125" t="n">
        <f aca="false">-5000*31</f>
        <v>-155000</v>
      </c>
      <c r="G9" s="124"/>
      <c r="H9" s="124" t="n">
        <f aca="false">+'[2]ELpaso SJ &amp; Prm'!$F33</f>
        <v>6.679</v>
      </c>
      <c r="I9" s="126" t="n">
        <f aca="false">SUM(D9-H9)*F9</f>
        <v>455545</v>
      </c>
      <c r="J9" s="127"/>
      <c r="K9" s="127" t="n">
        <f aca="false">+I9</f>
        <v>455545</v>
      </c>
    </row>
    <row r="10" customFormat="false" ht="12.75" hidden="false" customHeight="false" outlineLevel="0" collapsed="false">
      <c r="A10" s="121" t="n">
        <v>36923</v>
      </c>
      <c r="B10" s="122"/>
      <c r="C10" s="123" t="s">
        <v>59</v>
      </c>
      <c r="D10" s="124" t="n">
        <v>3.74</v>
      </c>
      <c r="E10" s="122"/>
      <c r="F10" s="125" t="n">
        <f aca="false">-5000*28</f>
        <v>-140000</v>
      </c>
      <c r="G10" s="124"/>
      <c r="H10" s="124" t="n">
        <f aca="false">+'[2]ELpaso SJ &amp; Prm'!$F34</f>
        <v>6.503</v>
      </c>
      <c r="I10" s="126" t="n">
        <f aca="false">SUM(D10-H10)*F10</f>
        <v>386820</v>
      </c>
      <c r="J10" s="127"/>
      <c r="K10" s="127" t="n">
        <f aca="false">+I10</f>
        <v>386820</v>
      </c>
    </row>
    <row r="11" customFormat="false" ht="12.75" hidden="false" customHeight="false" outlineLevel="0" collapsed="false">
      <c r="A11" s="121" t="n">
        <v>36951</v>
      </c>
      <c r="B11" s="122"/>
      <c r="C11" s="123" t="s">
        <v>59</v>
      </c>
      <c r="D11" s="124" t="n">
        <v>3.74</v>
      </c>
      <c r="E11" s="122"/>
      <c r="F11" s="125" t="n">
        <f aca="false">-5000*31</f>
        <v>-155000</v>
      </c>
      <c r="G11" s="124"/>
      <c r="H11" s="124" t="n">
        <f aca="false">+'[2]ELpaso SJ &amp; Prm'!$F35</f>
        <v>5.881</v>
      </c>
      <c r="I11" s="126" t="n">
        <f aca="false">SUM(D11-H11)*F11</f>
        <v>331855</v>
      </c>
      <c r="J11" s="127"/>
      <c r="K11" s="127" t="n">
        <f aca="false">+I11</f>
        <v>331855</v>
      </c>
    </row>
    <row r="12" customFormat="false" ht="12.75" hidden="false" customHeight="false" outlineLevel="0" collapsed="false">
      <c r="A12" s="121" t="n">
        <v>36982</v>
      </c>
      <c r="B12" s="122"/>
      <c r="C12" s="123" t="s">
        <v>59</v>
      </c>
      <c r="D12" s="124" t="n">
        <v>3.74</v>
      </c>
      <c r="E12" s="122"/>
      <c r="F12" s="125" t="n">
        <f aca="false">-5000*30</f>
        <v>-150000</v>
      </c>
      <c r="G12" s="124"/>
      <c r="H12" s="124" t="n">
        <f aca="false">+'[2]ELpaso SJ &amp; Prm'!$F36</f>
        <v>5.145</v>
      </c>
      <c r="I12" s="126" t="n">
        <f aca="false">SUM(D12-H12)*F12</f>
        <v>210750</v>
      </c>
      <c r="J12" s="127"/>
      <c r="K12" s="127" t="n">
        <f aca="false">+I12</f>
        <v>210750</v>
      </c>
    </row>
    <row r="13" customFormat="false" ht="12.75" hidden="false" customHeight="false" outlineLevel="0" collapsed="false">
      <c r="A13" s="121" t="n">
        <v>37012</v>
      </c>
      <c r="B13" s="122"/>
      <c r="C13" s="123" t="s">
        <v>59</v>
      </c>
      <c r="D13" s="124" t="n">
        <v>3.74</v>
      </c>
      <c r="E13" s="122"/>
      <c r="F13" s="125" t="n">
        <f aca="false">-5000*31</f>
        <v>-155000</v>
      </c>
      <c r="G13" s="122"/>
      <c r="H13" s="124" t="n">
        <f aca="false">+'[2]ELpaso SJ &amp; Prm'!$F37</f>
        <v>4.86</v>
      </c>
      <c r="I13" s="126" t="n">
        <f aca="false">SUM(D13-H13)*F13</f>
        <v>173600</v>
      </c>
      <c r="J13" s="128"/>
      <c r="K13" s="127" t="n">
        <f aca="false">+I13</f>
        <v>173600</v>
      </c>
    </row>
    <row r="14" customFormat="false" ht="12.75" hidden="false" customHeight="false" outlineLevel="0" collapsed="false">
      <c r="A14" s="121" t="n">
        <v>37043</v>
      </c>
      <c r="B14" s="122"/>
      <c r="C14" s="123" t="s">
        <v>59</v>
      </c>
      <c r="D14" s="124" t="n">
        <v>3.74</v>
      </c>
      <c r="E14" s="122"/>
      <c r="F14" s="125" t="n">
        <f aca="false">-5000*30</f>
        <v>-150000</v>
      </c>
      <c r="G14" s="122"/>
      <c r="H14" s="124" t="n">
        <f aca="false">+'[2]ELpaso SJ &amp; Prm'!$F38</f>
        <v>4.845</v>
      </c>
      <c r="I14" s="126" t="n">
        <f aca="false">SUM(D14-H14)*F14</f>
        <v>165750</v>
      </c>
      <c r="J14" s="128"/>
      <c r="K14" s="127" t="n">
        <f aca="false">+I14</f>
        <v>165750</v>
      </c>
    </row>
    <row r="15" customFormat="false" ht="12.75" hidden="false" customHeight="false" outlineLevel="0" collapsed="false">
      <c r="A15" s="121" t="n">
        <v>37073</v>
      </c>
      <c r="B15" s="122"/>
      <c r="C15" s="123" t="s">
        <v>59</v>
      </c>
      <c r="D15" s="124" t="n">
        <v>3.74</v>
      </c>
      <c r="E15" s="122"/>
      <c r="F15" s="125" t="n">
        <f aca="false">-5000*31</f>
        <v>-155000</v>
      </c>
      <c r="G15" s="122"/>
      <c r="H15" s="124" t="n">
        <f aca="false">+'[2]ELpaso SJ &amp; Prm'!$F39</f>
        <v>4.895</v>
      </c>
      <c r="I15" s="126" t="n">
        <f aca="false">SUM(D15-H15)*F15</f>
        <v>179025</v>
      </c>
      <c r="J15" s="128"/>
      <c r="K15" s="127" t="n">
        <f aca="false">+I15</f>
        <v>179025</v>
      </c>
    </row>
    <row r="16" customFormat="false" ht="12.75" hidden="false" customHeight="false" outlineLevel="0" collapsed="false">
      <c r="A16" s="121" t="n">
        <v>37104</v>
      </c>
      <c r="B16" s="122"/>
      <c r="C16" s="123" t="s">
        <v>59</v>
      </c>
      <c r="D16" s="124" t="n">
        <v>3.74</v>
      </c>
      <c r="E16" s="122"/>
      <c r="F16" s="125" t="n">
        <f aca="false">-5000*31</f>
        <v>-155000</v>
      </c>
      <c r="G16" s="122"/>
      <c r="H16" s="124" t="n">
        <f aca="false">+'[2]ELpaso SJ &amp; Prm'!$F40</f>
        <v>4.885</v>
      </c>
      <c r="I16" s="126" t="n">
        <f aca="false">SUM(D16-H16)*F16</f>
        <v>177475</v>
      </c>
      <c r="J16" s="128"/>
      <c r="K16" s="127" t="n">
        <f aca="false">+I16</f>
        <v>177475</v>
      </c>
    </row>
    <row r="17" customFormat="false" ht="12.75" hidden="false" customHeight="false" outlineLevel="0" collapsed="false">
      <c r="A17" s="121" t="n">
        <v>37135</v>
      </c>
      <c r="B17" s="122"/>
      <c r="C17" s="123" t="s">
        <v>59</v>
      </c>
      <c r="D17" s="124" t="n">
        <v>3.74</v>
      </c>
      <c r="E17" s="122"/>
      <c r="F17" s="125" t="n">
        <f aca="false">-5000*30</f>
        <v>-150000</v>
      </c>
      <c r="G17" s="122"/>
      <c r="H17" s="124" t="n">
        <f aca="false">+'[2]ELpaso SJ &amp; Prm'!$F41</f>
        <v>4.87</v>
      </c>
      <c r="I17" s="126" t="n">
        <f aca="false">SUM(D17-H17)*F17</f>
        <v>169500</v>
      </c>
      <c r="J17" s="128"/>
      <c r="K17" s="127" t="n">
        <f aca="false">+I17</f>
        <v>169500</v>
      </c>
    </row>
    <row r="18" customFormat="false" ht="12.75" hidden="false" customHeight="false" outlineLevel="0" collapsed="false">
      <c r="A18" s="121" t="n">
        <v>37165</v>
      </c>
      <c r="B18" s="122"/>
      <c r="C18" s="123" t="s">
        <v>59</v>
      </c>
      <c r="D18" s="124" t="n">
        <v>3.74</v>
      </c>
      <c r="E18" s="122"/>
      <c r="F18" s="125" t="n">
        <f aca="false">-5000*31</f>
        <v>-155000</v>
      </c>
      <c r="G18" s="122"/>
      <c r="H18" s="124" t="n">
        <f aca="false">+'[2]ELpaso SJ &amp; Prm'!$F42</f>
        <v>4.81</v>
      </c>
      <c r="I18" s="126" t="n">
        <f aca="false">SUM(D18-H18)*F18</f>
        <v>165850</v>
      </c>
      <c r="J18" s="128"/>
      <c r="K18" s="127" t="n">
        <f aca="false">+I18</f>
        <v>165850</v>
      </c>
    </row>
    <row r="19" customFormat="false" ht="12.75" hidden="false" customHeight="false" outlineLevel="0" collapsed="false">
      <c r="A19" s="121" t="n">
        <v>37196</v>
      </c>
      <c r="B19" s="122"/>
      <c r="C19" s="123" t="s">
        <v>59</v>
      </c>
      <c r="D19" s="124" t="n">
        <v>3.74</v>
      </c>
      <c r="E19" s="122"/>
      <c r="F19" s="125" t="n">
        <f aca="false">-5000*30</f>
        <v>-150000</v>
      </c>
      <c r="G19" s="122"/>
      <c r="H19" s="124" t="n">
        <f aca="false">+'[2]ELpaso SJ &amp; Prm'!$F43</f>
        <v>4.875</v>
      </c>
      <c r="I19" s="126" t="n">
        <f aca="false">SUM(D19-H19)*F19</f>
        <v>170250</v>
      </c>
      <c r="J19" s="128"/>
      <c r="K19" s="127" t="n">
        <f aca="false">+I19</f>
        <v>170250</v>
      </c>
    </row>
    <row r="20" customFormat="false" ht="12.75" hidden="false" customHeight="false" outlineLevel="0" collapsed="false">
      <c r="A20" s="121" t="n">
        <v>37226</v>
      </c>
      <c r="B20" s="122"/>
      <c r="C20" s="123" t="s">
        <v>59</v>
      </c>
      <c r="D20" s="124" t="n">
        <v>3.74</v>
      </c>
      <c r="E20" s="122"/>
      <c r="F20" s="125" t="n">
        <f aca="false">-5000*31</f>
        <v>-155000</v>
      </c>
      <c r="G20" s="122"/>
      <c r="H20" s="124" t="n">
        <f aca="false">+'[2]ELpaso SJ &amp; Prm'!$F44</f>
        <v>4.95</v>
      </c>
      <c r="I20" s="126" t="n">
        <f aca="false">SUM(D20-H20)*F20</f>
        <v>187550</v>
      </c>
      <c r="J20" s="128"/>
      <c r="K20" s="127" t="n">
        <f aca="false">+I20</f>
        <v>187550</v>
      </c>
    </row>
    <row r="21" customFormat="false" ht="12.75" hidden="false" customHeight="false" outlineLevel="0" collapsed="false">
      <c r="A21" s="121"/>
      <c r="B21" s="122"/>
      <c r="C21" s="123"/>
      <c r="D21" s="124"/>
      <c r="E21" s="122"/>
      <c r="F21" s="125"/>
      <c r="G21" s="122"/>
      <c r="H21" s="124"/>
      <c r="I21" s="126"/>
      <c r="J21" s="128"/>
      <c r="K21" s="127"/>
    </row>
    <row r="22" customFormat="false" ht="12.75" hidden="false" customHeight="false" outlineLevel="0" collapsed="false">
      <c r="A22" s="122"/>
      <c r="B22" s="122"/>
      <c r="C22" s="122"/>
      <c r="D22" s="122"/>
      <c r="E22" s="122"/>
      <c r="F22" s="129" t="n">
        <f aca="false">SUM(F9:F20)</f>
        <v>-1825000</v>
      </c>
      <c r="G22" s="122"/>
      <c r="H22" s="122"/>
      <c r="I22" s="130" t="n">
        <f aca="false">SUM(I9:I20)</f>
        <v>2773970</v>
      </c>
      <c r="J22" s="130" t="n">
        <f aca="false">SUM(J9:J20)</f>
        <v>0</v>
      </c>
      <c r="K22" s="130" t="n">
        <f aca="false">SUM(K9:K20)</f>
        <v>2773970</v>
      </c>
    </row>
    <row r="23" customFormat="false" ht="12.75" hidden="false" customHeight="false" outlineLevel="0" collapsed="false">
      <c r="A23" s="122"/>
      <c r="B23" s="122"/>
      <c r="C23" s="122"/>
      <c r="D23" s="122"/>
      <c r="E23" s="122"/>
      <c r="F23" s="131"/>
      <c r="G23" s="122"/>
      <c r="H23" s="122"/>
      <c r="I23" s="132"/>
      <c r="J23" s="133"/>
      <c r="K23" s="133"/>
    </row>
    <row r="24" customFormat="false" ht="12.75" hidden="false" customHeight="false" outlineLevel="0" collapsed="false">
      <c r="A24" s="122"/>
      <c r="B24" s="122"/>
      <c r="C24" s="122"/>
      <c r="D24" s="122"/>
      <c r="E24" s="122"/>
      <c r="F24" s="122"/>
      <c r="G24" s="134" t="s">
        <v>95</v>
      </c>
      <c r="H24" s="135"/>
      <c r="I24" s="122"/>
      <c r="J24" s="128"/>
      <c r="K24" s="128"/>
    </row>
    <row r="25" customFormat="false" ht="12.75" hidden="false" customHeight="false" outlineLevel="0" collapsed="false">
      <c r="A25" s="122"/>
      <c r="B25" s="122"/>
      <c r="C25" s="122"/>
      <c r="D25" s="124"/>
      <c r="E25" s="122"/>
      <c r="F25" s="122"/>
      <c r="G25" s="136"/>
      <c r="H25" s="135"/>
      <c r="I25" s="122"/>
      <c r="J25" s="128"/>
      <c r="K25" s="128"/>
    </row>
    <row r="26" customFormat="false" ht="12.75" hidden="false" customHeight="false" outlineLevel="0" collapsed="false">
      <c r="A26" s="121" t="n">
        <v>36892</v>
      </c>
      <c r="B26" s="122"/>
      <c r="C26" s="123" t="s">
        <v>98</v>
      </c>
      <c r="D26" s="124" t="n">
        <v>3.74</v>
      </c>
      <c r="E26" s="122"/>
      <c r="F26" s="125" t="n">
        <f aca="false">5000*31</f>
        <v>155000</v>
      </c>
      <c r="G26" s="124"/>
      <c r="H26" s="124" t="n">
        <f aca="false">+'[2]ELpaso SJ &amp; Prm'!$F33</f>
        <v>6.679</v>
      </c>
      <c r="I26" s="126" t="n">
        <f aca="false">(+D26-H26)*F26</f>
        <v>-455545</v>
      </c>
      <c r="J26" s="127"/>
      <c r="K26" s="127" t="n">
        <f aca="false">+I26</f>
        <v>-455545</v>
      </c>
    </row>
    <row r="27" customFormat="false" ht="12.75" hidden="false" customHeight="false" outlineLevel="0" collapsed="false">
      <c r="A27" s="121" t="n">
        <v>36923</v>
      </c>
      <c r="B27" s="122"/>
      <c r="C27" s="123" t="s">
        <v>98</v>
      </c>
      <c r="D27" s="124" t="n">
        <v>3.74</v>
      </c>
      <c r="E27" s="122"/>
      <c r="F27" s="125" t="n">
        <f aca="false">5000*28</f>
        <v>140000</v>
      </c>
      <c r="G27" s="124"/>
      <c r="H27" s="124" t="n">
        <f aca="false">+'[2]ELpaso SJ &amp; Prm'!$F34</f>
        <v>6.503</v>
      </c>
      <c r="I27" s="126" t="n">
        <f aca="false">(+D27-H27)*F27</f>
        <v>-386820</v>
      </c>
      <c r="J27" s="127"/>
      <c r="K27" s="127" t="n">
        <f aca="false">+I27</f>
        <v>-386820</v>
      </c>
    </row>
    <row r="28" customFormat="false" ht="12.75" hidden="false" customHeight="false" outlineLevel="0" collapsed="false">
      <c r="A28" s="121" t="n">
        <v>36951</v>
      </c>
      <c r="B28" s="122"/>
      <c r="C28" s="123" t="s">
        <v>98</v>
      </c>
      <c r="D28" s="124" t="n">
        <v>3.74</v>
      </c>
      <c r="E28" s="122"/>
      <c r="F28" s="125" t="n">
        <f aca="false">5000*31</f>
        <v>155000</v>
      </c>
      <c r="G28" s="124"/>
      <c r="H28" s="124" t="n">
        <f aca="false">+'[2]ELpaso SJ &amp; Prm'!$F35</f>
        <v>5.881</v>
      </c>
      <c r="I28" s="126" t="n">
        <f aca="false">(+D28-H28)*F28</f>
        <v>-331855</v>
      </c>
      <c r="J28" s="127"/>
      <c r="K28" s="127" t="n">
        <f aca="false">+I28</f>
        <v>-331855</v>
      </c>
    </row>
    <row r="29" customFormat="false" ht="12.75" hidden="false" customHeight="false" outlineLevel="0" collapsed="false">
      <c r="A29" s="121" t="n">
        <v>36982</v>
      </c>
      <c r="B29" s="122"/>
      <c r="C29" s="123" t="s">
        <v>98</v>
      </c>
      <c r="D29" s="124" t="n">
        <v>3.74</v>
      </c>
      <c r="E29" s="122"/>
      <c r="F29" s="125" t="n">
        <f aca="false">5000*30</f>
        <v>150000</v>
      </c>
      <c r="G29" s="124"/>
      <c r="H29" s="124" t="n">
        <f aca="false">+'[2]ELpaso SJ &amp; Prm'!$F36</f>
        <v>5.145</v>
      </c>
      <c r="I29" s="126" t="n">
        <f aca="false">(+D29-H29)*F29</f>
        <v>-210750</v>
      </c>
      <c r="J29" s="127"/>
      <c r="K29" s="127" t="n">
        <f aca="false">+I29</f>
        <v>-210750</v>
      </c>
    </row>
    <row r="30" customFormat="false" ht="12.75" hidden="false" customHeight="false" outlineLevel="0" collapsed="false">
      <c r="A30" s="121" t="n">
        <v>37012</v>
      </c>
      <c r="B30" s="122"/>
      <c r="C30" s="123" t="s">
        <v>98</v>
      </c>
      <c r="D30" s="124" t="n">
        <v>3.74</v>
      </c>
      <c r="E30" s="122"/>
      <c r="F30" s="125" t="n">
        <f aca="false">5000*31</f>
        <v>155000</v>
      </c>
      <c r="G30" s="122"/>
      <c r="H30" s="124" t="n">
        <f aca="false">+'[2]ELpaso SJ &amp; Prm'!$F37</f>
        <v>4.86</v>
      </c>
      <c r="I30" s="126" t="n">
        <f aca="false">(+D30-H30)*F30</f>
        <v>-173600</v>
      </c>
      <c r="J30" s="128"/>
      <c r="K30" s="127" t="n">
        <f aca="false">+I30</f>
        <v>-173600</v>
      </c>
    </row>
    <row r="31" customFormat="false" ht="12.75" hidden="false" customHeight="false" outlineLevel="0" collapsed="false">
      <c r="A31" s="121" t="n">
        <v>37043</v>
      </c>
      <c r="B31" s="122"/>
      <c r="C31" s="123" t="s">
        <v>98</v>
      </c>
      <c r="D31" s="124" t="n">
        <v>3.74</v>
      </c>
      <c r="E31" s="122"/>
      <c r="F31" s="125" t="n">
        <f aca="false">5000*30</f>
        <v>150000</v>
      </c>
      <c r="G31" s="122"/>
      <c r="H31" s="124" t="n">
        <f aca="false">+'[2]ELpaso SJ &amp; Prm'!$F38</f>
        <v>4.845</v>
      </c>
      <c r="I31" s="126" t="n">
        <f aca="false">(+D31-H31)*F31</f>
        <v>-165750</v>
      </c>
      <c r="J31" s="128"/>
      <c r="K31" s="127" t="n">
        <f aca="false">+I31</f>
        <v>-165750</v>
      </c>
    </row>
    <row r="32" customFormat="false" ht="12.75" hidden="false" customHeight="false" outlineLevel="0" collapsed="false">
      <c r="A32" s="121" t="n">
        <v>37073</v>
      </c>
      <c r="B32" s="122"/>
      <c r="C32" s="123" t="s">
        <v>98</v>
      </c>
      <c r="D32" s="124" t="n">
        <v>3.74</v>
      </c>
      <c r="E32" s="122"/>
      <c r="F32" s="125" t="n">
        <f aca="false">5000*31</f>
        <v>155000</v>
      </c>
      <c r="G32" s="122"/>
      <c r="H32" s="124" t="n">
        <f aca="false">+'[2]ELpaso SJ &amp; Prm'!$F39</f>
        <v>4.895</v>
      </c>
      <c r="I32" s="126" t="n">
        <f aca="false">(+D32-H32)*F32</f>
        <v>-179025</v>
      </c>
      <c r="J32" s="128"/>
      <c r="K32" s="127" t="n">
        <f aca="false">+I32</f>
        <v>-179025</v>
      </c>
    </row>
    <row r="33" customFormat="false" ht="12.75" hidden="false" customHeight="false" outlineLevel="0" collapsed="false">
      <c r="A33" s="121" t="n">
        <v>37104</v>
      </c>
      <c r="B33" s="122"/>
      <c r="C33" s="123" t="s">
        <v>98</v>
      </c>
      <c r="D33" s="124" t="n">
        <v>3.74</v>
      </c>
      <c r="E33" s="122"/>
      <c r="F33" s="125" t="n">
        <f aca="false">5000*31</f>
        <v>155000</v>
      </c>
      <c r="G33" s="122"/>
      <c r="H33" s="124" t="n">
        <f aca="false">+'[2]ELpaso SJ &amp; Prm'!$F40</f>
        <v>4.885</v>
      </c>
      <c r="I33" s="126" t="n">
        <f aca="false">(+D33-H33)*F33</f>
        <v>-177475</v>
      </c>
      <c r="J33" s="128"/>
      <c r="K33" s="127" t="n">
        <f aca="false">+I33</f>
        <v>-177475</v>
      </c>
    </row>
    <row r="34" customFormat="false" ht="12.75" hidden="false" customHeight="false" outlineLevel="0" collapsed="false">
      <c r="A34" s="121" t="n">
        <v>37135</v>
      </c>
      <c r="B34" s="122"/>
      <c r="C34" s="123" t="s">
        <v>98</v>
      </c>
      <c r="D34" s="124" t="n">
        <v>3.74</v>
      </c>
      <c r="E34" s="122"/>
      <c r="F34" s="125" t="n">
        <f aca="false">5000*30</f>
        <v>150000</v>
      </c>
      <c r="G34" s="122"/>
      <c r="H34" s="124" t="n">
        <f aca="false">+'[2]ELpaso SJ &amp; Prm'!$F41</f>
        <v>4.87</v>
      </c>
      <c r="I34" s="126" t="n">
        <f aca="false">(+D34-H34)*F34</f>
        <v>-169500</v>
      </c>
      <c r="J34" s="128"/>
      <c r="K34" s="127" t="n">
        <f aca="false">+I34</f>
        <v>-169500</v>
      </c>
    </row>
    <row r="35" customFormat="false" ht="12.75" hidden="false" customHeight="false" outlineLevel="0" collapsed="false">
      <c r="A35" s="121" t="n">
        <v>37165</v>
      </c>
      <c r="B35" s="122"/>
      <c r="C35" s="123" t="s">
        <v>98</v>
      </c>
      <c r="D35" s="124" t="n">
        <v>3.74</v>
      </c>
      <c r="E35" s="122"/>
      <c r="F35" s="125" t="n">
        <f aca="false">5000*31</f>
        <v>155000</v>
      </c>
      <c r="G35" s="122"/>
      <c r="H35" s="124" t="n">
        <f aca="false">+'[2]ELpaso SJ &amp; Prm'!$F42</f>
        <v>4.81</v>
      </c>
      <c r="I35" s="126" t="n">
        <f aca="false">(+D35-H35)*F35</f>
        <v>-165850</v>
      </c>
      <c r="J35" s="128"/>
      <c r="K35" s="127" t="n">
        <f aca="false">+I35</f>
        <v>-165850</v>
      </c>
    </row>
    <row r="36" customFormat="false" ht="12.75" hidden="false" customHeight="false" outlineLevel="0" collapsed="false">
      <c r="A36" s="121" t="n">
        <v>37196</v>
      </c>
      <c r="B36" s="122"/>
      <c r="C36" s="123" t="s">
        <v>98</v>
      </c>
      <c r="D36" s="124" t="n">
        <v>3.74</v>
      </c>
      <c r="E36" s="122"/>
      <c r="F36" s="125" t="n">
        <f aca="false">5000*30</f>
        <v>150000</v>
      </c>
      <c r="G36" s="122"/>
      <c r="H36" s="124" t="n">
        <f aca="false">+'[2]ELpaso SJ &amp; Prm'!$F43</f>
        <v>4.875</v>
      </c>
      <c r="I36" s="126" t="n">
        <f aca="false">(+D36-H36)*F36</f>
        <v>-170250</v>
      </c>
      <c r="J36" s="128"/>
      <c r="K36" s="127" t="n">
        <f aca="false">+I36</f>
        <v>-170250</v>
      </c>
    </row>
    <row r="37" customFormat="false" ht="12.75" hidden="false" customHeight="false" outlineLevel="0" collapsed="false">
      <c r="A37" s="121" t="n">
        <v>37226</v>
      </c>
      <c r="B37" s="122"/>
      <c r="C37" s="123" t="s">
        <v>98</v>
      </c>
      <c r="D37" s="124" t="n">
        <v>3.74</v>
      </c>
      <c r="E37" s="122"/>
      <c r="F37" s="125" t="n">
        <f aca="false">5000*31</f>
        <v>155000</v>
      </c>
      <c r="G37" s="122"/>
      <c r="H37" s="124" t="n">
        <f aca="false">+'[2]ELpaso SJ &amp; Prm'!$F44</f>
        <v>4.95</v>
      </c>
      <c r="I37" s="126" t="n">
        <f aca="false">(+D37-H37)*F37</f>
        <v>-187550</v>
      </c>
      <c r="J37" s="128"/>
      <c r="K37" s="127" t="n">
        <f aca="false">+I37</f>
        <v>-187550</v>
      </c>
    </row>
    <row r="38" customFormat="false" ht="12.75" hidden="false" customHeight="false" outlineLevel="0" collapsed="false">
      <c r="A38" s="121"/>
      <c r="B38" s="122"/>
      <c r="C38" s="123"/>
      <c r="D38" s="124"/>
      <c r="E38" s="122"/>
      <c r="F38" s="125"/>
      <c r="G38" s="122"/>
      <c r="H38" s="124"/>
      <c r="I38" s="137"/>
      <c r="J38" s="128"/>
      <c r="K38" s="127"/>
    </row>
    <row r="39" customFormat="false" ht="12.75" hidden="false" customHeight="false" outlineLevel="0" collapsed="false">
      <c r="A39" s="122"/>
      <c r="B39" s="122"/>
      <c r="C39" s="122"/>
      <c r="D39" s="122"/>
      <c r="E39" s="122"/>
      <c r="F39" s="129" t="n">
        <f aca="false">SUM(F26:F38)</f>
        <v>1825000</v>
      </c>
      <c r="G39" s="122"/>
      <c r="H39" s="122"/>
      <c r="I39" s="138" t="n">
        <f aca="false">SUM(I26:I38)</f>
        <v>-2773970</v>
      </c>
      <c r="J39" s="138" t="n">
        <f aca="false">SUM(J26:J38)</f>
        <v>0</v>
      </c>
      <c r="K39" s="138" t="n">
        <f aca="false">SUM(K26:K38)</f>
        <v>-2773970</v>
      </c>
    </row>
    <row r="40" customFormat="false" ht="12.75" hidden="false" customHeight="false" outlineLevel="0" collapsed="false">
      <c r="A40" s="122"/>
      <c r="B40" s="122"/>
      <c r="C40" s="122"/>
      <c r="D40" s="122"/>
      <c r="E40" s="122"/>
      <c r="F40" s="122"/>
      <c r="G40" s="122"/>
      <c r="H40" s="122"/>
      <c r="I40" s="122"/>
      <c r="J40" s="128"/>
      <c r="K40" s="128"/>
    </row>
    <row r="41" customFormat="false" ht="13.5" hidden="false" customHeight="false" outlineLevel="0" collapsed="false">
      <c r="A41" s="122"/>
      <c r="B41" s="122"/>
      <c r="C41" s="122"/>
      <c r="D41" s="122"/>
      <c r="E41" s="122"/>
      <c r="F41" s="139" t="n">
        <f aca="false">+F39+F22</f>
        <v>0</v>
      </c>
      <c r="G41" s="122"/>
      <c r="H41" s="122"/>
      <c r="I41" s="140" t="n">
        <f aca="false">+I39+I22</f>
        <v>0</v>
      </c>
      <c r="J41" s="140" t="n">
        <f aca="false">+J39+J22</f>
        <v>0</v>
      </c>
      <c r="K41" s="140" t="n">
        <f aca="false">+K39+K22</f>
        <v>0</v>
      </c>
    </row>
    <row r="42" customFormat="false" ht="13.5" hidden="false" customHeight="false" outlineLevel="0" collapsed="false">
      <c r="A42" s="141"/>
      <c r="B42" s="141"/>
      <c r="C42" s="141"/>
      <c r="D42" s="141"/>
      <c r="E42" s="141"/>
      <c r="F42" s="141"/>
      <c r="G42" s="141"/>
      <c r="H42" s="141"/>
      <c r="I42" s="141"/>
      <c r="J42" s="142"/>
      <c r="K42" s="142"/>
    </row>
    <row r="44" customFormat="false" ht="12.75" hidden="false" customHeight="false" outlineLevel="0" collapsed="false">
      <c r="A44" s="105" t="s">
        <v>99</v>
      </c>
    </row>
  </sheetData>
  <mergeCells count="4">
    <mergeCell ref="A1:K1"/>
    <mergeCell ref="A2:K2"/>
    <mergeCell ref="A3:K3"/>
    <mergeCell ref="I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0.71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4.28"/>
    <col collapsed="false" customWidth="true" hidden="false" outlineLevel="0" max="8" min="8" style="0" width="10.71"/>
    <col collapsed="false" customWidth="true" hidden="false" outlineLevel="0" max="9" min="9" style="0" width="14.99"/>
    <col collapsed="false" customWidth="true" hidden="false" outlineLevel="0" max="10" min="10" style="0" width="13.41"/>
    <col collapsed="false" customWidth="true" hidden="false" outlineLevel="0" max="11" min="11" style="0" width="14.99"/>
  </cols>
  <sheetData>
    <row r="1" customFormat="false" ht="15" hidden="false" customHeight="false" outlineLevel="0" collapsed="false">
      <c r="A1" s="107" t="s">
        <v>86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customFormat="false" ht="15" hidden="false" customHeight="false" outlineLevel="0" collapsed="false">
      <c r="A2" s="107" t="s">
        <v>87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customFormat="false" ht="15.75" hidden="false" customHeight="false" outlineLevel="0" collapsed="false">
      <c r="A3" s="107" t="s">
        <v>107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4" customFormat="false" ht="15.75" hidden="false" customHeight="false" outlineLevel="0" collapsed="false">
      <c r="A4" s="108"/>
      <c r="B4" s="108"/>
      <c r="C4" s="108"/>
      <c r="D4" s="108"/>
      <c r="E4" s="108"/>
      <c r="F4" s="108"/>
      <c r="G4" s="108"/>
      <c r="H4" s="108"/>
      <c r="I4" s="108"/>
      <c r="J4" s="109"/>
      <c r="K4" s="109"/>
    </row>
    <row r="6" customFormat="false" ht="12.75" hidden="false" customHeight="false" outlineLevel="0" collapsed="false">
      <c r="A6" s="110" t="s">
        <v>89</v>
      </c>
      <c r="B6" s="111" t="s">
        <v>8</v>
      </c>
      <c r="C6" s="111" t="s">
        <v>8</v>
      </c>
      <c r="D6" s="111" t="s">
        <v>90</v>
      </c>
      <c r="E6" s="111"/>
      <c r="F6" s="111" t="s">
        <v>91</v>
      </c>
      <c r="G6" s="111" t="s">
        <v>68</v>
      </c>
      <c r="H6" s="111" t="s">
        <v>105</v>
      </c>
      <c r="I6" s="112" t="s">
        <v>93</v>
      </c>
      <c r="J6" s="112"/>
      <c r="K6" s="112"/>
    </row>
    <row r="7" customFormat="false" ht="12.75" hidden="false" customHeight="false" outlineLevel="0" collapsed="false">
      <c r="A7" s="113" t="s">
        <v>22</v>
      </c>
      <c r="B7" s="114" t="s">
        <v>18</v>
      </c>
      <c r="C7" s="114" t="s">
        <v>17</v>
      </c>
      <c r="D7" s="114" t="s">
        <v>23</v>
      </c>
      <c r="E7" s="114"/>
      <c r="F7" s="114" t="s">
        <v>94</v>
      </c>
      <c r="G7" s="114" t="s">
        <v>23</v>
      </c>
      <c r="H7" s="114" t="s">
        <v>23</v>
      </c>
      <c r="I7" s="114" t="s">
        <v>30</v>
      </c>
      <c r="J7" s="114" t="s">
        <v>31</v>
      </c>
      <c r="K7" s="115" t="s">
        <v>32</v>
      </c>
    </row>
    <row r="8" customFormat="false" ht="12.75" hidden="false" customHeight="false" outlineLevel="0" collapsed="false">
      <c r="A8" s="116"/>
      <c r="B8" s="117"/>
      <c r="C8" s="117"/>
      <c r="D8" s="117"/>
      <c r="E8" s="117"/>
      <c r="F8" s="117"/>
      <c r="G8" s="118" t="s">
        <v>95</v>
      </c>
      <c r="H8" s="119"/>
      <c r="I8" s="119" t="s">
        <v>96</v>
      </c>
      <c r="J8" s="119" t="s">
        <v>96</v>
      </c>
      <c r="K8" s="120" t="s">
        <v>96</v>
      </c>
    </row>
    <row r="9" customFormat="false" ht="12.75" hidden="false" customHeight="false" outlineLevel="0" collapsed="false">
      <c r="A9" s="121" t="n">
        <v>36892</v>
      </c>
      <c r="B9" s="122"/>
      <c r="C9" s="123" t="s">
        <v>59</v>
      </c>
      <c r="D9" s="124" t="n">
        <v>3.63</v>
      </c>
      <c r="E9" s="122"/>
      <c r="F9" s="125" t="n">
        <f aca="false">-5000*31</f>
        <v>-155000</v>
      </c>
      <c r="G9" s="124"/>
      <c r="H9" s="124" t="n">
        <f aca="false">+'[2]ELpaso SJ &amp; Prm'!$F33</f>
        <v>6.679</v>
      </c>
      <c r="I9" s="126" t="n">
        <f aca="false">SUM(D9-H9)*F9</f>
        <v>472595</v>
      </c>
      <c r="J9" s="127"/>
      <c r="K9" s="127" t="n">
        <f aca="false">+I9</f>
        <v>472595</v>
      </c>
    </row>
    <row r="10" customFormat="false" ht="12.75" hidden="false" customHeight="false" outlineLevel="0" collapsed="false">
      <c r="A10" s="121" t="n">
        <v>36923</v>
      </c>
      <c r="B10" s="122"/>
      <c r="C10" s="123" t="s">
        <v>59</v>
      </c>
      <c r="D10" s="124" t="n">
        <v>3.63</v>
      </c>
      <c r="E10" s="122"/>
      <c r="F10" s="125" t="n">
        <f aca="false">-5000*28</f>
        <v>-140000</v>
      </c>
      <c r="G10" s="124"/>
      <c r="H10" s="124" t="n">
        <f aca="false">+'[2]ELpaso SJ &amp; Prm'!$F34</f>
        <v>6.503</v>
      </c>
      <c r="I10" s="126" t="n">
        <f aca="false">SUM(D10-H10)*F10</f>
        <v>402220</v>
      </c>
      <c r="J10" s="127"/>
      <c r="K10" s="127" t="n">
        <f aca="false">+I10</f>
        <v>402220</v>
      </c>
    </row>
    <row r="11" customFormat="false" ht="12.75" hidden="false" customHeight="false" outlineLevel="0" collapsed="false">
      <c r="A11" s="121" t="n">
        <v>36951</v>
      </c>
      <c r="B11" s="122"/>
      <c r="C11" s="123" t="s">
        <v>59</v>
      </c>
      <c r="D11" s="124" t="n">
        <v>3.63</v>
      </c>
      <c r="E11" s="122"/>
      <c r="F11" s="125" t="n">
        <f aca="false">-5000*31</f>
        <v>-155000</v>
      </c>
      <c r="G11" s="124"/>
      <c r="H11" s="124" t="n">
        <f aca="false">+'[2]ELpaso SJ &amp; Prm'!$F35</f>
        <v>5.881</v>
      </c>
      <c r="I11" s="126" t="n">
        <f aca="false">SUM(D11-H11)*F11</f>
        <v>348905</v>
      </c>
      <c r="J11" s="127"/>
      <c r="K11" s="127" t="n">
        <f aca="false">+I11</f>
        <v>348905</v>
      </c>
    </row>
    <row r="12" customFormat="false" ht="12.75" hidden="false" customHeight="false" outlineLevel="0" collapsed="false">
      <c r="A12" s="121" t="n">
        <v>36982</v>
      </c>
      <c r="B12" s="122"/>
      <c r="C12" s="123" t="s">
        <v>59</v>
      </c>
      <c r="D12" s="124" t="n">
        <v>3.63</v>
      </c>
      <c r="E12" s="122"/>
      <c r="F12" s="125" t="n">
        <f aca="false">-5000*30</f>
        <v>-150000</v>
      </c>
      <c r="G12" s="124"/>
      <c r="H12" s="124" t="n">
        <f aca="false">+'[2]ELpaso SJ &amp; Prm'!$F36</f>
        <v>5.145</v>
      </c>
      <c r="I12" s="126" t="n">
        <f aca="false">SUM(D12-H12)*F12</f>
        <v>227250</v>
      </c>
      <c r="J12" s="127"/>
      <c r="K12" s="127" t="n">
        <f aca="false">+I12</f>
        <v>227250</v>
      </c>
    </row>
    <row r="13" customFormat="false" ht="12.75" hidden="false" customHeight="false" outlineLevel="0" collapsed="false">
      <c r="A13" s="121" t="n">
        <v>37012</v>
      </c>
      <c r="B13" s="122"/>
      <c r="C13" s="123" t="s">
        <v>59</v>
      </c>
      <c r="D13" s="124" t="n">
        <v>3.63</v>
      </c>
      <c r="E13" s="122"/>
      <c r="F13" s="125" t="n">
        <f aca="false">-5000*31</f>
        <v>-155000</v>
      </c>
      <c r="G13" s="122"/>
      <c r="H13" s="124" t="n">
        <f aca="false">+'[2]ELpaso SJ &amp; Prm'!$F37</f>
        <v>4.86</v>
      </c>
      <c r="I13" s="126" t="n">
        <f aca="false">SUM(D13-H13)*F13</f>
        <v>190650</v>
      </c>
      <c r="J13" s="128"/>
      <c r="K13" s="127" t="n">
        <f aca="false">+I13</f>
        <v>190650</v>
      </c>
    </row>
    <row r="14" customFormat="false" ht="12.75" hidden="false" customHeight="false" outlineLevel="0" collapsed="false">
      <c r="A14" s="121" t="n">
        <v>37043</v>
      </c>
      <c r="B14" s="122"/>
      <c r="C14" s="123" t="s">
        <v>59</v>
      </c>
      <c r="D14" s="124" t="n">
        <v>3.63</v>
      </c>
      <c r="E14" s="122"/>
      <c r="F14" s="125" t="n">
        <f aca="false">-5000*30</f>
        <v>-150000</v>
      </c>
      <c r="G14" s="122"/>
      <c r="H14" s="124" t="n">
        <f aca="false">+'[2]ELpaso SJ &amp; Prm'!$F38</f>
        <v>4.845</v>
      </c>
      <c r="I14" s="126" t="n">
        <f aca="false">SUM(D14-H14)*F14</f>
        <v>182250</v>
      </c>
      <c r="J14" s="128"/>
      <c r="K14" s="127" t="n">
        <f aca="false">+I14</f>
        <v>182250</v>
      </c>
    </row>
    <row r="15" customFormat="false" ht="12.75" hidden="false" customHeight="false" outlineLevel="0" collapsed="false">
      <c r="A15" s="121" t="n">
        <v>37073</v>
      </c>
      <c r="B15" s="122"/>
      <c r="C15" s="123" t="s">
        <v>59</v>
      </c>
      <c r="D15" s="124" t="n">
        <v>3.63</v>
      </c>
      <c r="E15" s="122"/>
      <c r="F15" s="125" t="n">
        <f aca="false">-5000*31</f>
        <v>-155000</v>
      </c>
      <c r="G15" s="122"/>
      <c r="H15" s="124" t="n">
        <f aca="false">+'[2]ELpaso SJ &amp; Prm'!$F39</f>
        <v>4.895</v>
      </c>
      <c r="I15" s="126" t="n">
        <f aca="false">SUM(D15-H15)*F15</f>
        <v>196075</v>
      </c>
      <c r="J15" s="128"/>
      <c r="K15" s="127" t="n">
        <f aca="false">+I15</f>
        <v>196075</v>
      </c>
    </row>
    <row r="16" customFormat="false" ht="12.75" hidden="false" customHeight="false" outlineLevel="0" collapsed="false">
      <c r="A16" s="121" t="n">
        <v>37104</v>
      </c>
      <c r="B16" s="122"/>
      <c r="C16" s="123" t="s">
        <v>59</v>
      </c>
      <c r="D16" s="124" t="n">
        <v>3.63</v>
      </c>
      <c r="E16" s="122"/>
      <c r="F16" s="125" t="n">
        <f aca="false">-5000*31</f>
        <v>-155000</v>
      </c>
      <c r="G16" s="122"/>
      <c r="H16" s="124" t="n">
        <f aca="false">+'[2]ELpaso SJ &amp; Prm'!$F40</f>
        <v>4.885</v>
      </c>
      <c r="I16" s="126" t="n">
        <f aca="false">SUM(D16-H16)*F16</f>
        <v>194525</v>
      </c>
      <c r="J16" s="128"/>
      <c r="K16" s="127" t="n">
        <f aca="false">+I16</f>
        <v>194525</v>
      </c>
    </row>
    <row r="17" customFormat="false" ht="12.75" hidden="false" customHeight="false" outlineLevel="0" collapsed="false">
      <c r="A17" s="121" t="n">
        <v>37135</v>
      </c>
      <c r="B17" s="122"/>
      <c r="C17" s="123" t="s">
        <v>59</v>
      </c>
      <c r="D17" s="124" t="n">
        <v>3.63</v>
      </c>
      <c r="E17" s="122"/>
      <c r="F17" s="125" t="n">
        <f aca="false">-5000*30</f>
        <v>-150000</v>
      </c>
      <c r="G17" s="122"/>
      <c r="H17" s="124" t="n">
        <f aca="false">+'[2]ELpaso SJ &amp; Prm'!$F41</f>
        <v>4.87</v>
      </c>
      <c r="I17" s="126" t="n">
        <f aca="false">SUM(D17-H17)*F17</f>
        <v>186000</v>
      </c>
      <c r="J17" s="128"/>
      <c r="K17" s="127" t="n">
        <f aca="false">+I17</f>
        <v>186000</v>
      </c>
    </row>
    <row r="18" customFormat="false" ht="12.75" hidden="false" customHeight="false" outlineLevel="0" collapsed="false">
      <c r="A18" s="121" t="n">
        <v>37165</v>
      </c>
      <c r="B18" s="122"/>
      <c r="C18" s="123" t="s">
        <v>59</v>
      </c>
      <c r="D18" s="124" t="n">
        <v>3.63</v>
      </c>
      <c r="E18" s="122"/>
      <c r="F18" s="125" t="n">
        <f aca="false">-5000*31</f>
        <v>-155000</v>
      </c>
      <c r="G18" s="122"/>
      <c r="H18" s="124" t="n">
        <f aca="false">+'[2]ELpaso SJ &amp; Prm'!$F42</f>
        <v>4.81</v>
      </c>
      <c r="I18" s="126" t="n">
        <f aca="false">SUM(D18-H18)*F18</f>
        <v>182900</v>
      </c>
      <c r="J18" s="128"/>
      <c r="K18" s="127" t="n">
        <f aca="false">+I18</f>
        <v>182900</v>
      </c>
    </row>
    <row r="19" customFormat="false" ht="12.75" hidden="false" customHeight="false" outlineLevel="0" collapsed="false">
      <c r="A19" s="121" t="n">
        <v>37196</v>
      </c>
      <c r="B19" s="122"/>
      <c r="C19" s="123" t="s">
        <v>59</v>
      </c>
      <c r="D19" s="124" t="n">
        <v>3.63</v>
      </c>
      <c r="E19" s="122"/>
      <c r="F19" s="125" t="n">
        <f aca="false">-5000*30</f>
        <v>-150000</v>
      </c>
      <c r="G19" s="122"/>
      <c r="H19" s="124" t="n">
        <f aca="false">+'[2]ELpaso SJ &amp; Prm'!$F43</f>
        <v>4.875</v>
      </c>
      <c r="I19" s="126" t="n">
        <f aca="false">SUM(D19-H19)*F19</f>
        <v>186750</v>
      </c>
      <c r="J19" s="128"/>
      <c r="K19" s="127" t="n">
        <f aca="false">+I19</f>
        <v>186750</v>
      </c>
    </row>
    <row r="20" customFormat="false" ht="12.75" hidden="false" customHeight="false" outlineLevel="0" collapsed="false">
      <c r="A20" s="121" t="n">
        <v>37226</v>
      </c>
      <c r="B20" s="122"/>
      <c r="C20" s="123" t="s">
        <v>59</v>
      </c>
      <c r="D20" s="124" t="n">
        <v>3.63</v>
      </c>
      <c r="E20" s="122"/>
      <c r="F20" s="125" t="n">
        <f aca="false">-5000*31</f>
        <v>-155000</v>
      </c>
      <c r="G20" s="122"/>
      <c r="H20" s="124" t="n">
        <f aca="false">+'[2]ELpaso SJ &amp; Prm'!$F44</f>
        <v>4.95</v>
      </c>
      <c r="I20" s="126" t="n">
        <f aca="false">SUM(D20-H20)*F20</f>
        <v>204600</v>
      </c>
      <c r="J20" s="128"/>
      <c r="K20" s="127" t="n">
        <f aca="false">+I20</f>
        <v>204600</v>
      </c>
    </row>
    <row r="21" customFormat="false" ht="12.75" hidden="false" customHeight="false" outlineLevel="0" collapsed="false">
      <c r="A21" s="121"/>
      <c r="B21" s="122"/>
      <c r="C21" s="123"/>
      <c r="D21" s="124"/>
      <c r="E21" s="122"/>
      <c r="F21" s="125"/>
      <c r="G21" s="122"/>
      <c r="H21" s="124"/>
      <c r="I21" s="126"/>
      <c r="J21" s="128"/>
      <c r="K21" s="127"/>
    </row>
    <row r="22" customFormat="false" ht="12.75" hidden="false" customHeight="false" outlineLevel="0" collapsed="false">
      <c r="A22" s="122"/>
      <c r="B22" s="122"/>
      <c r="C22" s="122"/>
      <c r="D22" s="122"/>
      <c r="E22" s="122"/>
      <c r="F22" s="129" t="n">
        <f aca="false">SUM(F9:F20)</f>
        <v>-1825000</v>
      </c>
      <c r="G22" s="122"/>
      <c r="H22" s="122"/>
      <c r="I22" s="130" t="n">
        <f aca="false">SUM(I9:I20)</f>
        <v>2974720</v>
      </c>
      <c r="J22" s="130" t="n">
        <f aca="false">SUM(J9:J20)</f>
        <v>0</v>
      </c>
      <c r="K22" s="130" t="n">
        <f aca="false">SUM(K9:K20)</f>
        <v>2974720</v>
      </c>
    </row>
    <row r="23" customFormat="false" ht="12.75" hidden="false" customHeight="false" outlineLevel="0" collapsed="false">
      <c r="A23" s="122"/>
      <c r="B23" s="122"/>
      <c r="C23" s="122"/>
      <c r="D23" s="122"/>
      <c r="E23" s="122"/>
      <c r="F23" s="131"/>
      <c r="G23" s="122"/>
      <c r="H23" s="122"/>
      <c r="I23" s="132"/>
      <c r="J23" s="133"/>
      <c r="K23" s="133"/>
    </row>
    <row r="24" customFormat="false" ht="12.75" hidden="false" customHeight="false" outlineLevel="0" collapsed="false">
      <c r="A24" s="122"/>
      <c r="B24" s="122"/>
      <c r="C24" s="122"/>
      <c r="D24" s="122"/>
      <c r="E24" s="122"/>
      <c r="F24" s="122"/>
      <c r="G24" s="134" t="s">
        <v>95</v>
      </c>
      <c r="H24" s="135"/>
      <c r="I24" s="122"/>
      <c r="J24" s="128"/>
      <c r="K24" s="128"/>
    </row>
    <row r="25" customFormat="false" ht="12.75" hidden="false" customHeight="false" outlineLevel="0" collapsed="false">
      <c r="A25" s="122"/>
      <c r="B25" s="122"/>
      <c r="C25" s="122"/>
      <c r="D25" s="124"/>
      <c r="E25" s="122"/>
      <c r="F25" s="122"/>
      <c r="G25" s="136"/>
      <c r="H25" s="135"/>
      <c r="I25" s="122"/>
      <c r="J25" s="128"/>
      <c r="K25" s="128"/>
    </row>
    <row r="26" customFormat="false" ht="12.75" hidden="false" customHeight="false" outlineLevel="0" collapsed="false">
      <c r="A26" s="121" t="n">
        <v>36892</v>
      </c>
      <c r="B26" s="122"/>
      <c r="C26" s="123" t="s">
        <v>98</v>
      </c>
      <c r="D26" s="124" t="n">
        <v>3.63</v>
      </c>
      <c r="E26" s="122"/>
      <c r="F26" s="125" t="n">
        <f aca="false">5000*31</f>
        <v>155000</v>
      </c>
      <c r="G26" s="124"/>
      <c r="H26" s="124" t="n">
        <f aca="false">+'[2]ELpaso SJ &amp; Prm'!$F33</f>
        <v>6.679</v>
      </c>
      <c r="I26" s="126" t="n">
        <f aca="false">(+D26-H26)*F26</f>
        <v>-472595</v>
      </c>
      <c r="J26" s="127"/>
      <c r="K26" s="127" t="n">
        <f aca="false">+I26</f>
        <v>-472595</v>
      </c>
    </row>
    <row r="27" customFormat="false" ht="12.75" hidden="false" customHeight="false" outlineLevel="0" collapsed="false">
      <c r="A27" s="121" t="n">
        <v>36923</v>
      </c>
      <c r="B27" s="122"/>
      <c r="C27" s="123" t="s">
        <v>98</v>
      </c>
      <c r="D27" s="124" t="n">
        <v>3.63</v>
      </c>
      <c r="E27" s="122"/>
      <c r="F27" s="125" t="n">
        <f aca="false">5000*28</f>
        <v>140000</v>
      </c>
      <c r="G27" s="124"/>
      <c r="H27" s="124" t="n">
        <f aca="false">+'[2]ELpaso SJ &amp; Prm'!$F34</f>
        <v>6.503</v>
      </c>
      <c r="I27" s="126" t="n">
        <f aca="false">(+D27-H27)*F27</f>
        <v>-402220</v>
      </c>
      <c r="J27" s="127"/>
      <c r="K27" s="127" t="n">
        <f aca="false">+I27</f>
        <v>-402220</v>
      </c>
    </row>
    <row r="28" customFormat="false" ht="12.75" hidden="false" customHeight="false" outlineLevel="0" collapsed="false">
      <c r="A28" s="121" t="n">
        <v>36951</v>
      </c>
      <c r="B28" s="122"/>
      <c r="C28" s="123" t="s">
        <v>98</v>
      </c>
      <c r="D28" s="124" t="n">
        <v>3.63</v>
      </c>
      <c r="E28" s="122"/>
      <c r="F28" s="125" t="n">
        <f aca="false">5000*31</f>
        <v>155000</v>
      </c>
      <c r="G28" s="124"/>
      <c r="H28" s="124" t="n">
        <f aca="false">+'[2]ELpaso SJ &amp; Prm'!$F35</f>
        <v>5.881</v>
      </c>
      <c r="I28" s="126" t="n">
        <f aca="false">(+D28-H28)*F28</f>
        <v>-348905</v>
      </c>
      <c r="J28" s="127"/>
      <c r="K28" s="127" t="n">
        <f aca="false">+I28</f>
        <v>-348905</v>
      </c>
    </row>
    <row r="29" customFormat="false" ht="12.75" hidden="false" customHeight="false" outlineLevel="0" collapsed="false">
      <c r="A29" s="121" t="n">
        <v>36982</v>
      </c>
      <c r="B29" s="122"/>
      <c r="C29" s="123" t="s">
        <v>98</v>
      </c>
      <c r="D29" s="124" t="n">
        <v>3.63</v>
      </c>
      <c r="E29" s="122"/>
      <c r="F29" s="125" t="n">
        <f aca="false">5000*30</f>
        <v>150000</v>
      </c>
      <c r="G29" s="124"/>
      <c r="H29" s="124" t="n">
        <f aca="false">+'[2]ELpaso SJ &amp; Prm'!$F36</f>
        <v>5.145</v>
      </c>
      <c r="I29" s="126" t="n">
        <f aca="false">(+D29-H29)*F29</f>
        <v>-227250</v>
      </c>
      <c r="J29" s="127"/>
      <c r="K29" s="127" t="n">
        <f aca="false">+I29</f>
        <v>-227250</v>
      </c>
    </row>
    <row r="30" customFormat="false" ht="12.75" hidden="false" customHeight="false" outlineLevel="0" collapsed="false">
      <c r="A30" s="121" t="n">
        <v>37012</v>
      </c>
      <c r="B30" s="122"/>
      <c r="C30" s="123" t="s">
        <v>98</v>
      </c>
      <c r="D30" s="124" t="n">
        <v>3.63</v>
      </c>
      <c r="E30" s="122"/>
      <c r="F30" s="125" t="n">
        <f aca="false">5000*31</f>
        <v>155000</v>
      </c>
      <c r="G30" s="122"/>
      <c r="H30" s="124" t="n">
        <f aca="false">+'[2]ELpaso SJ &amp; Prm'!$F37</f>
        <v>4.86</v>
      </c>
      <c r="I30" s="126" t="n">
        <f aca="false">(+D30-H30)*F30</f>
        <v>-190650</v>
      </c>
      <c r="J30" s="128"/>
      <c r="K30" s="127" t="n">
        <f aca="false">+I30</f>
        <v>-190650</v>
      </c>
    </row>
    <row r="31" customFormat="false" ht="12.75" hidden="false" customHeight="false" outlineLevel="0" collapsed="false">
      <c r="A31" s="121" t="n">
        <v>37043</v>
      </c>
      <c r="B31" s="122"/>
      <c r="C31" s="123" t="s">
        <v>98</v>
      </c>
      <c r="D31" s="124" t="n">
        <v>3.63</v>
      </c>
      <c r="E31" s="122"/>
      <c r="F31" s="125" t="n">
        <f aca="false">5000*30</f>
        <v>150000</v>
      </c>
      <c r="G31" s="122"/>
      <c r="H31" s="124" t="n">
        <f aca="false">+'[2]ELpaso SJ &amp; Prm'!$F38</f>
        <v>4.845</v>
      </c>
      <c r="I31" s="126" t="n">
        <f aca="false">(+D31-H31)*F31</f>
        <v>-182250</v>
      </c>
      <c r="J31" s="128"/>
      <c r="K31" s="127" t="n">
        <f aca="false">+I31</f>
        <v>-182250</v>
      </c>
    </row>
    <row r="32" customFormat="false" ht="12.75" hidden="false" customHeight="false" outlineLevel="0" collapsed="false">
      <c r="A32" s="121" t="n">
        <v>37073</v>
      </c>
      <c r="B32" s="122"/>
      <c r="C32" s="123" t="s">
        <v>98</v>
      </c>
      <c r="D32" s="124" t="n">
        <v>3.63</v>
      </c>
      <c r="E32" s="122"/>
      <c r="F32" s="125" t="n">
        <f aca="false">5000*31</f>
        <v>155000</v>
      </c>
      <c r="G32" s="122"/>
      <c r="H32" s="124" t="n">
        <f aca="false">+'[2]ELpaso SJ &amp; Prm'!$F39</f>
        <v>4.895</v>
      </c>
      <c r="I32" s="126" t="n">
        <f aca="false">(+D32-H32)*F32</f>
        <v>-196075</v>
      </c>
      <c r="J32" s="128"/>
      <c r="K32" s="127" t="n">
        <f aca="false">+I32</f>
        <v>-196075</v>
      </c>
    </row>
    <row r="33" customFormat="false" ht="12.75" hidden="false" customHeight="false" outlineLevel="0" collapsed="false">
      <c r="A33" s="121" t="n">
        <v>37104</v>
      </c>
      <c r="B33" s="122"/>
      <c r="C33" s="123" t="s">
        <v>98</v>
      </c>
      <c r="D33" s="124" t="n">
        <v>3.63</v>
      </c>
      <c r="E33" s="122"/>
      <c r="F33" s="125" t="n">
        <f aca="false">5000*31</f>
        <v>155000</v>
      </c>
      <c r="G33" s="122"/>
      <c r="H33" s="124" t="n">
        <f aca="false">+'[2]ELpaso SJ &amp; Prm'!$F40</f>
        <v>4.885</v>
      </c>
      <c r="I33" s="126" t="n">
        <f aca="false">(+D33-H33)*F33</f>
        <v>-194525</v>
      </c>
      <c r="J33" s="128"/>
      <c r="K33" s="127" t="n">
        <f aca="false">+I33</f>
        <v>-194525</v>
      </c>
    </row>
    <row r="34" customFormat="false" ht="12.75" hidden="false" customHeight="false" outlineLevel="0" collapsed="false">
      <c r="A34" s="121" t="n">
        <v>37135</v>
      </c>
      <c r="B34" s="122"/>
      <c r="C34" s="123" t="s">
        <v>98</v>
      </c>
      <c r="D34" s="124" t="n">
        <v>3.63</v>
      </c>
      <c r="E34" s="122"/>
      <c r="F34" s="125" t="n">
        <f aca="false">5000*30</f>
        <v>150000</v>
      </c>
      <c r="G34" s="122"/>
      <c r="H34" s="124" t="n">
        <f aca="false">+'[2]ELpaso SJ &amp; Prm'!$F41</f>
        <v>4.87</v>
      </c>
      <c r="I34" s="126" t="n">
        <f aca="false">(+D34-H34)*F34</f>
        <v>-186000</v>
      </c>
      <c r="J34" s="128"/>
      <c r="K34" s="127" t="n">
        <f aca="false">+I34</f>
        <v>-186000</v>
      </c>
    </row>
    <row r="35" customFormat="false" ht="12.75" hidden="false" customHeight="false" outlineLevel="0" collapsed="false">
      <c r="A35" s="121" t="n">
        <v>37165</v>
      </c>
      <c r="B35" s="122"/>
      <c r="C35" s="123" t="s">
        <v>98</v>
      </c>
      <c r="D35" s="124" t="n">
        <v>3.63</v>
      </c>
      <c r="E35" s="122"/>
      <c r="F35" s="125" t="n">
        <f aca="false">5000*31</f>
        <v>155000</v>
      </c>
      <c r="G35" s="122"/>
      <c r="H35" s="124" t="n">
        <f aca="false">+'[2]ELpaso SJ &amp; Prm'!$F42</f>
        <v>4.81</v>
      </c>
      <c r="I35" s="126" t="n">
        <f aca="false">(+D35-H35)*F35</f>
        <v>-182900</v>
      </c>
      <c r="J35" s="128"/>
      <c r="K35" s="127" t="n">
        <f aca="false">+I35</f>
        <v>-182900</v>
      </c>
    </row>
    <row r="36" customFormat="false" ht="12.75" hidden="false" customHeight="false" outlineLevel="0" collapsed="false">
      <c r="A36" s="121" t="n">
        <v>37196</v>
      </c>
      <c r="B36" s="122"/>
      <c r="C36" s="123" t="s">
        <v>98</v>
      </c>
      <c r="D36" s="124" t="n">
        <v>3.63</v>
      </c>
      <c r="E36" s="122"/>
      <c r="F36" s="125" t="n">
        <f aca="false">5000*30</f>
        <v>150000</v>
      </c>
      <c r="G36" s="122"/>
      <c r="H36" s="124" t="n">
        <f aca="false">+'[2]ELpaso SJ &amp; Prm'!$F43</f>
        <v>4.875</v>
      </c>
      <c r="I36" s="126" t="n">
        <f aca="false">(+D36-H36)*F36</f>
        <v>-186750</v>
      </c>
      <c r="J36" s="128"/>
      <c r="K36" s="127" t="n">
        <f aca="false">+I36</f>
        <v>-186750</v>
      </c>
    </row>
    <row r="37" customFormat="false" ht="12.75" hidden="false" customHeight="false" outlineLevel="0" collapsed="false">
      <c r="A37" s="121" t="n">
        <v>37226</v>
      </c>
      <c r="B37" s="122"/>
      <c r="C37" s="123" t="s">
        <v>98</v>
      </c>
      <c r="D37" s="124" t="n">
        <v>3.63</v>
      </c>
      <c r="E37" s="122"/>
      <c r="F37" s="125" t="n">
        <f aca="false">5000*31</f>
        <v>155000</v>
      </c>
      <c r="G37" s="122"/>
      <c r="H37" s="124" t="n">
        <f aca="false">+'[2]ELpaso SJ &amp; Prm'!$F44</f>
        <v>4.95</v>
      </c>
      <c r="I37" s="126" t="n">
        <f aca="false">(+D37-H37)*F37</f>
        <v>-204600</v>
      </c>
      <c r="J37" s="128"/>
      <c r="K37" s="127" t="n">
        <f aca="false">+I37</f>
        <v>-204600</v>
      </c>
    </row>
    <row r="38" customFormat="false" ht="12.75" hidden="false" customHeight="false" outlineLevel="0" collapsed="false">
      <c r="A38" s="121"/>
      <c r="B38" s="122"/>
      <c r="C38" s="123"/>
      <c r="D38" s="124"/>
      <c r="E38" s="122"/>
      <c r="F38" s="125"/>
      <c r="G38" s="122"/>
      <c r="H38" s="124"/>
      <c r="I38" s="137"/>
      <c r="J38" s="128"/>
      <c r="K38" s="127"/>
    </row>
    <row r="39" customFormat="false" ht="12.75" hidden="false" customHeight="false" outlineLevel="0" collapsed="false">
      <c r="A39" s="122"/>
      <c r="B39" s="122"/>
      <c r="C39" s="122"/>
      <c r="D39" s="122"/>
      <c r="E39" s="122"/>
      <c r="F39" s="129" t="n">
        <f aca="false">SUM(F26:F38)</f>
        <v>1825000</v>
      </c>
      <c r="G39" s="122"/>
      <c r="H39" s="122"/>
      <c r="I39" s="138" t="n">
        <f aca="false">SUM(I26:I38)</f>
        <v>-2974720</v>
      </c>
      <c r="J39" s="138" t="n">
        <f aca="false">SUM(J26:J38)</f>
        <v>0</v>
      </c>
      <c r="K39" s="138" t="n">
        <f aca="false">SUM(K26:K38)</f>
        <v>-2974720</v>
      </c>
    </row>
    <row r="40" customFormat="false" ht="12.75" hidden="false" customHeight="false" outlineLevel="0" collapsed="false">
      <c r="A40" s="122"/>
      <c r="B40" s="122"/>
      <c r="C40" s="122"/>
      <c r="D40" s="122"/>
      <c r="E40" s="122"/>
      <c r="F40" s="122"/>
      <c r="G40" s="122"/>
      <c r="H40" s="122"/>
      <c r="I40" s="122"/>
      <c r="J40" s="128"/>
      <c r="K40" s="128"/>
    </row>
    <row r="41" customFormat="false" ht="13.5" hidden="false" customHeight="false" outlineLevel="0" collapsed="false">
      <c r="A41" s="122"/>
      <c r="B41" s="122"/>
      <c r="C41" s="122"/>
      <c r="D41" s="122"/>
      <c r="E41" s="122"/>
      <c r="F41" s="139" t="n">
        <f aca="false">+F39+F22</f>
        <v>0</v>
      </c>
      <c r="G41" s="122"/>
      <c r="H41" s="122"/>
      <c r="I41" s="140" t="n">
        <f aca="false">+I39+I22</f>
        <v>0</v>
      </c>
      <c r="J41" s="140" t="n">
        <f aca="false">+J39+J22</f>
        <v>0</v>
      </c>
      <c r="K41" s="140" t="n">
        <f aca="false">+K39+K22</f>
        <v>0</v>
      </c>
    </row>
    <row r="42" customFormat="false" ht="13.5" hidden="false" customHeight="false" outlineLevel="0" collapsed="false">
      <c r="A42" s="141"/>
      <c r="B42" s="141"/>
      <c r="C42" s="141"/>
      <c r="D42" s="141"/>
      <c r="E42" s="141"/>
      <c r="F42" s="141"/>
      <c r="G42" s="141"/>
      <c r="H42" s="141"/>
      <c r="I42" s="141"/>
      <c r="J42" s="142"/>
      <c r="K42" s="142"/>
    </row>
    <row r="44" customFormat="false" ht="12.75" hidden="false" customHeight="false" outlineLevel="0" collapsed="false">
      <c r="A44" s="105" t="s">
        <v>99</v>
      </c>
    </row>
  </sheetData>
  <mergeCells count="4">
    <mergeCell ref="A1:K1"/>
    <mergeCell ref="A2:K2"/>
    <mergeCell ref="A3:K3"/>
    <mergeCell ref="I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0.71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4.28"/>
    <col collapsed="false" customWidth="true" hidden="false" outlineLevel="0" max="8" min="8" style="0" width="10.71"/>
    <col collapsed="false" customWidth="true" hidden="false" outlineLevel="0" max="9" min="9" style="0" width="14.99"/>
    <col collapsed="false" customWidth="true" hidden="false" outlineLevel="0" max="10" min="10" style="0" width="13.41"/>
    <col collapsed="false" customWidth="true" hidden="false" outlineLevel="0" max="11" min="11" style="0" width="14.99"/>
  </cols>
  <sheetData>
    <row r="1" customFormat="false" ht="15" hidden="false" customHeight="false" outlineLevel="0" collapsed="false">
      <c r="A1" s="107" t="s">
        <v>86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customFormat="false" ht="15" hidden="false" customHeight="false" outlineLevel="0" collapsed="false">
      <c r="A2" s="107" t="s">
        <v>87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customFormat="false" ht="15.75" hidden="false" customHeight="false" outlineLevel="0" collapsed="false">
      <c r="A3" s="107" t="s">
        <v>108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4" customFormat="false" ht="15.75" hidden="false" customHeight="false" outlineLevel="0" collapsed="false">
      <c r="A4" s="108"/>
      <c r="B4" s="108"/>
      <c r="C4" s="108"/>
      <c r="D4" s="108"/>
      <c r="E4" s="108"/>
      <c r="F4" s="108"/>
      <c r="G4" s="108"/>
      <c r="H4" s="108"/>
      <c r="I4" s="108"/>
      <c r="J4" s="109"/>
      <c r="K4" s="109"/>
    </row>
    <row r="6" customFormat="false" ht="12.75" hidden="false" customHeight="false" outlineLevel="0" collapsed="false">
      <c r="A6" s="110" t="s">
        <v>89</v>
      </c>
      <c r="B6" s="111" t="s">
        <v>8</v>
      </c>
      <c r="C6" s="111" t="s">
        <v>8</v>
      </c>
      <c r="D6" s="111" t="s">
        <v>90</v>
      </c>
      <c r="E6" s="111"/>
      <c r="F6" s="111" t="s">
        <v>91</v>
      </c>
      <c r="G6" s="111" t="s">
        <v>68</v>
      </c>
      <c r="H6" s="111" t="s">
        <v>105</v>
      </c>
      <c r="I6" s="112" t="s">
        <v>93</v>
      </c>
      <c r="J6" s="112"/>
      <c r="K6" s="112"/>
    </row>
    <row r="7" customFormat="false" ht="12.75" hidden="false" customHeight="false" outlineLevel="0" collapsed="false">
      <c r="A7" s="113" t="s">
        <v>22</v>
      </c>
      <c r="B7" s="114" t="s">
        <v>18</v>
      </c>
      <c r="C7" s="114" t="s">
        <v>17</v>
      </c>
      <c r="D7" s="114" t="s">
        <v>23</v>
      </c>
      <c r="E7" s="114"/>
      <c r="F7" s="114" t="s">
        <v>94</v>
      </c>
      <c r="G7" s="114" t="s">
        <v>23</v>
      </c>
      <c r="H7" s="114" t="s">
        <v>23</v>
      </c>
      <c r="I7" s="114" t="s">
        <v>30</v>
      </c>
      <c r="J7" s="114" t="s">
        <v>31</v>
      </c>
      <c r="K7" s="115" t="s">
        <v>32</v>
      </c>
    </row>
    <row r="8" customFormat="false" ht="12.75" hidden="false" customHeight="false" outlineLevel="0" collapsed="false">
      <c r="A8" s="116"/>
      <c r="B8" s="117"/>
      <c r="C8" s="117"/>
      <c r="D8" s="117"/>
      <c r="E8" s="117"/>
      <c r="F8" s="117"/>
      <c r="G8" s="118" t="s">
        <v>95</v>
      </c>
      <c r="H8" s="119"/>
      <c r="I8" s="119" t="s">
        <v>96</v>
      </c>
      <c r="J8" s="119" t="s">
        <v>96</v>
      </c>
      <c r="K8" s="120" t="s">
        <v>96</v>
      </c>
    </row>
    <row r="9" customFormat="false" ht="12.75" hidden="false" customHeight="false" outlineLevel="0" collapsed="false">
      <c r="A9" s="121" t="n">
        <v>36892</v>
      </c>
      <c r="B9" s="122"/>
      <c r="C9" s="123" t="s">
        <v>59</v>
      </c>
      <c r="D9" s="124" t="n">
        <v>3.585</v>
      </c>
      <c r="E9" s="122"/>
      <c r="F9" s="125" t="n">
        <f aca="false">-5000*31</f>
        <v>-155000</v>
      </c>
      <c r="G9" s="124"/>
      <c r="H9" s="124" t="n">
        <f aca="false">+'[2]ELpaso SJ &amp; Prm'!$F33</f>
        <v>6.679</v>
      </c>
      <c r="I9" s="126" t="n">
        <f aca="false">SUM(D9-H9)*F9</f>
        <v>479570</v>
      </c>
      <c r="J9" s="127"/>
      <c r="K9" s="127" t="n">
        <f aca="false">+I9</f>
        <v>479570</v>
      </c>
    </row>
    <row r="10" customFormat="false" ht="12.75" hidden="false" customHeight="false" outlineLevel="0" collapsed="false">
      <c r="A10" s="121" t="n">
        <v>36923</v>
      </c>
      <c r="B10" s="122"/>
      <c r="C10" s="123" t="s">
        <v>59</v>
      </c>
      <c r="D10" s="124" t="n">
        <v>3.585</v>
      </c>
      <c r="E10" s="122"/>
      <c r="F10" s="125" t="n">
        <f aca="false">-5000*28</f>
        <v>-140000</v>
      </c>
      <c r="G10" s="124"/>
      <c r="H10" s="124" t="n">
        <f aca="false">+'[2]ELpaso SJ &amp; Prm'!$F34</f>
        <v>6.503</v>
      </c>
      <c r="I10" s="126" t="n">
        <f aca="false">SUM(D10-H10)*F10</f>
        <v>408520</v>
      </c>
      <c r="J10" s="127"/>
      <c r="K10" s="127" t="n">
        <f aca="false">+I10</f>
        <v>408520</v>
      </c>
    </row>
    <row r="11" customFormat="false" ht="12.75" hidden="false" customHeight="false" outlineLevel="0" collapsed="false">
      <c r="A11" s="121" t="n">
        <v>36951</v>
      </c>
      <c r="B11" s="122"/>
      <c r="C11" s="123" t="s">
        <v>59</v>
      </c>
      <c r="D11" s="124" t="n">
        <v>3.585</v>
      </c>
      <c r="E11" s="122"/>
      <c r="F11" s="125" t="n">
        <f aca="false">-5000*31</f>
        <v>-155000</v>
      </c>
      <c r="G11" s="124"/>
      <c r="H11" s="124" t="n">
        <f aca="false">+'[2]ELpaso SJ &amp; Prm'!$F35</f>
        <v>5.881</v>
      </c>
      <c r="I11" s="126" t="n">
        <f aca="false">SUM(D11-H11)*F11</f>
        <v>355880</v>
      </c>
      <c r="J11" s="127"/>
      <c r="K11" s="127" t="n">
        <f aca="false">+I11</f>
        <v>355880</v>
      </c>
    </row>
    <row r="12" customFormat="false" ht="12.75" hidden="false" customHeight="false" outlineLevel="0" collapsed="false">
      <c r="A12" s="121" t="n">
        <v>36982</v>
      </c>
      <c r="B12" s="122"/>
      <c r="C12" s="123" t="s">
        <v>59</v>
      </c>
      <c r="D12" s="124" t="n">
        <v>3.585</v>
      </c>
      <c r="E12" s="122"/>
      <c r="F12" s="125" t="n">
        <f aca="false">-5000*30</f>
        <v>-150000</v>
      </c>
      <c r="G12" s="124"/>
      <c r="H12" s="124" t="n">
        <f aca="false">+'[2]ELpaso SJ &amp; Prm'!$F36</f>
        <v>5.145</v>
      </c>
      <c r="I12" s="126" t="n">
        <f aca="false">SUM(D12-H12)*F12</f>
        <v>234000</v>
      </c>
      <c r="J12" s="127"/>
      <c r="K12" s="127" t="n">
        <f aca="false">+I12</f>
        <v>234000</v>
      </c>
    </row>
    <row r="13" customFormat="false" ht="12.75" hidden="false" customHeight="false" outlineLevel="0" collapsed="false">
      <c r="A13" s="121" t="n">
        <v>37012</v>
      </c>
      <c r="B13" s="122"/>
      <c r="C13" s="123" t="s">
        <v>59</v>
      </c>
      <c r="D13" s="124" t="n">
        <v>3.585</v>
      </c>
      <c r="E13" s="122"/>
      <c r="F13" s="125" t="n">
        <f aca="false">-5000*31</f>
        <v>-155000</v>
      </c>
      <c r="G13" s="122"/>
      <c r="H13" s="124" t="n">
        <f aca="false">+'[2]ELpaso SJ &amp; Prm'!$F37</f>
        <v>4.86</v>
      </c>
      <c r="I13" s="126" t="n">
        <f aca="false">SUM(D13-H13)*F13</f>
        <v>197625</v>
      </c>
      <c r="J13" s="128"/>
      <c r="K13" s="127" t="n">
        <f aca="false">+I13</f>
        <v>197625</v>
      </c>
    </row>
    <row r="14" customFormat="false" ht="12.75" hidden="false" customHeight="false" outlineLevel="0" collapsed="false">
      <c r="A14" s="121" t="n">
        <v>37043</v>
      </c>
      <c r="B14" s="122"/>
      <c r="C14" s="123" t="s">
        <v>59</v>
      </c>
      <c r="D14" s="124" t="n">
        <v>3.585</v>
      </c>
      <c r="E14" s="122"/>
      <c r="F14" s="125" t="n">
        <f aca="false">-5000*30</f>
        <v>-150000</v>
      </c>
      <c r="G14" s="122"/>
      <c r="H14" s="124" t="n">
        <f aca="false">+'[2]ELpaso SJ &amp; Prm'!$F38</f>
        <v>4.845</v>
      </c>
      <c r="I14" s="126" t="n">
        <f aca="false">SUM(D14-H14)*F14</f>
        <v>189000</v>
      </c>
      <c r="J14" s="128"/>
      <c r="K14" s="127" t="n">
        <f aca="false">+I14</f>
        <v>189000</v>
      </c>
    </row>
    <row r="15" customFormat="false" ht="12.75" hidden="false" customHeight="false" outlineLevel="0" collapsed="false">
      <c r="A15" s="121" t="n">
        <v>37073</v>
      </c>
      <c r="B15" s="122"/>
      <c r="C15" s="123" t="s">
        <v>59</v>
      </c>
      <c r="D15" s="124" t="n">
        <v>3.585</v>
      </c>
      <c r="E15" s="122"/>
      <c r="F15" s="125" t="n">
        <f aca="false">-5000*31</f>
        <v>-155000</v>
      </c>
      <c r="G15" s="122"/>
      <c r="H15" s="124" t="n">
        <f aca="false">+'[2]ELpaso SJ &amp; Prm'!$F39</f>
        <v>4.895</v>
      </c>
      <c r="I15" s="126" t="n">
        <f aca="false">SUM(D15-H15)*F15</f>
        <v>203050</v>
      </c>
      <c r="J15" s="128"/>
      <c r="K15" s="127" t="n">
        <f aca="false">+I15</f>
        <v>203050</v>
      </c>
    </row>
    <row r="16" customFormat="false" ht="12.75" hidden="false" customHeight="false" outlineLevel="0" collapsed="false">
      <c r="A16" s="121" t="n">
        <v>37104</v>
      </c>
      <c r="B16" s="122"/>
      <c r="C16" s="123" t="s">
        <v>59</v>
      </c>
      <c r="D16" s="124" t="n">
        <v>3.585</v>
      </c>
      <c r="E16" s="122"/>
      <c r="F16" s="125" t="n">
        <f aca="false">-5000*31</f>
        <v>-155000</v>
      </c>
      <c r="G16" s="122"/>
      <c r="H16" s="124" t="n">
        <f aca="false">+'[2]ELpaso SJ &amp; Prm'!$F40</f>
        <v>4.885</v>
      </c>
      <c r="I16" s="126" t="n">
        <f aca="false">SUM(D16-H16)*F16</f>
        <v>201500</v>
      </c>
      <c r="J16" s="128"/>
      <c r="K16" s="127" t="n">
        <f aca="false">+I16</f>
        <v>201500</v>
      </c>
    </row>
    <row r="17" customFormat="false" ht="12.75" hidden="false" customHeight="false" outlineLevel="0" collapsed="false">
      <c r="A17" s="121" t="n">
        <v>37135</v>
      </c>
      <c r="B17" s="122"/>
      <c r="C17" s="123" t="s">
        <v>59</v>
      </c>
      <c r="D17" s="124" t="n">
        <v>3.585</v>
      </c>
      <c r="E17" s="122"/>
      <c r="F17" s="125" t="n">
        <f aca="false">-5000*30</f>
        <v>-150000</v>
      </c>
      <c r="G17" s="122"/>
      <c r="H17" s="124" t="n">
        <f aca="false">+'[2]ELpaso SJ &amp; Prm'!$F41</f>
        <v>4.87</v>
      </c>
      <c r="I17" s="126" t="n">
        <f aca="false">SUM(D17-H17)*F17</f>
        <v>192750</v>
      </c>
      <c r="J17" s="128"/>
      <c r="K17" s="127" t="n">
        <f aca="false">+I17</f>
        <v>192750</v>
      </c>
    </row>
    <row r="18" customFormat="false" ht="12.75" hidden="false" customHeight="false" outlineLevel="0" collapsed="false">
      <c r="A18" s="121" t="n">
        <v>37165</v>
      </c>
      <c r="B18" s="122"/>
      <c r="C18" s="123" t="s">
        <v>59</v>
      </c>
      <c r="D18" s="124" t="n">
        <v>3.585</v>
      </c>
      <c r="E18" s="122"/>
      <c r="F18" s="125" t="n">
        <f aca="false">-5000*31</f>
        <v>-155000</v>
      </c>
      <c r="G18" s="122"/>
      <c r="H18" s="124" t="n">
        <f aca="false">+'[2]ELpaso SJ &amp; Prm'!$F42</f>
        <v>4.81</v>
      </c>
      <c r="I18" s="126" t="n">
        <f aca="false">SUM(D18-H18)*F18</f>
        <v>189875</v>
      </c>
      <c r="J18" s="128"/>
      <c r="K18" s="127" t="n">
        <f aca="false">+I18</f>
        <v>189875</v>
      </c>
    </row>
    <row r="19" customFormat="false" ht="12.75" hidden="false" customHeight="false" outlineLevel="0" collapsed="false">
      <c r="A19" s="121" t="n">
        <v>37196</v>
      </c>
      <c r="B19" s="122"/>
      <c r="C19" s="123" t="s">
        <v>59</v>
      </c>
      <c r="D19" s="124" t="n">
        <v>3.585</v>
      </c>
      <c r="E19" s="122"/>
      <c r="F19" s="125" t="n">
        <f aca="false">-5000*30</f>
        <v>-150000</v>
      </c>
      <c r="G19" s="122"/>
      <c r="H19" s="124" t="n">
        <f aca="false">+'[2]ELpaso SJ &amp; Prm'!$F43</f>
        <v>4.875</v>
      </c>
      <c r="I19" s="126" t="n">
        <f aca="false">SUM(D19-H19)*F19</f>
        <v>193500</v>
      </c>
      <c r="J19" s="128"/>
      <c r="K19" s="127" t="n">
        <f aca="false">+I19</f>
        <v>193500</v>
      </c>
    </row>
    <row r="20" customFormat="false" ht="12.75" hidden="false" customHeight="false" outlineLevel="0" collapsed="false">
      <c r="A20" s="121" t="n">
        <v>37226</v>
      </c>
      <c r="B20" s="122"/>
      <c r="C20" s="123" t="s">
        <v>59</v>
      </c>
      <c r="D20" s="124" t="n">
        <v>3.585</v>
      </c>
      <c r="E20" s="122"/>
      <c r="F20" s="125" t="n">
        <f aca="false">-5000*31</f>
        <v>-155000</v>
      </c>
      <c r="G20" s="122"/>
      <c r="H20" s="124" t="n">
        <f aca="false">+'[2]ELpaso SJ &amp; Prm'!$F44</f>
        <v>4.95</v>
      </c>
      <c r="I20" s="126" t="n">
        <f aca="false">SUM(D20-H20)*F20</f>
        <v>211575</v>
      </c>
      <c r="J20" s="128"/>
      <c r="K20" s="127" t="n">
        <f aca="false">+I20</f>
        <v>211575</v>
      </c>
    </row>
    <row r="21" customFormat="false" ht="12.75" hidden="false" customHeight="false" outlineLevel="0" collapsed="false">
      <c r="A21" s="121"/>
      <c r="B21" s="122"/>
      <c r="C21" s="123"/>
      <c r="D21" s="124"/>
      <c r="E21" s="122"/>
      <c r="F21" s="125"/>
      <c r="G21" s="122"/>
      <c r="H21" s="124"/>
      <c r="I21" s="126"/>
      <c r="J21" s="128"/>
      <c r="K21" s="127"/>
    </row>
    <row r="22" customFormat="false" ht="12.75" hidden="false" customHeight="false" outlineLevel="0" collapsed="false">
      <c r="A22" s="122"/>
      <c r="B22" s="122"/>
      <c r="C22" s="122"/>
      <c r="D22" s="122"/>
      <c r="E22" s="122"/>
      <c r="F22" s="129" t="n">
        <f aca="false">SUM(F9:F20)</f>
        <v>-1825000</v>
      </c>
      <c r="G22" s="122"/>
      <c r="H22" s="122"/>
      <c r="I22" s="130" t="n">
        <f aca="false">SUM(I9:I20)</f>
        <v>3056845</v>
      </c>
      <c r="J22" s="130" t="n">
        <f aca="false">SUM(J9:J20)</f>
        <v>0</v>
      </c>
      <c r="K22" s="130" t="n">
        <f aca="false">SUM(K9:K20)</f>
        <v>3056845</v>
      </c>
    </row>
    <row r="23" customFormat="false" ht="12.75" hidden="false" customHeight="false" outlineLevel="0" collapsed="false">
      <c r="A23" s="122"/>
      <c r="B23" s="122"/>
      <c r="C23" s="122"/>
      <c r="D23" s="122"/>
      <c r="E23" s="122"/>
      <c r="F23" s="131"/>
      <c r="G23" s="122"/>
      <c r="H23" s="122"/>
      <c r="I23" s="132"/>
      <c r="J23" s="133"/>
      <c r="K23" s="133"/>
    </row>
    <row r="24" customFormat="false" ht="12.75" hidden="false" customHeight="false" outlineLevel="0" collapsed="false">
      <c r="A24" s="122"/>
      <c r="B24" s="122"/>
      <c r="C24" s="122"/>
      <c r="D24" s="122"/>
      <c r="E24" s="122"/>
      <c r="F24" s="122"/>
      <c r="G24" s="134" t="s">
        <v>95</v>
      </c>
      <c r="H24" s="135"/>
      <c r="I24" s="122"/>
      <c r="J24" s="128"/>
      <c r="K24" s="128"/>
    </row>
    <row r="25" customFormat="false" ht="12.75" hidden="false" customHeight="false" outlineLevel="0" collapsed="false">
      <c r="A25" s="122"/>
      <c r="B25" s="122"/>
      <c r="C25" s="122"/>
      <c r="D25" s="124"/>
      <c r="E25" s="122"/>
      <c r="F25" s="122"/>
      <c r="G25" s="136"/>
      <c r="H25" s="135"/>
      <c r="I25" s="122"/>
      <c r="J25" s="128"/>
      <c r="K25" s="128"/>
    </row>
    <row r="26" customFormat="false" ht="12.75" hidden="false" customHeight="false" outlineLevel="0" collapsed="false">
      <c r="A26" s="121" t="n">
        <v>36892</v>
      </c>
      <c r="B26" s="122"/>
      <c r="C26" s="123" t="s">
        <v>98</v>
      </c>
      <c r="D26" s="124" t="n">
        <v>3.585</v>
      </c>
      <c r="E26" s="122"/>
      <c r="F26" s="125" t="n">
        <f aca="false">5000*31</f>
        <v>155000</v>
      </c>
      <c r="G26" s="124"/>
      <c r="H26" s="124" t="n">
        <f aca="false">+'[2]ELpaso SJ &amp; Prm'!$F33</f>
        <v>6.679</v>
      </c>
      <c r="I26" s="126" t="n">
        <f aca="false">(+D26-H26)*F26</f>
        <v>-479570</v>
      </c>
      <c r="J26" s="127"/>
      <c r="K26" s="127" t="n">
        <f aca="false">+I26</f>
        <v>-479570</v>
      </c>
    </row>
    <row r="27" customFormat="false" ht="12.75" hidden="false" customHeight="false" outlineLevel="0" collapsed="false">
      <c r="A27" s="121" t="n">
        <v>36923</v>
      </c>
      <c r="B27" s="122"/>
      <c r="C27" s="123" t="s">
        <v>98</v>
      </c>
      <c r="D27" s="124" t="n">
        <v>3.585</v>
      </c>
      <c r="E27" s="122"/>
      <c r="F27" s="125" t="n">
        <f aca="false">5000*28</f>
        <v>140000</v>
      </c>
      <c r="G27" s="124"/>
      <c r="H27" s="124" t="n">
        <f aca="false">+'[2]ELpaso SJ &amp; Prm'!$F34</f>
        <v>6.503</v>
      </c>
      <c r="I27" s="126" t="n">
        <f aca="false">(+D27-H27)*F27</f>
        <v>-408520</v>
      </c>
      <c r="J27" s="127"/>
      <c r="K27" s="127" t="n">
        <f aca="false">+I27</f>
        <v>-408520</v>
      </c>
    </row>
    <row r="28" customFormat="false" ht="12.75" hidden="false" customHeight="false" outlineLevel="0" collapsed="false">
      <c r="A28" s="121" t="n">
        <v>36951</v>
      </c>
      <c r="B28" s="122"/>
      <c r="C28" s="123" t="s">
        <v>98</v>
      </c>
      <c r="D28" s="124" t="n">
        <v>3.585</v>
      </c>
      <c r="E28" s="122"/>
      <c r="F28" s="125" t="n">
        <f aca="false">5000*31</f>
        <v>155000</v>
      </c>
      <c r="G28" s="124"/>
      <c r="H28" s="124" t="n">
        <f aca="false">+'[2]ELpaso SJ &amp; Prm'!$F35</f>
        <v>5.881</v>
      </c>
      <c r="I28" s="126" t="n">
        <f aca="false">(+D28-H28)*F28</f>
        <v>-355880</v>
      </c>
      <c r="J28" s="127"/>
      <c r="K28" s="127" t="n">
        <f aca="false">+I28</f>
        <v>-355880</v>
      </c>
    </row>
    <row r="29" customFormat="false" ht="12.75" hidden="false" customHeight="false" outlineLevel="0" collapsed="false">
      <c r="A29" s="121" t="n">
        <v>36982</v>
      </c>
      <c r="B29" s="122"/>
      <c r="C29" s="123" t="s">
        <v>98</v>
      </c>
      <c r="D29" s="124" t="n">
        <v>3.585</v>
      </c>
      <c r="E29" s="122"/>
      <c r="F29" s="125" t="n">
        <f aca="false">5000*30</f>
        <v>150000</v>
      </c>
      <c r="G29" s="124"/>
      <c r="H29" s="124" t="n">
        <f aca="false">+'[2]ELpaso SJ &amp; Prm'!$F36</f>
        <v>5.145</v>
      </c>
      <c r="I29" s="126" t="n">
        <f aca="false">(+D29-H29)*F29</f>
        <v>-234000</v>
      </c>
      <c r="J29" s="127"/>
      <c r="K29" s="127" t="n">
        <f aca="false">+I29</f>
        <v>-234000</v>
      </c>
    </row>
    <row r="30" customFormat="false" ht="12.75" hidden="false" customHeight="false" outlineLevel="0" collapsed="false">
      <c r="A30" s="121" t="n">
        <v>37012</v>
      </c>
      <c r="B30" s="122"/>
      <c r="C30" s="123" t="s">
        <v>98</v>
      </c>
      <c r="D30" s="124" t="n">
        <v>3.585</v>
      </c>
      <c r="E30" s="122"/>
      <c r="F30" s="125" t="n">
        <f aca="false">5000*31</f>
        <v>155000</v>
      </c>
      <c r="G30" s="122"/>
      <c r="H30" s="124" t="n">
        <f aca="false">+'[2]ELpaso SJ &amp; Prm'!$F37</f>
        <v>4.86</v>
      </c>
      <c r="I30" s="126" t="n">
        <f aca="false">(+D30-H30)*F30</f>
        <v>-197625</v>
      </c>
      <c r="J30" s="128"/>
      <c r="K30" s="127" t="n">
        <f aca="false">+I30</f>
        <v>-197625</v>
      </c>
    </row>
    <row r="31" customFormat="false" ht="12.75" hidden="false" customHeight="false" outlineLevel="0" collapsed="false">
      <c r="A31" s="121" t="n">
        <v>37043</v>
      </c>
      <c r="B31" s="122"/>
      <c r="C31" s="123" t="s">
        <v>98</v>
      </c>
      <c r="D31" s="124" t="n">
        <v>3.585</v>
      </c>
      <c r="E31" s="122"/>
      <c r="F31" s="125" t="n">
        <f aca="false">5000*30</f>
        <v>150000</v>
      </c>
      <c r="G31" s="122"/>
      <c r="H31" s="124" t="n">
        <f aca="false">+'[2]ELpaso SJ &amp; Prm'!$F38</f>
        <v>4.845</v>
      </c>
      <c r="I31" s="126" t="n">
        <f aca="false">(+D31-H31)*F31</f>
        <v>-189000</v>
      </c>
      <c r="J31" s="128"/>
      <c r="K31" s="127" t="n">
        <f aca="false">+I31</f>
        <v>-189000</v>
      </c>
    </row>
    <row r="32" customFormat="false" ht="12.75" hidden="false" customHeight="false" outlineLevel="0" collapsed="false">
      <c r="A32" s="121" t="n">
        <v>37073</v>
      </c>
      <c r="B32" s="122"/>
      <c r="C32" s="123" t="s">
        <v>98</v>
      </c>
      <c r="D32" s="124" t="n">
        <v>3.585</v>
      </c>
      <c r="E32" s="122"/>
      <c r="F32" s="125" t="n">
        <f aca="false">5000*31</f>
        <v>155000</v>
      </c>
      <c r="G32" s="122"/>
      <c r="H32" s="124" t="n">
        <f aca="false">+'[2]ELpaso SJ &amp; Prm'!$F39</f>
        <v>4.895</v>
      </c>
      <c r="I32" s="126" t="n">
        <f aca="false">(+D32-H32)*F32</f>
        <v>-203050</v>
      </c>
      <c r="J32" s="128"/>
      <c r="K32" s="127" t="n">
        <f aca="false">+I32</f>
        <v>-203050</v>
      </c>
    </row>
    <row r="33" customFormat="false" ht="12.75" hidden="false" customHeight="false" outlineLevel="0" collapsed="false">
      <c r="A33" s="121" t="n">
        <v>37104</v>
      </c>
      <c r="B33" s="122"/>
      <c r="C33" s="123" t="s">
        <v>98</v>
      </c>
      <c r="D33" s="124" t="n">
        <v>3.585</v>
      </c>
      <c r="E33" s="122"/>
      <c r="F33" s="125" t="n">
        <f aca="false">5000*31</f>
        <v>155000</v>
      </c>
      <c r="G33" s="122"/>
      <c r="H33" s="124" t="n">
        <f aca="false">+'[2]ELpaso SJ &amp; Prm'!$F40</f>
        <v>4.885</v>
      </c>
      <c r="I33" s="126" t="n">
        <f aca="false">(+D33-H33)*F33</f>
        <v>-201500</v>
      </c>
      <c r="J33" s="128"/>
      <c r="K33" s="127" t="n">
        <f aca="false">+I33</f>
        <v>-201500</v>
      </c>
    </row>
    <row r="34" customFormat="false" ht="12.75" hidden="false" customHeight="false" outlineLevel="0" collapsed="false">
      <c r="A34" s="121" t="n">
        <v>37135</v>
      </c>
      <c r="B34" s="122"/>
      <c r="C34" s="123" t="s">
        <v>98</v>
      </c>
      <c r="D34" s="124" t="n">
        <v>3.585</v>
      </c>
      <c r="E34" s="122"/>
      <c r="F34" s="125" t="n">
        <f aca="false">5000*30</f>
        <v>150000</v>
      </c>
      <c r="G34" s="122"/>
      <c r="H34" s="124" t="n">
        <f aca="false">+'[2]ELpaso SJ &amp; Prm'!$F41</f>
        <v>4.87</v>
      </c>
      <c r="I34" s="126" t="n">
        <f aca="false">(+D34-H34)*F34</f>
        <v>-192750</v>
      </c>
      <c r="J34" s="128"/>
      <c r="K34" s="127" t="n">
        <f aca="false">+I34</f>
        <v>-192750</v>
      </c>
    </row>
    <row r="35" customFormat="false" ht="12.75" hidden="false" customHeight="false" outlineLevel="0" collapsed="false">
      <c r="A35" s="121" t="n">
        <v>37165</v>
      </c>
      <c r="B35" s="122"/>
      <c r="C35" s="123" t="s">
        <v>98</v>
      </c>
      <c r="D35" s="124" t="n">
        <v>3.585</v>
      </c>
      <c r="E35" s="122"/>
      <c r="F35" s="125" t="n">
        <f aca="false">5000*31</f>
        <v>155000</v>
      </c>
      <c r="G35" s="122"/>
      <c r="H35" s="124" t="n">
        <f aca="false">+'[2]ELpaso SJ &amp; Prm'!$F42</f>
        <v>4.81</v>
      </c>
      <c r="I35" s="126" t="n">
        <f aca="false">(+D35-H35)*F35</f>
        <v>-189875</v>
      </c>
      <c r="J35" s="128"/>
      <c r="K35" s="127" t="n">
        <f aca="false">+I35</f>
        <v>-189875</v>
      </c>
    </row>
    <row r="36" customFormat="false" ht="12.75" hidden="false" customHeight="false" outlineLevel="0" collapsed="false">
      <c r="A36" s="121" t="n">
        <v>37196</v>
      </c>
      <c r="B36" s="122"/>
      <c r="C36" s="123" t="s">
        <v>98</v>
      </c>
      <c r="D36" s="124" t="n">
        <v>3.585</v>
      </c>
      <c r="E36" s="122"/>
      <c r="F36" s="125" t="n">
        <f aca="false">5000*30</f>
        <v>150000</v>
      </c>
      <c r="G36" s="122"/>
      <c r="H36" s="124" t="n">
        <f aca="false">+'[2]ELpaso SJ &amp; Prm'!$F43</f>
        <v>4.875</v>
      </c>
      <c r="I36" s="126" t="n">
        <f aca="false">(+D36-H36)*F36</f>
        <v>-193500</v>
      </c>
      <c r="J36" s="128"/>
      <c r="K36" s="127" t="n">
        <f aca="false">+I36</f>
        <v>-193500</v>
      </c>
    </row>
    <row r="37" customFormat="false" ht="12.75" hidden="false" customHeight="false" outlineLevel="0" collapsed="false">
      <c r="A37" s="121" t="n">
        <v>37226</v>
      </c>
      <c r="B37" s="122"/>
      <c r="C37" s="123" t="s">
        <v>98</v>
      </c>
      <c r="D37" s="124" t="n">
        <v>3.585</v>
      </c>
      <c r="E37" s="122"/>
      <c r="F37" s="125" t="n">
        <f aca="false">5000*31</f>
        <v>155000</v>
      </c>
      <c r="G37" s="122"/>
      <c r="H37" s="124" t="n">
        <f aca="false">+'[2]ELpaso SJ &amp; Prm'!$F44</f>
        <v>4.95</v>
      </c>
      <c r="I37" s="126" t="n">
        <f aca="false">(+D37-H37)*F37</f>
        <v>-211575</v>
      </c>
      <c r="J37" s="128"/>
      <c r="K37" s="127" t="n">
        <f aca="false">+I37</f>
        <v>-211575</v>
      </c>
    </row>
    <row r="38" customFormat="false" ht="12.75" hidden="false" customHeight="false" outlineLevel="0" collapsed="false">
      <c r="A38" s="121"/>
      <c r="B38" s="122"/>
      <c r="C38" s="123"/>
      <c r="D38" s="124"/>
      <c r="E38" s="122"/>
      <c r="F38" s="125"/>
      <c r="G38" s="122"/>
      <c r="H38" s="124"/>
      <c r="I38" s="137"/>
      <c r="J38" s="128"/>
      <c r="K38" s="127"/>
    </row>
    <row r="39" customFormat="false" ht="12.75" hidden="false" customHeight="false" outlineLevel="0" collapsed="false">
      <c r="A39" s="122"/>
      <c r="B39" s="122"/>
      <c r="C39" s="122"/>
      <c r="D39" s="122"/>
      <c r="E39" s="122"/>
      <c r="F39" s="129" t="n">
        <f aca="false">SUM(F26:F38)</f>
        <v>1825000</v>
      </c>
      <c r="G39" s="122"/>
      <c r="H39" s="122"/>
      <c r="I39" s="138" t="n">
        <f aca="false">SUM(I26:I38)</f>
        <v>-3056845</v>
      </c>
      <c r="J39" s="138" t="n">
        <f aca="false">SUM(J26:J38)</f>
        <v>0</v>
      </c>
      <c r="K39" s="138" t="n">
        <f aca="false">SUM(K26:K38)</f>
        <v>-3056845</v>
      </c>
    </row>
    <row r="40" customFormat="false" ht="12.75" hidden="false" customHeight="false" outlineLevel="0" collapsed="false">
      <c r="A40" s="122"/>
      <c r="B40" s="122"/>
      <c r="C40" s="122"/>
      <c r="D40" s="122"/>
      <c r="E40" s="122"/>
      <c r="F40" s="122"/>
      <c r="G40" s="122"/>
      <c r="H40" s="122"/>
      <c r="I40" s="122"/>
      <c r="J40" s="128"/>
      <c r="K40" s="128"/>
    </row>
    <row r="41" customFormat="false" ht="13.5" hidden="false" customHeight="false" outlineLevel="0" collapsed="false">
      <c r="A41" s="122"/>
      <c r="B41" s="122"/>
      <c r="C41" s="122"/>
      <c r="D41" s="122"/>
      <c r="E41" s="122"/>
      <c r="F41" s="139" t="n">
        <f aca="false">+F39+F22</f>
        <v>0</v>
      </c>
      <c r="G41" s="122"/>
      <c r="H41" s="122"/>
      <c r="I41" s="140" t="n">
        <f aca="false">+I39+I22</f>
        <v>0</v>
      </c>
      <c r="J41" s="140" t="n">
        <f aca="false">+J39+J22</f>
        <v>0</v>
      </c>
      <c r="K41" s="140" t="n">
        <f aca="false">+K39+K22</f>
        <v>0</v>
      </c>
    </row>
    <row r="42" customFormat="false" ht="13.5" hidden="false" customHeight="false" outlineLevel="0" collapsed="false">
      <c r="A42" s="141"/>
      <c r="B42" s="141"/>
      <c r="C42" s="141"/>
      <c r="D42" s="141"/>
      <c r="E42" s="141"/>
      <c r="F42" s="141"/>
      <c r="G42" s="141"/>
      <c r="H42" s="141"/>
      <c r="I42" s="141"/>
      <c r="J42" s="142"/>
      <c r="K42" s="142"/>
    </row>
    <row r="44" customFormat="false" ht="12.75" hidden="false" customHeight="false" outlineLevel="0" collapsed="false">
      <c r="A44" s="105" t="s">
        <v>99</v>
      </c>
    </row>
  </sheetData>
  <mergeCells count="4">
    <mergeCell ref="A1:K1"/>
    <mergeCell ref="A2:K2"/>
    <mergeCell ref="A3:K3"/>
    <mergeCell ref="I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1" activeCellId="0" sqref="F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71"/>
    <col collapsed="false" customWidth="true" hidden="false" outlineLevel="0" max="2" min="2" style="0" width="14.28"/>
    <col collapsed="false" customWidth="true" hidden="false" outlineLevel="0" max="3" min="3" style="0" width="13.7"/>
    <col collapsed="false" customWidth="true" hidden="false" outlineLevel="0" max="4" min="4" style="0" width="10.71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4.28"/>
    <col collapsed="false" customWidth="true" hidden="false" outlineLevel="0" max="8" min="8" style="152" width="12.56"/>
    <col collapsed="false" customWidth="true" hidden="false" outlineLevel="0" max="9" min="9" style="0" width="15.41"/>
    <col collapsed="false" customWidth="true" hidden="false" outlineLevel="0" max="10" min="10" style="0" width="14.41"/>
    <col collapsed="false" customWidth="true" hidden="false" outlineLevel="0" max="11" min="11" style="0" width="15.41"/>
  </cols>
  <sheetData>
    <row r="1" customFormat="false" ht="15" hidden="false" customHeight="false" outlineLevel="0" collapsed="false">
      <c r="A1" s="107" t="s">
        <v>100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customFormat="false" ht="15" hidden="false" customHeight="false" outlineLevel="0" collapsed="false">
      <c r="A2" s="107" t="s">
        <v>109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customFormat="false" ht="15.75" hidden="false" customHeight="false" outlineLevel="0" collapsed="false">
      <c r="A3" s="153" t="s">
        <v>74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</row>
    <row r="4" customFormat="false" ht="15.75" hidden="false" customHeight="false" outlineLevel="0" collapsed="false">
      <c r="A4" s="108"/>
      <c r="B4" s="108"/>
      <c r="C4" s="108"/>
      <c r="D4" s="108"/>
      <c r="E4" s="108"/>
      <c r="F4" s="108"/>
      <c r="G4" s="108"/>
      <c r="H4" s="154"/>
      <c r="I4" s="108"/>
      <c r="J4" s="109"/>
      <c r="K4" s="109"/>
    </row>
    <row r="6" customFormat="false" ht="12.75" hidden="false" customHeight="false" outlineLevel="0" collapsed="false">
      <c r="A6" s="110" t="s">
        <v>89</v>
      </c>
      <c r="B6" s="111" t="s">
        <v>8</v>
      </c>
      <c r="C6" s="111" t="s">
        <v>8</v>
      </c>
      <c r="D6" s="111"/>
      <c r="E6" s="111"/>
      <c r="F6" s="111" t="s">
        <v>25</v>
      </c>
      <c r="G6" s="111"/>
      <c r="H6" s="155"/>
      <c r="I6" s="112" t="s">
        <v>93</v>
      </c>
      <c r="J6" s="112"/>
      <c r="K6" s="112"/>
    </row>
    <row r="7" customFormat="false" ht="12.75" hidden="false" customHeight="false" outlineLevel="0" collapsed="false">
      <c r="A7" s="113" t="s">
        <v>22</v>
      </c>
      <c r="B7" s="114" t="s">
        <v>18</v>
      </c>
      <c r="C7" s="114" t="s">
        <v>17</v>
      </c>
      <c r="D7" s="114" t="s">
        <v>110</v>
      </c>
      <c r="E7" s="114"/>
      <c r="F7" s="114" t="s">
        <v>94</v>
      </c>
      <c r="G7" s="114" t="s">
        <v>111</v>
      </c>
      <c r="H7" s="156"/>
      <c r="I7" s="114" t="s">
        <v>30</v>
      </c>
      <c r="J7" s="114" t="s">
        <v>31</v>
      </c>
      <c r="K7" s="115" t="s">
        <v>32</v>
      </c>
    </row>
    <row r="8" customFormat="false" ht="12.75" hidden="false" customHeight="false" outlineLevel="0" collapsed="false">
      <c r="A8" s="116"/>
      <c r="B8" s="117"/>
      <c r="C8" s="117"/>
      <c r="D8" s="157" t="s">
        <v>112</v>
      </c>
      <c r="E8" s="117"/>
      <c r="F8" s="117"/>
      <c r="G8" s="118" t="s">
        <v>113</v>
      </c>
      <c r="H8" s="158" t="s">
        <v>114</v>
      </c>
      <c r="I8" s="119" t="s">
        <v>96</v>
      </c>
      <c r="J8" s="119" t="s">
        <v>96</v>
      </c>
      <c r="K8" s="120" t="s">
        <v>96</v>
      </c>
    </row>
    <row r="9" customFormat="false" ht="12.75" hidden="false" customHeight="false" outlineLevel="0" collapsed="false">
      <c r="A9" s="159" t="n">
        <v>36831</v>
      </c>
      <c r="B9" s="160" t="s">
        <v>74</v>
      </c>
      <c r="C9" s="161" t="s">
        <v>115</v>
      </c>
      <c r="D9" s="124" t="n">
        <f aca="false">(0.94*0.65703/1.055056)+[3]Aeco!$E11</f>
        <v>5.27209998088662</v>
      </c>
      <c r="E9" s="160"/>
      <c r="F9" s="125" t="n">
        <f aca="false">59145330/24*1.055056</f>
        <v>2600068.13702</v>
      </c>
      <c r="G9" s="124" t="n">
        <f aca="false">(0.9*0.65703/1.055056)+[3]Aeco!$E11</f>
        <v>5.24719021306387</v>
      </c>
      <c r="H9" s="162" t="n">
        <f aca="false">+G9-D9</f>
        <v>-0.0249097678227503</v>
      </c>
      <c r="I9" s="126" t="n">
        <f aca="false">+H9*F9</f>
        <v>-64767.0936164992</v>
      </c>
      <c r="J9" s="163" t="n">
        <f aca="false">+I9</f>
        <v>-64767.0936164992</v>
      </c>
      <c r="K9" s="163"/>
      <c r="L9" s="164"/>
    </row>
    <row r="10" customFormat="false" ht="12.75" hidden="false" customHeight="false" outlineLevel="0" collapsed="false">
      <c r="A10" s="121" t="n">
        <v>36861</v>
      </c>
      <c r="B10" s="160" t="s">
        <v>74</v>
      </c>
      <c r="C10" s="123" t="s">
        <v>115</v>
      </c>
      <c r="D10" s="124" t="n">
        <f aca="false">(0.94*0.6518/1.055056)+[2]Aeco!$E11</f>
        <v>5.95041348915436</v>
      </c>
      <c r="E10" s="160"/>
      <c r="F10" s="125" t="n">
        <f aca="false">59145330/24*1.055056</f>
        <v>2600068.13702</v>
      </c>
      <c r="G10" s="124" t="n">
        <f aca="false">(0.9*0.6518/1.055056)+[2]Aeco!$E11</f>
        <v>5.92570200464548</v>
      </c>
      <c r="H10" s="162" t="n">
        <f aca="false">+G10-D10</f>
        <v>-0.0247114845088792</v>
      </c>
      <c r="I10" s="126" t="n">
        <f aca="false">+H10*F10</f>
        <v>-64251.54349</v>
      </c>
      <c r="J10" s="127"/>
      <c r="K10" s="127" t="n">
        <f aca="false">+I10</f>
        <v>-64251.54349</v>
      </c>
      <c r="L10" s="143"/>
    </row>
    <row r="11" customFormat="false" ht="12.75" hidden="false" customHeight="false" outlineLevel="0" collapsed="false">
      <c r="A11" s="121" t="n">
        <v>36892</v>
      </c>
      <c r="B11" s="160" t="s">
        <v>74</v>
      </c>
      <c r="C11" s="123" t="s">
        <v>115</v>
      </c>
      <c r="D11" s="124" t="n">
        <f aca="false">(0.94*0.6518/1.055056)+[2]Aeco!$E12</f>
        <v>6.84457894046824</v>
      </c>
      <c r="E11" s="122"/>
      <c r="F11" s="125" t="n">
        <f aca="false">59145330/24*1.055056</f>
        <v>2600068.13702</v>
      </c>
      <c r="G11" s="124" t="n">
        <f aca="false">(0.9*0.6518/1.055056)+[2]Aeco!$E12</f>
        <v>6.81986745595936</v>
      </c>
      <c r="H11" s="162" t="n">
        <f aca="false">+G11-D11</f>
        <v>-0.0247114845088783</v>
      </c>
      <c r="I11" s="126" t="n">
        <f aca="false">+H11*F11</f>
        <v>-64251.5434899977</v>
      </c>
      <c r="J11" s="127"/>
      <c r="K11" s="127" t="n">
        <f aca="false">+I11</f>
        <v>-64251.5434899977</v>
      </c>
      <c r="L11" s="143"/>
    </row>
    <row r="12" customFormat="false" ht="12.75" hidden="false" customHeight="false" outlineLevel="0" collapsed="false">
      <c r="A12" s="121" t="n">
        <v>36923</v>
      </c>
      <c r="B12" s="160" t="s">
        <v>74</v>
      </c>
      <c r="C12" s="123" t="s">
        <v>115</v>
      </c>
      <c r="D12" s="124" t="n">
        <f aca="false">(0.94*0.6518/1.055056)+[2]Aeco!$E13</f>
        <v>6.70987161024655</v>
      </c>
      <c r="E12" s="122"/>
      <c r="F12" s="125" t="n">
        <f aca="false">59145330/24*1.055056</f>
        <v>2600068.13702</v>
      </c>
      <c r="G12" s="124" t="n">
        <f aca="false">(0.9*0.6518/1.055056)+[2]Aeco!$E13</f>
        <v>6.68516012573767</v>
      </c>
      <c r="H12" s="162" t="n">
        <f aca="false">+G12-D12</f>
        <v>-0.0247114845088783</v>
      </c>
      <c r="I12" s="126" t="n">
        <f aca="false">+H12*F12</f>
        <v>-64251.5434899977</v>
      </c>
      <c r="J12" s="127"/>
      <c r="K12" s="127" t="n">
        <f aca="false">+I12</f>
        <v>-64251.5434899977</v>
      </c>
      <c r="L12" s="143"/>
    </row>
    <row r="13" customFormat="false" ht="12.75" hidden="false" customHeight="false" outlineLevel="0" collapsed="false">
      <c r="A13" s="121" t="n">
        <v>36951</v>
      </c>
      <c r="B13" s="160" t="s">
        <v>74</v>
      </c>
      <c r="C13" s="123" t="s">
        <v>115</v>
      </c>
      <c r="D13" s="124" t="n">
        <f aca="false">(0.94*0.6518/1.055056)+[2]Aeco!$E14</f>
        <v>6.14184758552991</v>
      </c>
      <c r="E13" s="122"/>
      <c r="F13" s="125" t="n">
        <f aca="false">59145330/24*1.055056</f>
        <v>2600068.13702</v>
      </c>
      <c r="G13" s="124" t="n">
        <f aca="false">(0.9*0.6518/1.055056)+[2]Aeco!$E14</f>
        <v>6.11713610102103</v>
      </c>
      <c r="H13" s="162" t="n">
        <f aca="false">+G13-D13</f>
        <v>-0.0247114845088792</v>
      </c>
      <c r="I13" s="126" t="n">
        <f aca="false">+H13*F13</f>
        <v>-64251.54349</v>
      </c>
      <c r="J13" s="127"/>
      <c r="K13" s="127" t="n">
        <f aca="false">+I13</f>
        <v>-64251.54349</v>
      </c>
      <c r="L13" s="143"/>
    </row>
    <row r="14" customFormat="false" ht="12.75" hidden="false" customHeight="false" outlineLevel="0" collapsed="false">
      <c r="A14" s="121" t="n">
        <v>36982</v>
      </c>
      <c r="B14" s="160" t="s">
        <v>74</v>
      </c>
      <c r="C14" s="123" t="s">
        <v>115</v>
      </c>
      <c r="D14" s="124" t="n">
        <f aca="false">(0.94*0.6518/1.055056)+[2]Aeco!$E15</f>
        <v>5.46321988595866</v>
      </c>
      <c r="E14" s="122"/>
      <c r="F14" s="125" t="n">
        <f aca="false">59145330/24*1.055056</f>
        <v>2600068.13702</v>
      </c>
      <c r="G14" s="124" t="n">
        <f aca="false">(0.9*0.6518/1.055056)+[2]Aeco!$E15</f>
        <v>5.43850840144978</v>
      </c>
      <c r="H14" s="162" t="n">
        <f aca="false">+G14-D14</f>
        <v>-0.0247114845088783</v>
      </c>
      <c r="I14" s="126" t="n">
        <f aca="false">+H14*F14</f>
        <v>-64251.5434899977</v>
      </c>
      <c r="J14" s="127"/>
      <c r="K14" s="127" t="n">
        <f aca="false">+I14</f>
        <v>-64251.5434899977</v>
      </c>
      <c r="L14" s="143"/>
    </row>
    <row r="15" customFormat="false" ht="12.75" hidden="false" customHeight="false" outlineLevel="0" collapsed="false">
      <c r="A15" s="121" t="n">
        <v>37012</v>
      </c>
      <c r="B15" s="160" t="s">
        <v>74</v>
      </c>
      <c r="C15" s="123" t="s">
        <v>115</v>
      </c>
      <c r="D15" s="124" t="n">
        <f aca="false">(0.94*0.6518/1.055056)+[2]Aeco!$E16</f>
        <v>5.18821988595866</v>
      </c>
      <c r="E15" s="122"/>
      <c r="F15" s="125" t="n">
        <f aca="false">59145330/24*1.055056</f>
        <v>2600068.13702</v>
      </c>
      <c r="G15" s="124" t="n">
        <f aca="false">(0.9*0.6518/1.055056)+[2]Aeco!$E16</f>
        <v>5.16350840144978</v>
      </c>
      <c r="H15" s="162" t="n">
        <f aca="false">+G15-D15</f>
        <v>-0.0247114845088783</v>
      </c>
      <c r="I15" s="126" t="n">
        <f aca="false">+H15*F15</f>
        <v>-64251.5434899977</v>
      </c>
      <c r="J15" s="127"/>
      <c r="K15" s="127" t="n">
        <f aca="false">+I15</f>
        <v>-64251.5434899977</v>
      </c>
      <c r="L15" s="143"/>
    </row>
    <row r="16" customFormat="false" ht="12.75" hidden="false" customHeight="false" outlineLevel="0" collapsed="false">
      <c r="A16" s="121" t="n">
        <v>37043</v>
      </c>
      <c r="B16" s="160" t="s">
        <v>74</v>
      </c>
      <c r="C16" s="123" t="s">
        <v>115</v>
      </c>
      <c r="D16" s="124" t="n">
        <f aca="false">(0.94*0.6518/1.055056)+[2]Aeco!$E17</f>
        <v>5.15321988595866</v>
      </c>
      <c r="E16" s="122"/>
      <c r="F16" s="125" t="n">
        <f aca="false">59145330/24*1.055056</f>
        <v>2600068.13702</v>
      </c>
      <c r="G16" s="124" t="n">
        <f aca="false">(0.9*0.6518/1.055056)+[2]Aeco!$E17</f>
        <v>5.12850840144978</v>
      </c>
      <c r="H16" s="162" t="n">
        <f aca="false">+G16-D16</f>
        <v>-0.0247114845088792</v>
      </c>
      <c r="I16" s="126" t="n">
        <f aca="false">+H16*F16</f>
        <v>-64251.54349</v>
      </c>
      <c r="J16" s="127"/>
      <c r="K16" s="127" t="n">
        <f aca="false">+I16</f>
        <v>-64251.54349</v>
      </c>
      <c r="L16" s="143"/>
    </row>
    <row r="17" customFormat="false" ht="12.75" hidden="false" customHeight="false" outlineLevel="0" collapsed="false">
      <c r="A17" s="121" t="n">
        <v>37073</v>
      </c>
      <c r="B17" s="160" t="s">
        <v>74</v>
      </c>
      <c r="C17" s="123" t="s">
        <v>115</v>
      </c>
      <c r="D17" s="124" t="n">
        <f aca="false">(0.94*0.6518/1.055056)+[2]Aeco!$E18</f>
        <v>5.13321988595866</v>
      </c>
      <c r="E17" s="122"/>
      <c r="F17" s="125" t="n">
        <f aca="false">59145330/24*1.055056</f>
        <v>2600068.13702</v>
      </c>
      <c r="G17" s="124" t="n">
        <f aca="false">(0.9*0.6518/1.055056)+[2]Aeco!$E18</f>
        <v>5.10850840144978</v>
      </c>
      <c r="H17" s="162" t="n">
        <f aca="false">+G17-D17</f>
        <v>-0.0247114845088783</v>
      </c>
      <c r="I17" s="126" t="n">
        <f aca="false">+H17*F17</f>
        <v>-64251.5434899977</v>
      </c>
      <c r="J17" s="127"/>
      <c r="K17" s="127" t="n">
        <f aca="false">+I17</f>
        <v>-64251.5434899977</v>
      </c>
      <c r="L17" s="143"/>
    </row>
    <row r="18" customFormat="false" ht="12.75" hidden="false" customHeight="false" outlineLevel="0" collapsed="false">
      <c r="A18" s="121" t="n">
        <v>37104</v>
      </c>
      <c r="B18" s="160" t="s">
        <v>74</v>
      </c>
      <c r="C18" s="123" t="s">
        <v>115</v>
      </c>
      <c r="D18" s="124" t="n">
        <f aca="false">(0.94*0.6518/1.055056)+[2]Aeco!$E19</f>
        <v>5.11321988595866</v>
      </c>
      <c r="E18" s="122"/>
      <c r="F18" s="125" t="n">
        <f aca="false">59145330/24*1.055056</f>
        <v>2600068.13702</v>
      </c>
      <c r="G18" s="124" t="n">
        <f aca="false">(0.9*0.6518/1.055056)+[2]Aeco!$E19</f>
        <v>5.08850840144978</v>
      </c>
      <c r="H18" s="162" t="n">
        <f aca="false">+G18-D18</f>
        <v>-0.0247114845088783</v>
      </c>
      <c r="I18" s="126" t="n">
        <f aca="false">+H18*F18</f>
        <v>-64251.5434899977</v>
      </c>
      <c r="J18" s="127"/>
      <c r="K18" s="127" t="n">
        <f aca="false">+I18</f>
        <v>-64251.5434899977</v>
      </c>
      <c r="L18" s="143"/>
    </row>
    <row r="19" customFormat="false" ht="12.75" hidden="false" customHeight="false" outlineLevel="0" collapsed="false">
      <c r="A19" s="121" t="n">
        <v>37135</v>
      </c>
      <c r="B19" s="160" t="s">
        <v>74</v>
      </c>
      <c r="C19" s="123" t="s">
        <v>115</v>
      </c>
      <c r="D19" s="124" t="n">
        <f aca="false">(0.94*0.6518/1.055056)+[2]Aeco!$E20</f>
        <v>5.09821988595866</v>
      </c>
      <c r="E19" s="122"/>
      <c r="F19" s="125" t="n">
        <f aca="false">59145330/24*1.055056</f>
        <v>2600068.13702</v>
      </c>
      <c r="G19" s="124" t="n">
        <f aca="false">(0.9*0.6518/1.055056)+[2]Aeco!$E20</f>
        <v>5.07350840144978</v>
      </c>
      <c r="H19" s="162" t="n">
        <f aca="false">+G19-D19</f>
        <v>-0.0247114845088783</v>
      </c>
      <c r="I19" s="126" t="n">
        <f aca="false">+H19*F19</f>
        <v>-64251.5434899977</v>
      </c>
      <c r="J19" s="127"/>
      <c r="K19" s="127" t="n">
        <f aca="false">+I19</f>
        <v>-64251.5434899977</v>
      </c>
      <c r="L19" s="143"/>
    </row>
    <row r="20" customFormat="false" ht="12.75" hidden="false" customHeight="false" outlineLevel="0" collapsed="false">
      <c r="A20" s="121" t="n">
        <v>37165</v>
      </c>
      <c r="B20" s="160" t="s">
        <v>74</v>
      </c>
      <c r="C20" s="123" t="s">
        <v>115</v>
      </c>
      <c r="D20" s="124" t="n">
        <f aca="false">(0.94*0.6518/1.055056)+[2]Aeco!$E21</f>
        <v>5.08821988595866</v>
      </c>
      <c r="E20" s="122"/>
      <c r="F20" s="125" t="n">
        <f aca="false">59145330/24*1.055056</f>
        <v>2600068.13702</v>
      </c>
      <c r="G20" s="124" t="n">
        <f aca="false">(0.9*0.6518/1.055056)+[2]Aeco!$E21</f>
        <v>5.06350840144978</v>
      </c>
      <c r="H20" s="162" t="n">
        <f aca="false">+G20-D20</f>
        <v>-0.0247114845088783</v>
      </c>
      <c r="I20" s="126" t="n">
        <f aca="false">+H20*F20</f>
        <v>-64251.5434899977</v>
      </c>
      <c r="J20" s="127"/>
      <c r="K20" s="127" t="n">
        <f aca="false">+I20</f>
        <v>-64251.5434899977</v>
      </c>
      <c r="L20" s="143"/>
    </row>
    <row r="21" customFormat="false" ht="12.75" hidden="false" customHeight="false" outlineLevel="0" collapsed="false">
      <c r="A21" s="121" t="n">
        <v>37196</v>
      </c>
      <c r="B21" s="160" t="s">
        <v>74</v>
      </c>
      <c r="C21" s="123" t="s">
        <v>115</v>
      </c>
      <c r="D21" s="124" t="n">
        <f aca="false">(0.94*0.6518/1.055056)+[2]Aeco!$E22</f>
        <v>5.28071988595866</v>
      </c>
      <c r="E21" s="122"/>
      <c r="F21" s="125" t="n">
        <f aca="false">59145330/24*1.055056</f>
        <v>2600068.13702</v>
      </c>
      <c r="G21" s="124" t="n">
        <f aca="false">(0.9*0.6518/1.055056)+[2]Aeco!$E22</f>
        <v>5.25600840144978</v>
      </c>
      <c r="H21" s="162" t="n">
        <f aca="false">+G21-D21</f>
        <v>-0.0247114845088792</v>
      </c>
      <c r="I21" s="126" t="n">
        <f aca="false">+H21*F21</f>
        <v>-64251.54349</v>
      </c>
      <c r="J21" s="127"/>
      <c r="K21" s="127" t="n">
        <f aca="false">+I21</f>
        <v>-64251.54349</v>
      </c>
      <c r="L21" s="143"/>
    </row>
    <row r="22" customFormat="false" ht="12.75" hidden="false" customHeight="false" outlineLevel="0" collapsed="false">
      <c r="A22" s="121" t="n">
        <v>37226</v>
      </c>
      <c r="B22" s="160" t="s">
        <v>74</v>
      </c>
      <c r="C22" s="123" t="s">
        <v>115</v>
      </c>
      <c r="D22" s="124" t="n">
        <f aca="false">(0.94*0.6518/1.055056)+[2]Aeco!$E23</f>
        <v>5.35571988595866</v>
      </c>
      <c r="E22" s="122"/>
      <c r="F22" s="125" t="n">
        <f aca="false">59145330/24*1.055056</f>
        <v>2600068.13702</v>
      </c>
      <c r="G22" s="124" t="n">
        <f aca="false">(0.9*0.6518/1.055056)+[2]Aeco!$E23</f>
        <v>5.33100840144978</v>
      </c>
      <c r="H22" s="162" t="n">
        <f aca="false">+G22-D22</f>
        <v>-0.0247114845088783</v>
      </c>
      <c r="I22" s="126" t="n">
        <f aca="false">+H22*F22</f>
        <v>-64251.5434899977</v>
      </c>
      <c r="J22" s="127"/>
      <c r="K22" s="127" t="n">
        <f aca="false">+I22</f>
        <v>-64251.5434899977</v>
      </c>
      <c r="L22" s="143"/>
    </row>
    <row r="23" customFormat="false" ht="12.75" hidden="false" customHeight="false" outlineLevel="0" collapsed="false">
      <c r="A23" s="121" t="n">
        <v>37257</v>
      </c>
      <c r="B23" s="160" t="s">
        <v>74</v>
      </c>
      <c r="C23" s="123" t="s">
        <v>115</v>
      </c>
      <c r="D23" s="124" t="n">
        <f aca="false">(0.94*0.6518/1.055056)+[2]Aeco!$E24</f>
        <v>5.36571988595866</v>
      </c>
      <c r="E23" s="122"/>
      <c r="F23" s="125" t="n">
        <f aca="false">59145330/24*1.055056</f>
        <v>2600068.13702</v>
      </c>
      <c r="G23" s="124" t="n">
        <f aca="false">(0.9*0.6518/1.055056)+[2]Aeco!$E24</f>
        <v>5.34100840144978</v>
      </c>
      <c r="H23" s="162" t="n">
        <f aca="false">+G23-D23</f>
        <v>-0.0247114845088783</v>
      </c>
      <c r="I23" s="126" t="n">
        <f aca="false">+H23*F23</f>
        <v>-64251.5434899977</v>
      </c>
      <c r="J23" s="127"/>
      <c r="K23" s="127" t="n">
        <f aca="false">+I23</f>
        <v>-64251.5434899977</v>
      </c>
      <c r="L23" s="143"/>
    </row>
    <row r="24" customFormat="false" ht="12.75" hidden="false" customHeight="false" outlineLevel="0" collapsed="false">
      <c r="A24" s="121" t="n">
        <v>37288</v>
      </c>
      <c r="B24" s="160" t="s">
        <v>74</v>
      </c>
      <c r="C24" s="123" t="s">
        <v>115</v>
      </c>
      <c r="D24" s="124" t="n">
        <f aca="false">(0.94*0.6518/1.055056)+[2]Aeco!$E25</f>
        <v>5.13571988595866</v>
      </c>
      <c r="E24" s="122"/>
      <c r="F24" s="125" t="n">
        <f aca="false">59145330/24*1.055056</f>
        <v>2600068.13702</v>
      </c>
      <c r="G24" s="124" t="n">
        <f aca="false">(0.9*0.6518/1.055056)+[2]Aeco!$E25</f>
        <v>5.11100840144978</v>
      </c>
      <c r="H24" s="162" t="n">
        <f aca="false">+G24-D24</f>
        <v>-0.0247114845088792</v>
      </c>
      <c r="I24" s="126" t="n">
        <f aca="false">+H24*F24</f>
        <v>-64251.54349</v>
      </c>
      <c r="J24" s="127"/>
      <c r="K24" s="127" t="n">
        <f aca="false">+I24</f>
        <v>-64251.54349</v>
      </c>
      <c r="L24" s="143"/>
    </row>
    <row r="25" customFormat="false" ht="12.75" hidden="false" customHeight="false" outlineLevel="0" collapsed="false">
      <c r="A25" s="121" t="n">
        <v>37316</v>
      </c>
      <c r="B25" s="160" t="s">
        <v>74</v>
      </c>
      <c r="C25" s="123" t="s">
        <v>115</v>
      </c>
      <c r="D25" s="124" t="n">
        <f aca="false">(0.94*0.6518/1.055056)+[2]Aeco!$E26</f>
        <v>4.90071988595866</v>
      </c>
      <c r="E25" s="122"/>
      <c r="F25" s="125" t="n">
        <f aca="false">59145330/24*1.055056</f>
        <v>2600068.13702</v>
      </c>
      <c r="G25" s="124" t="n">
        <f aca="false">(0.9*0.6518/1.055056)+[2]Aeco!$E26</f>
        <v>4.87600840144978</v>
      </c>
      <c r="H25" s="162" t="n">
        <f aca="false">+G25-D25</f>
        <v>-0.0247114845088783</v>
      </c>
      <c r="I25" s="126" t="n">
        <f aca="false">+H25*F25</f>
        <v>-64251.5434899977</v>
      </c>
      <c r="J25" s="127"/>
      <c r="K25" s="127" t="n">
        <f aca="false">+I25</f>
        <v>-64251.5434899977</v>
      </c>
      <c r="L25" s="143"/>
    </row>
    <row r="26" customFormat="false" ht="12.75" hidden="false" customHeight="false" outlineLevel="0" collapsed="false">
      <c r="A26" s="121" t="n">
        <v>37347</v>
      </c>
      <c r="B26" s="160" t="s">
        <v>74</v>
      </c>
      <c r="C26" s="123" t="s">
        <v>115</v>
      </c>
      <c r="D26" s="124" t="n">
        <f aca="false">(0.94*0.6518/1.055056)+[2]Aeco!$E27</f>
        <v>4.46821988595866</v>
      </c>
      <c r="E26" s="122"/>
      <c r="F26" s="125" t="n">
        <f aca="false">59145330/24*1.055056</f>
        <v>2600068.13702</v>
      </c>
      <c r="G26" s="124" t="n">
        <f aca="false">(0.9*0.6518/1.055056)+[2]Aeco!$E27</f>
        <v>4.44350840144978</v>
      </c>
      <c r="H26" s="162" t="n">
        <f aca="false">+G26-D26</f>
        <v>-0.0247114845088792</v>
      </c>
      <c r="I26" s="126" t="n">
        <f aca="false">+H26*F26</f>
        <v>-64251.54349</v>
      </c>
      <c r="J26" s="127"/>
      <c r="K26" s="127" t="n">
        <f aca="false">+I26</f>
        <v>-64251.54349</v>
      </c>
      <c r="L26" s="143"/>
    </row>
    <row r="27" customFormat="false" ht="12.75" hidden="false" customHeight="false" outlineLevel="0" collapsed="false">
      <c r="A27" s="121" t="n">
        <v>37377</v>
      </c>
      <c r="B27" s="160" t="s">
        <v>74</v>
      </c>
      <c r="C27" s="123" t="s">
        <v>115</v>
      </c>
      <c r="D27" s="124" t="n">
        <f aca="false">(0.94*0.6518/1.055056)+[2]Aeco!$E28</f>
        <v>4.41821988595866</v>
      </c>
      <c r="E27" s="122"/>
      <c r="F27" s="125" t="n">
        <f aca="false">59145330/24*1.055056</f>
        <v>2600068.13702</v>
      </c>
      <c r="G27" s="124" t="n">
        <f aca="false">(0.9*0.6518/1.055056)+[2]Aeco!$E28</f>
        <v>4.39350840144978</v>
      </c>
      <c r="H27" s="162" t="n">
        <f aca="false">+G27-D27</f>
        <v>-0.0247114845088792</v>
      </c>
      <c r="I27" s="126" t="n">
        <f aca="false">+H27*F27</f>
        <v>-64251.54349</v>
      </c>
      <c r="J27" s="127"/>
      <c r="K27" s="127" t="n">
        <f aca="false">+I27</f>
        <v>-64251.54349</v>
      </c>
      <c r="L27" s="143"/>
    </row>
    <row r="28" customFormat="false" ht="12.75" hidden="false" customHeight="false" outlineLevel="0" collapsed="false">
      <c r="A28" s="121" t="n">
        <v>37408</v>
      </c>
      <c r="B28" s="160" t="s">
        <v>74</v>
      </c>
      <c r="C28" s="123" t="s">
        <v>115</v>
      </c>
      <c r="D28" s="124" t="n">
        <f aca="false">(0.94*0.6518/1.055056)+[2]Aeco!$E29</f>
        <v>4.39821988595866</v>
      </c>
      <c r="E28" s="122"/>
      <c r="F28" s="125" t="n">
        <f aca="false">59145330/24*1.055056</f>
        <v>2600068.13702</v>
      </c>
      <c r="G28" s="124" t="n">
        <f aca="false">(0.9*0.6518/1.055056)+[2]Aeco!$E29</f>
        <v>4.37350840144978</v>
      </c>
      <c r="H28" s="162" t="n">
        <f aca="false">+G28-D28</f>
        <v>-0.0247114845088792</v>
      </c>
      <c r="I28" s="126" t="n">
        <f aca="false">+H28*F28</f>
        <v>-64251.54349</v>
      </c>
      <c r="J28" s="127"/>
      <c r="K28" s="127" t="n">
        <f aca="false">+I28</f>
        <v>-64251.54349</v>
      </c>
      <c r="L28" s="143"/>
    </row>
    <row r="29" customFormat="false" ht="12.75" hidden="false" customHeight="false" outlineLevel="0" collapsed="false">
      <c r="A29" s="121" t="n">
        <v>37438</v>
      </c>
      <c r="B29" s="160" t="s">
        <v>74</v>
      </c>
      <c r="C29" s="123" t="s">
        <v>115</v>
      </c>
      <c r="D29" s="124" t="n">
        <f aca="false">(0.94*0.6518/1.055056)+[2]Aeco!$E30</f>
        <v>4.39821988595866</v>
      </c>
      <c r="E29" s="122"/>
      <c r="F29" s="125" t="n">
        <f aca="false">59145330/24*1.055056</f>
        <v>2600068.13702</v>
      </c>
      <c r="G29" s="124" t="n">
        <f aca="false">(0.9*0.6518/1.055056)+[2]Aeco!$E30</f>
        <v>4.37350840144978</v>
      </c>
      <c r="H29" s="162" t="n">
        <f aca="false">+G29-D29</f>
        <v>-0.0247114845088792</v>
      </c>
      <c r="I29" s="126" t="n">
        <f aca="false">+H29*F29</f>
        <v>-64251.54349</v>
      </c>
      <c r="J29" s="127"/>
      <c r="K29" s="127" t="n">
        <f aca="false">+I29</f>
        <v>-64251.54349</v>
      </c>
      <c r="L29" s="143"/>
    </row>
    <row r="30" customFormat="false" ht="12.75" hidden="false" customHeight="false" outlineLevel="0" collapsed="false">
      <c r="A30" s="121" t="n">
        <v>37469</v>
      </c>
      <c r="B30" s="160" t="s">
        <v>74</v>
      </c>
      <c r="C30" s="123" t="s">
        <v>115</v>
      </c>
      <c r="D30" s="124" t="n">
        <f aca="false">(0.94*0.6518/1.055056)+[2]Aeco!$E31</f>
        <v>4.40021988595866</v>
      </c>
      <c r="E30" s="122"/>
      <c r="F30" s="125" t="n">
        <f aca="false">59145330/24*1.055056</f>
        <v>2600068.13702</v>
      </c>
      <c r="G30" s="124" t="n">
        <f aca="false">(0.9*0.6518/1.055056)+[2]Aeco!$E31</f>
        <v>4.37550840144978</v>
      </c>
      <c r="H30" s="162" t="n">
        <f aca="false">+G30-D30</f>
        <v>-0.0247114845088792</v>
      </c>
      <c r="I30" s="126" t="n">
        <f aca="false">+H30*F30</f>
        <v>-64251.54349</v>
      </c>
      <c r="J30" s="127"/>
      <c r="K30" s="127" t="n">
        <f aca="false">+I30</f>
        <v>-64251.54349</v>
      </c>
      <c r="L30" s="143"/>
    </row>
    <row r="31" customFormat="false" ht="12.75" hidden="false" customHeight="false" outlineLevel="0" collapsed="false">
      <c r="A31" s="121" t="n">
        <v>37500</v>
      </c>
      <c r="B31" s="160" t="s">
        <v>74</v>
      </c>
      <c r="C31" s="123" t="s">
        <v>115</v>
      </c>
      <c r="D31" s="124" t="n">
        <f aca="false">(0.94*0.6518/1.055056)+[2]Aeco!$E32</f>
        <v>4.39521988595866</v>
      </c>
      <c r="E31" s="122"/>
      <c r="F31" s="125" t="n">
        <f aca="false">59145330/24*1.055056</f>
        <v>2600068.13702</v>
      </c>
      <c r="G31" s="124" t="n">
        <f aca="false">(0.9*0.6518/1.055056)+[2]Aeco!$E32</f>
        <v>4.37050840144978</v>
      </c>
      <c r="H31" s="162" t="n">
        <f aca="false">+G31-D31</f>
        <v>-0.0247114845088792</v>
      </c>
      <c r="I31" s="126" t="n">
        <f aca="false">+H31*F31</f>
        <v>-64251.54349</v>
      </c>
      <c r="J31" s="127"/>
      <c r="K31" s="127" t="n">
        <f aca="false">+I31</f>
        <v>-64251.54349</v>
      </c>
      <c r="L31" s="143"/>
    </row>
    <row r="32" customFormat="false" ht="12.75" hidden="false" customHeight="false" outlineLevel="0" collapsed="false">
      <c r="A32" s="121" t="n">
        <v>37530</v>
      </c>
      <c r="B32" s="160" t="s">
        <v>74</v>
      </c>
      <c r="C32" s="123" t="s">
        <v>115</v>
      </c>
      <c r="D32" s="124" t="n">
        <f aca="false">(0.94*0.6518/1.055056)+[2]Aeco!$E33</f>
        <v>4.39021988595866</v>
      </c>
      <c r="E32" s="122"/>
      <c r="F32" s="125" t="n">
        <f aca="false">59145330/24*1.055056</f>
        <v>2600068.13702</v>
      </c>
      <c r="G32" s="124" t="n">
        <f aca="false">(0.9*0.65703/1.055056)+[2]Aeco!$E33</f>
        <v>4.36996977601189</v>
      </c>
      <c r="H32" s="162" t="n">
        <f aca="false">+G32-D32</f>
        <v>-0.0202501099467707</v>
      </c>
      <c r="I32" s="126" t="n">
        <f aca="false">+H32*F32</f>
        <v>-52651.6656437502</v>
      </c>
      <c r="J32" s="127"/>
      <c r="K32" s="127" t="n">
        <f aca="false">+I32</f>
        <v>-52651.6656437502</v>
      </c>
      <c r="L32" s="143"/>
    </row>
    <row r="33" customFormat="false" ht="12.75" hidden="false" customHeight="false" outlineLevel="0" collapsed="false">
      <c r="A33" s="121"/>
      <c r="B33" s="160"/>
      <c r="C33" s="123"/>
      <c r="D33" s="124"/>
      <c r="E33" s="122"/>
      <c r="F33" s="125"/>
      <c r="G33" s="124"/>
      <c r="H33" s="162"/>
      <c r="I33" s="126"/>
      <c r="J33" s="127"/>
      <c r="K33" s="165"/>
    </row>
    <row r="34" customFormat="false" ht="12.75" hidden="false" customHeight="false" outlineLevel="0" collapsed="false">
      <c r="A34" s="121"/>
      <c r="B34" s="122"/>
      <c r="C34" s="123"/>
      <c r="D34" s="124"/>
      <c r="E34" s="122"/>
      <c r="F34" s="125"/>
      <c r="G34" s="124"/>
      <c r="H34" s="162"/>
      <c r="I34" s="126"/>
      <c r="J34" s="127"/>
      <c r="K34" s="165"/>
    </row>
    <row r="35" customFormat="false" ht="12.75" hidden="false" customHeight="false" outlineLevel="0" collapsed="false">
      <c r="A35" s="121"/>
      <c r="B35" s="122"/>
      <c r="C35" s="123"/>
      <c r="D35" s="124"/>
      <c r="E35" s="122"/>
      <c r="F35" s="125"/>
      <c r="G35" s="124"/>
      <c r="H35" s="162"/>
      <c r="I35" s="126"/>
      <c r="J35" s="127"/>
      <c r="K35" s="165"/>
    </row>
    <row r="36" customFormat="false" ht="13.5" hidden="false" customHeight="false" outlineLevel="0" collapsed="false">
      <c r="A36" s="121"/>
      <c r="B36" s="122"/>
      <c r="C36" s="123"/>
      <c r="D36" s="124"/>
      <c r="E36" s="122"/>
      <c r="F36" s="150" t="n">
        <f aca="false">SUM(F9:F35)</f>
        <v>62401635.28848</v>
      </c>
      <c r="G36" s="122"/>
      <c r="H36" s="162" t="n">
        <f aca="false">+I36/F36</f>
        <v>-0.0245338557068689</v>
      </c>
      <c r="I36" s="151" t="n">
        <f aca="false">SUM(I9:I35)</f>
        <v>-1530952.71604023</v>
      </c>
      <c r="J36" s="151" t="n">
        <f aca="false">SUM(J9:J35)</f>
        <v>-64767.0936164992</v>
      </c>
      <c r="K36" s="151" t="n">
        <f aca="false">SUM(K9:K35)</f>
        <v>-1466185.62242373</v>
      </c>
    </row>
    <row r="37" customFormat="false" ht="13.5" hidden="false" customHeight="false" outlineLevel="0" collapsed="false">
      <c r="A37" s="121"/>
      <c r="B37" s="122"/>
      <c r="C37" s="123"/>
      <c r="D37" s="124"/>
      <c r="E37" s="122"/>
      <c r="G37" s="122"/>
      <c r="H37" s="162"/>
      <c r="I37" s="126"/>
      <c r="J37" s="126"/>
      <c r="K37" s="126"/>
    </row>
    <row r="38" customFormat="false" ht="12.75" hidden="false" customHeight="false" outlineLevel="0" collapsed="false">
      <c r="A38" s="141"/>
      <c r="B38" s="141"/>
      <c r="C38" s="141"/>
      <c r="D38" s="141"/>
      <c r="E38" s="141"/>
      <c r="F38" s="141"/>
      <c r="G38" s="141"/>
      <c r="H38" s="166"/>
      <c r="I38" s="141"/>
      <c r="J38" s="142"/>
      <c r="K38" s="142"/>
    </row>
    <row r="40" customFormat="false" ht="12.75" hidden="false" customHeight="false" outlineLevel="0" collapsed="false">
      <c r="A40" s="105"/>
      <c r="I40" s="167"/>
    </row>
  </sheetData>
  <mergeCells count="4">
    <mergeCell ref="A1:K1"/>
    <mergeCell ref="A2:K2"/>
    <mergeCell ref="A3:K3"/>
    <mergeCell ref="I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1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0.71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4.28"/>
    <col collapsed="false" customWidth="true" hidden="false" outlineLevel="0" max="8" min="8" style="0" width="10.71"/>
    <col collapsed="false" customWidth="true" hidden="false" outlineLevel="0" max="9" min="9" style="0" width="14.99"/>
    <col collapsed="false" customWidth="true" hidden="false" outlineLevel="0" max="10" min="10" style="0" width="13.41"/>
    <col collapsed="false" customWidth="true" hidden="false" outlineLevel="0" max="11" min="11" style="0" width="14.99"/>
  </cols>
  <sheetData>
    <row r="1" customFormat="false" ht="15" hidden="false" customHeight="false" outlineLevel="0" collapsed="false">
      <c r="A1" s="107" t="s">
        <v>100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customFormat="false" ht="15" hidden="false" customHeight="false" outlineLevel="0" collapsed="false">
      <c r="A2" s="107" t="s">
        <v>87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customFormat="false" ht="15.75" hidden="false" customHeight="false" outlineLevel="0" collapsed="false">
      <c r="A3" s="107" t="s">
        <v>116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4" customFormat="false" ht="15.75" hidden="false" customHeight="false" outlineLevel="0" collapsed="false">
      <c r="A4" s="144" t="s">
        <v>117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</row>
    <row r="5" customFormat="false" ht="12.75" hidden="false" customHeight="false" outlineLevel="0" collapsed="false">
      <c r="A5" s="168"/>
      <c r="B5" s="168"/>
      <c r="C5" s="168"/>
    </row>
    <row r="6" customFormat="false" ht="12.75" hidden="false" customHeight="false" outlineLevel="0" collapsed="false">
      <c r="A6" s="113" t="s">
        <v>89</v>
      </c>
      <c r="B6" s="114" t="s">
        <v>8</v>
      </c>
      <c r="C6" s="114" t="s">
        <v>8</v>
      </c>
      <c r="D6" s="111" t="s">
        <v>59</v>
      </c>
      <c r="E6" s="111"/>
      <c r="F6" s="111" t="s">
        <v>118</v>
      </c>
      <c r="G6" s="111" t="s">
        <v>52</v>
      </c>
      <c r="H6" s="111"/>
      <c r="I6" s="169" t="s">
        <v>93</v>
      </c>
      <c r="J6" s="169"/>
      <c r="K6" s="169"/>
    </row>
    <row r="7" customFormat="false" ht="12.75" hidden="false" customHeight="false" outlineLevel="0" collapsed="false">
      <c r="A7" s="113" t="s">
        <v>22</v>
      </c>
      <c r="B7" s="114" t="s">
        <v>18</v>
      </c>
      <c r="C7" s="114" t="s">
        <v>17</v>
      </c>
      <c r="D7" s="114" t="s">
        <v>90</v>
      </c>
      <c r="E7" s="114"/>
      <c r="F7" s="114" t="s">
        <v>119</v>
      </c>
      <c r="G7" s="114" t="s">
        <v>120</v>
      </c>
      <c r="H7" s="114"/>
      <c r="I7" s="120" t="s">
        <v>93</v>
      </c>
      <c r="J7" s="120"/>
      <c r="K7" s="120"/>
    </row>
    <row r="8" customFormat="false" ht="12.75" hidden="false" customHeight="false" outlineLevel="0" collapsed="false">
      <c r="A8" s="170"/>
      <c r="B8" s="170"/>
      <c r="C8" s="170"/>
      <c r="D8" s="114" t="s">
        <v>23</v>
      </c>
      <c r="E8" s="114"/>
      <c r="F8" s="114"/>
      <c r="G8" s="114" t="s">
        <v>23</v>
      </c>
      <c r="H8" s="114"/>
      <c r="I8" s="114" t="s">
        <v>30</v>
      </c>
      <c r="J8" s="114" t="s">
        <v>31</v>
      </c>
      <c r="K8" s="115" t="s">
        <v>32</v>
      </c>
    </row>
    <row r="9" customFormat="false" ht="12.75" hidden="false" customHeight="false" outlineLevel="0" collapsed="false">
      <c r="A9" s="113"/>
      <c r="B9" s="114"/>
      <c r="C9" s="114"/>
      <c r="D9" s="114"/>
      <c r="E9" s="114"/>
      <c r="F9" s="114"/>
      <c r="G9" s="114" t="s">
        <v>121</v>
      </c>
      <c r="H9" s="114"/>
      <c r="I9" s="114"/>
      <c r="J9" s="114"/>
      <c r="K9" s="115"/>
    </row>
    <row r="10" customFormat="false" ht="12.75" hidden="false" customHeight="false" outlineLevel="0" collapsed="false">
      <c r="A10" s="116"/>
      <c r="B10" s="117"/>
      <c r="C10" s="117"/>
      <c r="D10" s="171"/>
      <c r="E10" s="117"/>
      <c r="F10" s="117"/>
      <c r="G10" s="118" t="s">
        <v>122</v>
      </c>
      <c r="H10" s="119" t="s">
        <v>14</v>
      </c>
      <c r="I10" s="119" t="s">
        <v>96</v>
      </c>
      <c r="J10" s="119" t="s">
        <v>96</v>
      </c>
      <c r="K10" s="120" t="s">
        <v>96</v>
      </c>
    </row>
    <row r="11" customFormat="false" ht="12.75" hidden="false" customHeight="false" outlineLevel="0" collapsed="false">
      <c r="A11" s="172" t="n">
        <v>36848</v>
      </c>
      <c r="B11" s="122"/>
      <c r="C11" s="123" t="s">
        <v>52</v>
      </c>
      <c r="D11" s="124" t="n">
        <v>5.885</v>
      </c>
      <c r="E11" s="122"/>
      <c r="F11" s="125" t="n">
        <v>-9615</v>
      </c>
      <c r="G11" s="124"/>
      <c r="H11" s="124"/>
      <c r="I11" s="126" t="n">
        <f aca="false">+F11*D11</f>
        <v>-56584.275</v>
      </c>
      <c r="J11" s="127" t="n">
        <f aca="false">+I11</f>
        <v>-56584.275</v>
      </c>
      <c r="K11" s="127"/>
    </row>
    <row r="12" customFormat="false" ht="12.75" hidden="false" customHeight="false" outlineLevel="0" collapsed="false">
      <c r="A12" s="172" t="n">
        <f aca="false">+A11+1</f>
        <v>36849</v>
      </c>
      <c r="B12" s="122"/>
      <c r="C12" s="123" t="s">
        <v>52</v>
      </c>
      <c r="D12" s="124" t="n">
        <v>5.885</v>
      </c>
      <c r="E12" s="122"/>
      <c r="F12" s="125" t="n">
        <v>-9615</v>
      </c>
      <c r="G12" s="124"/>
      <c r="H12" s="124"/>
      <c r="I12" s="126" t="n">
        <f aca="false">+F12*D12</f>
        <v>-56584.275</v>
      </c>
      <c r="J12" s="127" t="n">
        <f aca="false">+I12</f>
        <v>-56584.275</v>
      </c>
      <c r="K12" s="127"/>
    </row>
    <row r="13" customFormat="false" ht="12.75" hidden="false" customHeight="false" outlineLevel="0" collapsed="false">
      <c r="A13" s="172" t="n">
        <f aca="false">+A12+1</f>
        <v>36850</v>
      </c>
      <c r="B13" s="122"/>
      <c r="C13" s="123" t="s">
        <v>52</v>
      </c>
      <c r="D13" s="124" t="n">
        <v>5.885</v>
      </c>
      <c r="E13" s="122"/>
      <c r="F13" s="125" t="n">
        <v>-9615</v>
      </c>
      <c r="G13" s="124"/>
      <c r="H13" s="124"/>
      <c r="I13" s="126" t="n">
        <f aca="false">+F13*D13</f>
        <v>-56584.275</v>
      </c>
      <c r="J13" s="127" t="n">
        <f aca="false">+I13</f>
        <v>-56584.275</v>
      </c>
      <c r="K13" s="127"/>
    </row>
    <row r="14" customFormat="false" ht="12.75" hidden="false" customHeight="false" outlineLevel="0" collapsed="false">
      <c r="A14" s="172" t="n">
        <f aca="false">+A13+1</f>
        <v>36851</v>
      </c>
      <c r="B14" s="122"/>
      <c r="C14" s="123" t="s">
        <v>52</v>
      </c>
      <c r="D14" s="124" t="n">
        <v>5.885</v>
      </c>
      <c r="E14" s="122"/>
      <c r="F14" s="125" t="n">
        <v>-9615</v>
      </c>
      <c r="G14" s="124"/>
      <c r="H14" s="124"/>
      <c r="I14" s="126" t="n">
        <f aca="false">+F14*D14</f>
        <v>-56584.275</v>
      </c>
      <c r="J14" s="127" t="n">
        <f aca="false">+I14</f>
        <v>-56584.275</v>
      </c>
      <c r="K14" s="127"/>
    </row>
    <row r="15" customFormat="false" ht="12.75" hidden="false" customHeight="false" outlineLevel="0" collapsed="false">
      <c r="A15" s="172" t="n">
        <f aca="false">+A14+1</f>
        <v>36852</v>
      </c>
      <c r="B15" s="122"/>
      <c r="C15" s="123" t="s">
        <v>52</v>
      </c>
      <c r="D15" s="124" t="n">
        <v>5.885</v>
      </c>
      <c r="E15" s="122"/>
      <c r="F15" s="125" t="n">
        <v>-9615</v>
      </c>
      <c r="G15" s="124"/>
      <c r="H15" s="124"/>
      <c r="I15" s="126" t="n">
        <f aca="false">+F15*D15</f>
        <v>-56584.275</v>
      </c>
      <c r="J15" s="127" t="n">
        <f aca="false">+I15</f>
        <v>-56584.275</v>
      </c>
      <c r="K15" s="127"/>
    </row>
    <row r="16" customFormat="false" ht="12.75" hidden="false" customHeight="false" outlineLevel="0" collapsed="false">
      <c r="A16" s="172" t="n">
        <f aca="false">+A15+1</f>
        <v>36853</v>
      </c>
      <c r="B16" s="122"/>
      <c r="C16" s="123" t="s">
        <v>52</v>
      </c>
      <c r="D16" s="124" t="n">
        <v>5.885</v>
      </c>
      <c r="E16" s="122"/>
      <c r="F16" s="125" t="n">
        <v>-9615</v>
      </c>
      <c r="G16" s="124"/>
      <c r="H16" s="124"/>
      <c r="I16" s="126" t="n">
        <f aca="false">+F16*D16</f>
        <v>-56584.275</v>
      </c>
      <c r="J16" s="127" t="n">
        <f aca="false">+I16</f>
        <v>-56584.275</v>
      </c>
      <c r="K16" s="127"/>
    </row>
    <row r="17" customFormat="false" ht="12.75" hidden="false" customHeight="false" outlineLevel="0" collapsed="false">
      <c r="A17" s="172" t="n">
        <f aca="false">+A16+1</f>
        <v>36854</v>
      </c>
      <c r="B17" s="122"/>
      <c r="C17" s="123" t="s">
        <v>52</v>
      </c>
      <c r="D17" s="124" t="n">
        <v>5.885</v>
      </c>
      <c r="E17" s="122"/>
      <c r="F17" s="125" t="n">
        <v>-9615</v>
      </c>
      <c r="G17" s="124"/>
      <c r="H17" s="124"/>
      <c r="I17" s="126" t="n">
        <f aca="false">+F17*D17</f>
        <v>-56584.275</v>
      </c>
      <c r="J17" s="127" t="n">
        <f aca="false">+I17</f>
        <v>-56584.275</v>
      </c>
      <c r="K17" s="127"/>
    </row>
    <row r="18" customFormat="false" ht="12.75" hidden="false" customHeight="false" outlineLevel="0" collapsed="false">
      <c r="A18" s="172" t="n">
        <f aca="false">+A17+1</f>
        <v>36855</v>
      </c>
      <c r="B18" s="122"/>
      <c r="C18" s="123" t="s">
        <v>52</v>
      </c>
      <c r="D18" s="124" t="n">
        <v>5.885</v>
      </c>
      <c r="E18" s="122"/>
      <c r="F18" s="125" t="n">
        <v>-9615</v>
      </c>
      <c r="G18" s="124"/>
      <c r="H18" s="124"/>
      <c r="I18" s="126" t="n">
        <f aca="false">+F18*D18</f>
        <v>-56584.275</v>
      </c>
      <c r="J18" s="127" t="n">
        <f aca="false">+I18</f>
        <v>-56584.275</v>
      </c>
      <c r="K18" s="127"/>
    </row>
    <row r="19" customFormat="false" ht="12.75" hidden="false" customHeight="false" outlineLevel="0" collapsed="false">
      <c r="A19" s="172" t="n">
        <f aca="false">+A18+1</f>
        <v>36856</v>
      </c>
      <c r="B19" s="122"/>
      <c r="C19" s="123" t="s">
        <v>52</v>
      </c>
      <c r="D19" s="124" t="n">
        <v>5.885</v>
      </c>
      <c r="E19" s="122"/>
      <c r="F19" s="125" t="n">
        <v>-9615</v>
      </c>
      <c r="G19" s="124"/>
      <c r="H19" s="124"/>
      <c r="I19" s="126" t="n">
        <f aca="false">+F19*D19</f>
        <v>-56584.275</v>
      </c>
      <c r="J19" s="127" t="n">
        <f aca="false">+I19</f>
        <v>-56584.275</v>
      </c>
      <c r="K19" s="127"/>
    </row>
    <row r="20" customFormat="false" ht="12.75" hidden="false" customHeight="false" outlineLevel="0" collapsed="false">
      <c r="A20" s="172" t="n">
        <f aca="false">+A19+1</f>
        <v>36857</v>
      </c>
      <c r="B20" s="122"/>
      <c r="C20" s="123" t="s">
        <v>52</v>
      </c>
      <c r="D20" s="124" t="n">
        <v>5.885</v>
      </c>
      <c r="E20" s="122"/>
      <c r="F20" s="125" t="n">
        <v>-9615</v>
      </c>
      <c r="G20" s="124"/>
      <c r="H20" s="124"/>
      <c r="I20" s="126" t="n">
        <f aca="false">+F20*D20</f>
        <v>-56584.275</v>
      </c>
      <c r="J20" s="127" t="n">
        <f aca="false">+I20</f>
        <v>-56584.275</v>
      </c>
      <c r="K20" s="127"/>
    </row>
    <row r="21" customFormat="false" ht="12.75" hidden="false" customHeight="false" outlineLevel="0" collapsed="false">
      <c r="A21" s="172" t="n">
        <f aca="false">+A20+1</f>
        <v>36858</v>
      </c>
      <c r="B21" s="122"/>
      <c r="C21" s="123" t="s">
        <v>52</v>
      </c>
      <c r="D21" s="124" t="n">
        <v>5.885</v>
      </c>
      <c r="E21" s="122"/>
      <c r="F21" s="125" t="n">
        <v>-9615</v>
      </c>
      <c r="G21" s="124"/>
      <c r="H21" s="124"/>
      <c r="I21" s="126" t="n">
        <f aca="false">+F21*D21</f>
        <v>-56584.275</v>
      </c>
      <c r="J21" s="127" t="n">
        <f aca="false">+I21</f>
        <v>-56584.275</v>
      </c>
      <c r="K21" s="127"/>
    </row>
    <row r="22" customFormat="false" ht="12.75" hidden="false" customHeight="false" outlineLevel="0" collapsed="false">
      <c r="A22" s="172" t="n">
        <f aca="false">+A21+1</f>
        <v>36859</v>
      </c>
      <c r="B22" s="122"/>
      <c r="C22" s="123" t="s">
        <v>52</v>
      </c>
      <c r="D22" s="124" t="n">
        <v>5.885</v>
      </c>
      <c r="E22" s="122"/>
      <c r="F22" s="125" t="n">
        <v>-9615</v>
      </c>
      <c r="G22" s="124"/>
      <c r="H22" s="124"/>
      <c r="I22" s="126" t="n">
        <f aca="false">+F22*D22</f>
        <v>-56584.275</v>
      </c>
      <c r="J22" s="127" t="n">
        <f aca="false">+I22</f>
        <v>-56584.275</v>
      </c>
      <c r="K22" s="127"/>
    </row>
    <row r="23" customFormat="false" ht="12.75" hidden="false" customHeight="false" outlineLevel="0" collapsed="false">
      <c r="A23" s="172" t="n">
        <f aca="false">+A22+1</f>
        <v>36860</v>
      </c>
      <c r="B23" s="122"/>
      <c r="C23" s="123" t="s">
        <v>52</v>
      </c>
      <c r="D23" s="124" t="n">
        <v>5.885</v>
      </c>
      <c r="E23" s="122"/>
      <c r="F23" s="125" t="n">
        <v>-9615</v>
      </c>
      <c r="G23" s="122"/>
      <c r="H23" s="124"/>
      <c r="I23" s="126" t="n">
        <f aca="false">+F23*D23</f>
        <v>-56584.275</v>
      </c>
      <c r="J23" s="127" t="n">
        <f aca="false">+I23</f>
        <v>-56584.275</v>
      </c>
      <c r="K23" s="127"/>
    </row>
    <row r="24" customFormat="false" ht="12.75" hidden="false" customHeight="false" outlineLevel="0" collapsed="false">
      <c r="A24" s="172"/>
      <c r="B24" s="122"/>
      <c r="C24" s="122"/>
      <c r="D24" s="122"/>
      <c r="E24" s="122"/>
      <c r="F24" s="129" t="n">
        <f aca="false">SUM(F11:F23)</f>
        <v>-124995</v>
      </c>
      <c r="G24" s="122"/>
      <c r="H24" s="122"/>
      <c r="I24" s="130" t="n">
        <f aca="false">SUM(I11:I22)</f>
        <v>-679011.3</v>
      </c>
      <c r="J24" s="130" t="n">
        <f aca="false">SUM(J11:J22)</f>
        <v>-679011.3</v>
      </c>
      <c r="K24" s="130" t="n">
        <f aca="false">SUM(K11:K22)</f>
        <v>0</v>
      </c>
    </row>
    <row r="25" customFormat="false" ht="12.75" hidden="false" customHeight="false" outlineLevel="0" collapsed="false">
      <c r="A25" s="172"/>
      <c r="B25" s="122"/>
      <c r="C25" s="122"/>
      <c r="D25" s="122"/>
      <c r="E25" s="122"/>
      <c r="F25" s="131"/>
      <c r="G25" s="122"/>
      <c r="H25" s="122"/>
      <c r="I25" s="132"/>
      <c r="J25" s="133"/>
      <c r="K25" s="133"/>
    </row>
    <row r="26" customFormat="false" ht="12.75" hidden="false" customHeight="false" outlineLevel="0" collapsed="false">
      <c r="A26" s="172"/>
      <c r="B26" s="122"/>
      <c r="C26" s="122"/>
      <c r="D26" s="122"/>
      <c r="E26" s="122"/>
      <c r="F26" s="131"/>
      <c r="G26" s="122"/>
      <c r="H26" s="122"/>
      <c r="I26" s="132"/>
      <c r="J26" s="133"/>
      <c r="K26" s="133"/>
    </row>
    <row r="27" customFormat="false" ht="12.75" hidden="false" customHeight="false" outlineLevel="0" collapsed="false">
      <c r="A27" s="172" t="n">
        <v>36848</v>
      </c>
      <c r="B27" s="122"/>
      <c r="C27" s="123" t="s">
        <v>59</v>
      </c>
      <c r="D27" s="124"/>
      <c r="E27" s="122"/>
      <c r="F27" s="125" t="n">
        <v>9615</v>
      </c>
      <c r="G27" s="124" t="n">
        <v>5.675</v>
      </c>
      <c r="H27" s="124"/>
      <c r="I27" s="126" t="n">
        <f aca="false">+G27*F27</f>
        <v>54565.125</v>
      </c>
      <c r="J27" s="127" t="n">
        <f aca="false">+I27</f>
        <v>54565.125</v>
      </c>
      <c r="K27" s="127"/>
    </row>
    <row r="28" customFormat="false" ht="12.75" hidden="false" customHeight="false" outlineLevel="0" collapsed="false">
      <c r="A28" s="172" t="n">
        <f aca="false">+A27+1</f>
        <v>36849</v>
      </c>
      <c r="B28" s="122"/>
      <c r="C28" s="123" t="s">
        <v>59</v>
      </c>
      <c r="D28" s="124"/>
      <c r="E28" s="122"/>
      <c r="F28" s="125" t="n">
        <v>9615</v>
      </c>
      <c r="G28" s="124" t="n">
        <v>5.675</v>
      </c>
      <c r="H28" s="124"/>
      <c r="I28" s="126" t="n">
        <f aca="false">+G28*F28</f>
        <v>54565.125</v>
      </c>
      <c r="J28" s="127" t="n">
        <f aca="false">+I28</f>
        <v>54565.125</v>
      </c>
      <c r="K28" s="127"/>
    </row>
    <row r="29" customFormat="false" ht="12.75" hidden="false" customHeight="false" outlineLevel="0" collapsed="false">
      <c r="A29" s="172" t="n">
        <f aca="false">+A28+1</f>
        <v>36850</v>
      </c>
      <c r="B29" s="122"/>
      <c r="C29" s="123" t="s">
        <v>59</v>
      </c>
      <c r="D29" s="124"/>
      <c r="E29" s="122"/>
      <c r="F29" s="125" t="n">
        <v>9615</v>
      </c>
      <c r="G29" s="124" t="n">
        <v>5.675</v>
      </c>
      <c r="H29" s="124"/>
      <c r="I29" s="126" t="n">
        <f aca="false">+G29*F29</f>
        <v>54565.125</v>
      </c>
      <c r="J29" s="127" t="n">
        <f aca="false">+I29</f>
        <v>54565.125</v>
      </c>
      <c r="K29" s="127"/>
    </row>
    <row r="30" customFormat="false" ht="12.75" hidden="false" customHeight="false" outlineLevel="0" collapsed="false">
      <c r="A30" s="172" t="n">
        <f aca="false">+A29+1</f>
        <v>36851</v>
      </c>
      <c r="B30" s="122"/>
      <c r="C30" s="123" t="s">
        <v>59</v>
      </c>
      <c r="D30" s="124"/>
      <c r="E30" s="122"/>
      <c r="F30" s="125" t="n">
        <v>9615</v>
      </c>
      <c r="G30" s="124" t="n">
        <v>6.28</v>
      </c>
      <c r="H30" s="124"/>
      <c r="I30" s="126" t="n">
        <f aca="false">+G30*F30</f>
        <v>60382.2</v>
      </c>
      <c r="J30" s="127" t="n">
        <f aca="false">+I30</f>
        <v>60382.2</v>
      </c>
      <c r="K30" s="127"/>
    </row>
    <row r="31" customFormat="false" ht="12.75" hidden="false" customHeight="false" outlineLevel="0" collapsed="false">
      <c r="A31" s="172" t="n">
        <f aca="false">+A30+1</f>
        <v>36852</v>
      </c>
      <c r="B31" s="122"/>
      <c r="C31" s="123" t="s">
        <v>59</v>
      </c>
      <c r="D31" s="124"/>
      <c r="E31" s="122"/>
      <c r="F31" s="125" t="n">
        <v>9615</v>
      </c>
      <c r="G31" s="124" t="n">
        <v>6.395</v>
      </c>
      <c r="H31" s="124"/>
      <c r="I31" s="126" t="n">
        <f aca="false">+G31*F31</f>
        <v>61487.925</v>
      </c>
      <c r="J31" s="127" t="n">
        <f aca="false">+I31</f>
        <v>61487.925</v>
      </c>
      <c r="K31" s="127"/>
    </row>
    <row r="32" customFormat="false" ht="12.75" hidden="false" customHeight="false" outlineLevel="0" collapsed="false">
      <c r="A32" s="172" t="n">
        <f aca="false">+A31+1</f>
        <v>36853</v>
      </c>
      <c r="B32" s="122"/>
      <c r="C32" s="123" t="s">
        <v>59</v>
      </c>
      <c r="D32" s="124"/>
      <c r="E32" s="122"/>
      <c r="F32" s="125" t="n">
        <v>9615</v>
      </c>
      <c r="G32" s="124" t="n">
        <v>6.255</v>
      </c>
      <c r="H32" s="124"/>
      <c r="I32" s="126" t="n">
        <f aca="false">+G32*F32</f>
        <v>60141.825</v>
      </c>
      <c r="J32" s="127" t="n">
        <f aca="false">+I32</f>
        <v>60141.825</v>
      </c>
      <c r="K32" s="127"/>
    </row>
    <row r="33" customFormat="false" ht="12.75" hidden="false" customHeight="false" outlineLevel="0" collapsed="false">
      <c r="A33" s="172" t="n">
        <f aca="false">+A32+1</f>
        <v>36854</v>
      </c>
      <c r="B33" s="122"/>
      <c r="C33" s="123" t="s">
        <v>59</v>
      </c>
      <c r="D33" s="124"/>
      <c r="E33" s="122"/>
      <c r="F33" s="125" t="n">
        <v>9615</v>
      </c>
      <c r="G33" s="124" t="n">
        <v>6.255</v>
      </c>
      <c r="H33" s="124"/>
      <c r="I33" s="126" t="n">
        <f aca="false">+G33*F33</f>
        <v>60141.825</v>
      </c>
      <c r="J33" s="127" t="n">
        <f aca="false">+I33</f>
        <v>60141.825</v>
      </c>
      <c r="K33" s="127"/>
    </row>
    <row r="34" customFormat="false" ht="12.75" hidden="false" customHeight="false" outlineLevel="0" collapsed="false">
      <c r="A34" s="172" t="n">
        <f aca="false">+A33+1</f>
        <v>36855</v>
      </c>
      <c r="B34" s="122"/>
      <c r="C34" s="123" t="s">
        <v>59</v>
      </c>
      <c r="D34" s="124"/>
      <c r="E34" s="122"/>
      <c r="F34" s="125" t="n">
        <v>9615</v>
      </c>
      <c r="G34" s="124" t="n">
        <v>6.255</v>
      </c>
      <c r="H34" s="124"/>
      <c r="I34" s="126" t="n">
        <f aca="false">+G34*F34</f>
        <v>60141.825</v>
      </c>
      <c r="J34" s="127" t="n">
        <f aca="false">+I34</f>
        <v>60141.825</v>
      </c>
      <c r="K34" s="127"/>
    </row>
    <row r="35" customFormat="false" ht="12.75" hidden="false" customHeight="false" outlineLevel="0" collapsed="false">
      <c r="A35" s="172" t="n">
        <f aca="false">+A34+1</f>
        <v>36856</v>
      </c>
      <c r="B35" s="122"/>
      <c r="C35" s="123" t="s">
        <v>59</v>
      </c>
      <c r="D35" s="124"/>
      <c r="E35" s="122"/>
      <c r="F35" s="125" t="n">
        <v>9615</v>
      </c>
      <c r="G35" s="124" t="n">
        <v>6.255</v>
      </c>
      <c r="H35" s="124"/>
      <c r="I35" s="126" t="n">
        <f aca="false">+G35*F35</f>
        <v>60141.825</v>
      </c>
      <c r="J35" s="127" t="n">
        <f aca="false">+I35</f>
        <v>60141.825</v>
      </c>
      <c r="K35" s="127"/>
    </row>
    <row r="36" customFormat="false" ht="12.75" hidden="false" customHeight="false" outlineLevel="0" collapsed="false">
      <c r="A36" s="172" t="n">
        <f aca="false">+A35+1</f>
        <v>36857</v>
      </c>
      <c r="B36" s="122"/>
      <c r="C36" s="123" t="s">
        <v>59</v>
      </c>
      <c r="D36" s="124"/>
      <c r="E36" s="122"/>
      <c r="F36" s="125" t="n">
        <v>9615</v>
      </c>
      <c r="G36" s="124" t="n">
        <v>6.255</v>
      </c>
      <c r="H36" s="124"/>
      <c r="I36" s="126" t="n">
        <f aca="false">+G36*F36</f>
        <v>60141.825</v>
      </c>
      <c r="J36" s="127" t="n">
        <f aca="false">+I36</f>
        <v>60141.825</v>
      </c>
      <c r="K36" s="127"/>
    </row>
    <row r="37" customFormat="false" ht="12.75" hidden="false" customHeight="false" outlineLevel="0" collapsed="false">
      <c r="A37" s="172" t="n">
        <f aca="false">+A36+1</f>
        <v>36858</v>
      </c>
      <c r="B37" s="122"/>
      <c r="C37" s="123" t="s">
        <v>59</v>
      </c>
      <c r="D37" s="124"/>
      <c r="E37" s="122"/>
      <c r="F37" s="125" t="n">
        <v>9615</v>
      </c>
      <c r="G37" s="124" t="n">
        <v>6.23</v>
      </c>
      <c r="H37" s="124"/>
      <c r="I37" s="126" t="n">
        <f aca="false">+G37*F37</f>
        <v>59901.45</v>
      </c>
      <c r="J37" s="127" t="n">
        <f aca="false">+I37</f>
        <v>59901.45</v>
      </c>
      <c r="K37" s="127"/>
    </row>
    <row r="38" customFormat="false" ht="12.75" hidden="false" customHeight="false" outlineLevel="0" collapsed="false">
      <c r="A38" s="172" t="n">
        <f aca="false">+A37+1</f>
        <v>36859</v>
      </c>
      <c r="B38" s="122"/>
      <c r="C38" s="123" t="s">
        <v>59</v>
      </c>
      <c r="D38" s="124"/>
      <c r="E38" s="122"/>
      <c r="F38" s="125" t="n">
        <v>9615</v>
      </c>
      <c r="G38" s="124" t="n">
        <v>5.895</v>
      </c>
      <c r="H38" s="124"/>
      <c r="I38" s="126" t="n">
        <f aca="false">+G38*F38</f>
        <v>56680.425</v>
      </c>
      <c r="J38" s="127" t="n">
        <f aca="false">+I38</f>
        <v>56680.425</v>
      </c>
      <c r="K38" s="127"/>
    </row>
    <row r="39" customFormat="false" ht="12.75" hidden="false" customHeight="false" outlineLevel="0" collapsed="false">
      <c r="A39" s="172" t="n">
        <f aca="false">+A38+1</f>
        <v>36860</v>
      </c>
      <c r="B39" s="122"/>
      <c r="C39" s="123" t="s">
        <v>59</v>
      </c>
      <c r="D39" s="124"/>
      <c r="E39" s="122"/>
      <c r="F39" s="125" t="n">
        <v>9615</v>
      </c>
      <c r="G39" s="124" t="n">
        <v>5.955</v>
      </c>
      <c r="H39" s="124"/>
      <c r="I39" s="126" t="n">
        <f aca="false">+G39*F39</f>
        <v>57257.325</v>
      </c>
      <c r="J39" s="127" t="n">
        <f aca="false">+I39</f>
        <v>57257.325</v>
      </c>
      <c r="K39" s="127"/>
    </row>
    <row r="40" customFormat="false" ht="12.75" hidden="false" customHeight="false" outlineLevel="0" collapsed="false">
      <c r="A40" s="172"/>
      <c r="B40" s="122"/>
      <c r="C40" s="122"/>
      <c r="D40" s="122"/>
      <c r="E40" s="122"/>
      <c r="F40" s="129" t="n">
        <f aca="false">SUM(F27:F39)</f>
        <v>124995</v>
      </c>
      <c r="G40" s="122"/>
      <c r="H40" s="122"/>
      <c r="I40" s="130" t="n">
        <f aca="false">SUM(I27:I38)</f>
        <v>702856.5</v>
      </c>
      <c r="J40" s="130" t="n">
        <f aca="false">SUM(J27:J38)</f>
        <v>702856.5</v>
      </c>
      <c r="K40" s="130" t="n">
        <f aca="false">SUM(K27:K38)</f>
        <v>0</v>
      </c>
    </row>
    <row r="41" customFormat="false" ht="12.75" hidden="false" customHeight="false" outlineLevel="0" collapsed="false">
      <c r="A41" s="172"/>
      <c r="B41" s="122"/>
      <c r="C41" s="122"/>
      <c r="D41" s="122"/>
      <c r="E41" s="122"/>
      <c r="F41" s="131"/>
      <c r="G41" s="122"/>
      <c r="H41" s="122"/>
      <c r="I41" s="132"/>
      <c r="J41" s="133"/>
      <c r="K41" s="133"/>
    </row>
    <row r="42" customFormat="false" ht="13.5" hidden="false" customHeight="false" outlineLevel="0" collapsed="false">
      <c r="A42" s="172"/>
      <c r="B42" s="122"/>
      <c r="C42" s="122"/>
      <c r="D42" s="122"/>
      <c r="E42" s="122"/>
      <c r="F42" s="139" t="n">
        <f aca="false">+F40+F24</f>
        <v>0</v>
      </c>
      <c r="G42" s="122"/>
      <c r="H42" s="122"/>
      <c r="I42" s="173" t="n">
        <f aca="false">+I40+I24</f>
        <v>23845.2</v>
      </c>
      <c r="J42" s="173" t="n">
        <f aca="false">+J40+J24</f>
        <v>23845.2</v>
      </c>
      <c r="K42" s="173" t="n">
        <f aca="false">+K40+K24</f>
        <v>0</v>
      </c>
    </row>
    <row r="43" customFormat="false" ht="13.5" hidden="false" customHeight="false" outlineLevel="0" collapsed="false">
      <c r="A43" s="172"/>
      <c r="B43" s="122"/>
      <c r="C43" s="122"/>
      <c r="D43" s="122"/>
      <c r="E43" s="122"/>
      <c r="F43" s="131"/>
      <c r="G43" s="122"/>
      <c r="H43" s="122"/>
      <c r="I43" s="132"/>
      <c r="J43" s="133"/>
      <c r="K43" s="133"/>
    </row>
    <row r="44" customFormat="false" ht="12.75" hidden="false" customHeight="false" outlineLevel="0" collapsed="false">
      <c r="A44" s="172"/>
      <c r="B44" s="122"/>
      <c r="C44" s="122"/>
      <c r="D44" s="122"/>
      <c r="E44" s="122"/>
      <c r="F44" s="131"/>
      <c r="G44" s="122"/>
      <c r="H44" s="122"/>
      <c r="I44" s="132"/>
      <c r="J44" s="133"/>
      <c r="K44" s="133"/>
    </row>
    <row r="45" customFormat="false" ht="12.75" hidden="false" customHeight="false" outlineLevel="0" collapsed="false">
      <c r="A45" s="172"/>
      <c r="B45" s="122"/>
      <c r="C45" s="122"/>
      <c r="D45" s="122"/>
      <c r="E45" s="122"/>
      <c r="F45" s="174"/>
      <c r="G45" s="175"/>
      <c r="H45" s="135"/>
      <c r="I45" s="128"/>
      <c r="J45" s="128"/>
      <c r="K45" s="128"/>
    </row>
    <row r="46" customFormat="false" ht="12.75" hidden="false" customHeight="false" outlineLevel="0" collapsed="false">
      <c r="A46" s="172"/>
      <c r="B46" s="122"/>
      <c r="C46" s="123"/>
      <c r="D46" s="124"/>
      <c r="E46" s="122"/>
      <c r="F46" s="125"/>
      <c r="G46" s="124"/>
      <c r="H46" s="124"/>
      <c r="I46" s="126"/>
      <c r="J46" s="127"/>
      <c r="K46" s="127"/>
    </row>
    <row r="47" customFormat="false" ht="12.75" hidden="false" customHeight="false" outlineLevel="0" collapsed="false">
      <c r="A47" s="176"/>
      <c r="B47" s="141"/>
      <c r="C47" s="177"/>
      <c r="D47" s="178"/>
      <c r="E47" s="141"/>
      <c r="F47" s="146"/>
      <c r="G47" s="178"/>
      <c r="H47" s="178"/>
      <c r="I47" s="147"/>
      <c r="J47" s="179"/>
      <c r="K47" s="179"/>
    </row>
    <row r="48" customFormat="false" ht="12.75" hidden="false" customHeight="false" outlineLevel="0" collapsed="false">
      <c r="A48" s="180"/>
    </row>
    <row r="49" customFormat="false" ht="12.75" hidden="false" customHeight="false" outlineLevel="0" collapsed="false">
      <c r="A49" s="180"/>
    </row>
    <row r="50" customFormat="false" ht="12.75" hidden="false" customHeight="false" outlineLevel="0" collapsed="false">
      <c r="A50" s="180"/>
    </row>
    <row r="51" customFormat="false" ht="12.75" hidden="false" customHeight="false" outlineLevel="0" collapsed="false">
      <c r="A51" s="180"/>
    </row>
    <row r="52" customFormat="false" ht="12.75" hidden="false" customHeight="false" outlineLevel="0" collapsed="false">
      <c r="A52" s="180"/>
    </row>
    <row r="53" customFormat="false" ht="12.75" hidden="false" customHeight="false" outlineLevel="0" collapsed="false">
      <c r="A53" s="180"/>
    </row>
    <row r="54" customFormat="false" ht="12.75" hidden="false" customHeight="false" outlineLevel="0" collapsed="false">
      <c r="A54" s="180"/>
    </row>
    <row r="55" customFormat="false" ht="12.75" hidden="false" customHeight="false" outlineLevel="0" collapsed="false">
      <c r="A55" s="180"/>
    </row>
    <row r="56" customFormat="false" ht="12.75" hidden="false" customHeight="false" outlineLevel="0" collapsed="false">
      <c r="A56" s="180"/>
    </row>
    <row r="57" customFormat="false" ht="12.75" hidden="false" customHeight="false" outlineLevel="0" collapsed="false">
      <c r="A57" s="180"/>
    </row>
    <row r="58" customFormat="false" ht="12.75" hidden="false" customHeight="false" outlineLevel="0" collapsed="false">
      <c r="A58" s="180"/>
    </row>
    <row r="59" customFormat="false" ht="12.75" hidden="false" customHeight="false" outlineLevel="0" collapsed="false">
      <c r="A59" s="180"/>
    </row>
    <row r="60" customFormat="false" ht="12.75" hidden="false" customHeight="false" outlineLevel="0" collapsed="false">
      <c r="A60" s="180"/>
    </row>
    <row r="61" customFormat="false" ht="12.75" hidden="false" customHeight="false" outlineLevel="0" collapsed="false">
      <c r="A61" s="180"/>
    </row>
    <row r="62" customFormat="false" ht="12.75" hidden="false" customHeight="false" outlineLevel="0" collapsed="false">
      <c r="A62" s="180"/>
    </row>
    <row r="63" customFormat="false" ht="12.75" hidden="false" customHeight="false" outlineLevel="0" collapsed="false">
      <c r="A63" s="180"/>
    </row>
    <row r="64" customFormat="false" ht="12.75" hidden="false" customHeight="false" outlineLevel="0" collapsed="false">
      <c r="A64" s="180"/>
    </row>
    <row r="65" customFormat="false" ht="12.75" hidden="false" customHeight="false" outlineLevel="0" collapsed="false">
      <c r="A65" s="180"/>
    </row>
    <row r="66" customFormat="false" ht="12.75" hidden="false" customHeight="false" outlineLevel="0" collapsed="false">
      <c r="A66" s="180"/>
    </row>
    <row r="67" customFormat="false" ht="12.75" hidden="false" customHeight="false" outlineLevel="0" collapsed="false">
      <c r="A67" s="180"/>
    </row>
    <row r="68" customFormat="false" ht="12.75" hidden="false" customHeight="false" outlineLevel="0" collapsed="false">
      <c r="A68" s="180"/>
    </row>
    <row r="69" customFormat="false" ht="12.75" hidden="false" customHeight="false" outlineLevel="0" collapsed="false">
      <c r="A69" s="180"/>
    </row>
    <row r="70" customFormat="false" ht="12.75" hidden="false" customHeight="false" outlineLevel="0" collapsed="false">
      <c r="A70" s="180"/>
    </row>
    <row r="71" customFormat="false" ht="12.75" hidden="false" customHeight="false" outlineLevel="0" collapsed="false">
      <c r="A71" s="180"/>
    </row>
    <row r="72" customFormat="false" ht="12.75" hidden="false" customHeight="false" outlineLevel="0" collapsed="false">
      <c r="A72" s="180"/>
    </row>
    <row r="73" customFormat="false" ht="12.75" hidden="false" customHeight="false" outlineLevel="0" collapsed="false">
      <c r="A73" s="180"/>
    </row>
    <row r="74" customFormat="false" ht="12.75" hidden="false" customHeight="false" outlineLevel="0" collapsed="false">
      <c r="A74" s="180"/>
    </row>
    <row r="75" customFormat="false" ht="12.75" hidden="false" customHeight="false" outlineLevel="0" collapsed="false">
      <c r="A75" s="180"/>
    </row>
    <row r="76" customFormat="false" ht="12.75" hidden="false" customHeight="false" outlineLevel="0" collapsed="false">
      <c r="A76" s="180"/>
    </row>
    <row r="77" customFormat="false" ht="12.75" hidden="false" customHeight="false" outlineLevel="0" collapsed="false">
      <c r="A77" s="180"/>
    </row>
    <row r="78" customFormat="false" ht="12.75" hidden="false" customHeight="false" outlineLevel="0" collapsed="false">
      <c r="A78" s="180"/>
    </row>
    <row r="79" customFormat="false" ht="12.75" hidden="false" customHeight="false" outlineLevel="0" collapsed="false">
      <c r="A79" s="180"/>
    </row>
    <row r="80" customFormat="false" ht="12.75" hidden="false" customHeight="false" outlineLevel="0" collapsed="false">
      <c r="A80" s="180"/>
    </row>
    <row r="81" customFormat="false" ht="12.75" hidden="false" customHeight="false" outlineLevel="0" collapsed="false">
      <c r="A81" s="180"/>
    </row>
    <row r="82" customFormat="false" ht="12.75" hidden="false" customHeight="false" outlineLevel="0" collapsed="false">
      <c r="A82" s="180"/>
    </row>
    <row r="83" customFormat="false" ht="12.75" hidden="false" customHeight="false" outlineLevel="0" collapsed="false">
      <c r="A83" s="180"/>
    </row>
    <row r="84" customFormat="false" ht="12.75" hidden="false" customHeight="false" outlineLevel="0" collapsed="false">
      <c r="A84" s="180"/>
    </row>
    <row r="85" customFormat="false" ht="12.75" hidden="false" customHeight="false" outlineLevel="0" collapsed="false">
      <c r="A85" s="180"/>
    </row>
    <row r="86" customFormat="false" ht="12.75" hidden="false" customHeight="false" outlineLevel="0" collapsed="false">
      <c r="A86" s="180"/>
    </row>
    <row r="87" customFormat="false" ht="12.75" hidden="false" customHeight="false" outlineLevel="0" collapsed="false">
      <c r="A87" s="180"/>
    </row>
    <row r="88" customFormat="false" ht="12.75" hidden="false" customHeight="false" outlineLevel="0" collapsed="false">
      <c r="A88" s="180"/>
    </row>
    <row r="89" customFormat="false" ht="12.75" hidden="false" customHeight="false" outlineLevel="0" collapsed="false">
      <c r="A89" s="180"/>
    </row>
    <row r="90" customFormat="false" ht="12.75" hidden="false" customHeight="false" outlineLevel="0" collapsed="false">
      <c r="A90" s="180"/>
    </row>
    <row r="91" customFormat="false" ht="12.75" hidden="false" customHeight="false" outlineLevel="0" collapsed="false">
      <c r="A91" s="180"/>
    </row>
    <row r="92" customFormat="false" ht="12.75" hidden="false" customHeight="false" outlineLevel="0" collapsed="false">
      <c r="A92" s="180"/>
    </row>
    <row r="93" customFormat="false" ht="12.75" hidden="false" customHeight="false" outlineLevel="0" collapsed="false">
      <c r="A93" s="180"/>
    </row>
    <row r="94" customFormat="false" ht="12.75" hidden="false" customHeight="false" outlineLevel="0" collapsed="false">
      <c r="A94" s="180"/>
    </row>
    <row r="95" customFormat="false" ht="12.75" hidden="false" customHeight="false" outlineLevel="0" collapsed="false">
      <c r="A95" s="180"/>
    </row>
    <row r="96" customFormat="false" ht="12.75" hidden="false" customHeight="false" outlineLevel="0" collapsed="false">
      <c r="A96" s="180"/>
    </row>
    <row r="97" customFormat="false" ht="12.75" hidden="false" customHeight="false" outlineLevel="0" collapsed="false">
      <c r="A97" s="180"/>
    </row>
    <row r="98" customFormat="false" ht="12.75" hidden="false" customHeight="false" outlineLevel="0" collapsed="false">
      <c r="A98" s="180"/>
    </row>
    <row r="99" customFormat="false" ht="12.75" hidden="false" customHeight="false" outlineLevel="0" collapsed="false">
      <c r="A99" s="180"/>
    </row>
    <row r="100" customFormat="false" ht="12.75" hidden="false" customHeight="false" outlineLevel="0" collapsed="false">
      <c r="A100" s="180"/>
    </row>
    <row r="101" customFormat="false" ht="12.75" hidden="false" customHeight="false" outlineLevel="0" collapsed="false">
      <c r="A101" s="180"/>
    </row>
    <row r="102" customFormat="false" ht="12.75" hidden="false" customHeight="false" outlineLevel="0" collapsed="false">
      <c r="A102" s="180"/>
    </row>
    <row r="103" customFormat="false" ht="12.75" hidden="false" customHeight="false" outlineLevel="0" collapsed="false">
      <c r="A103" s="180"/>
    </row>
    <row r="104" customFormat="false" ht="12.75" hidden="false" customHeight="false" outlineLevel="0" collapsed="false">
      <c r="A104" s="180"/>
    </row>
    <row r="105" customFormat="false" ht="12.75" hidden="false" customHeight="false" outlineLevel="0" collapsed="false">
      <c r="A105" s="180"/>
    </row>
    <row r="106" customFormat="false" ht="12.75" hidden="false" customHeight="false" outlineLevel="0" collapsed="false">
      <c r="A106" s="180"/>
    </row>
    <row r="107" customFormat="false" ht="12.75" hidden="false" customHeight="false" outlineLevel="0" collapsed="false">
      <c r="A107" s="180"/>
    </row>
    <row r="108" customFormat="false" ht="12.75" hidden="false" customHeight="false" outlineLevel="0" collapsed="false">
      <c r="A108" s="180"/>
    </row>
    <row r="109" customFormat="false" ht="12.75" hidden="false" customHeight="false" outlineLevel="0" collapsed="false">
      <c r="A109" s="180"/>
    </row>
    <row r="110" customFormat="false" ht="12.75" hidden="false" customHeight="false" outlineLevel="0" collapsed="false">
      <c r="A110" s="180"/>
    </row>
    <row r="111" customFormat="false" ht="12.75" hidden="false" customHeight="false" outlineLevel="0" collapsed="false">
      <c r="A111" s="180"/>
    </row>
    <row r="112" customFormat="false" ht="12.75" hidden="false" customHeight="false" outlineLevel="0" collapsed="false">
      <c r="A112" s="180"/>
    </row>
    <row r="113" customFormat="false" ht="12.75" hidden="false" customHeight="false" outlineLevel="0" collapsed="false">
      <c r="A113" s="180"/>
    </row>
    <row r="114" customFormat="false" ht="12.75" hidden="false" customHeight="false" outlineLevel="0" collapsed="false">
      <c r="A114" s="180"/>
    </row>
    <row r="115" customFormat="false" ht="12.75" hidden="false" customHeight="false" outlineLevel="0" collapsed="false">
      <c r="A115" s="180"/>
    </row>
    <row r="116" customFormat="false" ht="12.75" hidden="false" customHeight="false" outlineLevel="0" collapsed="false">
      <c r="A116" s="180"/>
    </row>
    <row r="117" customFormat="false" ht="12.75" hidden="false" customHeight="false" outlineLevel="0" collapsed="false">
      <c r="A117" s="180"/>
    </row>
    <row r="118" customFormat="false" ht="12.75" hidden="false" customHeight="false" outlineLevel="0" collapsed="false">
      <c r="A118" s="180"/>
    </row>
    <row r="119" customFormat="false" ht="12.75" hidden="false" customHeight="false" outlineLevel="0" collapsed="false">
      <c r="A119" s="180"/>
    </row>
  </sheetData>
  <mergeCells count="6">
    <mergeCell ref="A1:K1"/>
    <mergeCell ref="A2:K2"/>
    <mergeCell ref="A3:K3"/>
    <mergeCell ref="A4:K4"/>
    <mergeCell ref="I6:K6"/>
    <mergeCell ref="I7:K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1999-02-26T11:35:48Z</dcterms:created>
  <dc:creator> </dc:creator>
  <dc:description/>
  <dc:language>en-US</dc:language>
  <cp:lastModifiedBy>DEBBIE A MOSELEY</cp:lastModifiedBy>
  <cp:lastPrinted>2000-12-08T18:08:08Z</cp:lastPrinted>
  <cp:revision>0</cp:revision>
  <dc:subject/>
  <dc:title/>
</cp:coreProperties>
</file>