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um (val)" sheetId="2" state="visible" r:id="rId4"/>
    <sheet name="ENA_9" sheetId="3" state="visible" r:id="rId5"/>
    <sheet name="ENA_11" sheetId="4" state="visible" r:id="rId6"/>
    <sheet name="ENA_12" sheetId="5" state="visible" r:id="rId7"/>
    <sheet name="ENA_13" sheetId="6" state="visible" r:id="rId8"/>
    <sheet name="QV8401.1" sheetId="7" state="visible" r:id="rId9"/>
    <sheet name="QL5363.1" sheetId="8" state="visible" r:id="rId10"/>
    <sheet name="QL5365.1" sheetId="9" state="visible" r:id="rId11"/>
    <sheet name="QL2915.1" sheetId="10" state="visible" r:id="rId12"/>
    <sheet name="QL2918.1" sheetId="11" state="visible" r:id="rId13"/>
    <sheet name="QL5424.1" sheetId="12" state="visible" r:id="rId14"/>
    <sheet name="QL5444.1" sheetId="13" state="visible" r:id="rId15"/>
    <sheet name="QL5357.1" sheetId="14" state="visible" r:id="rId16"/>
    <sheet name="QL5358.1" sheetId="15" state="visible" r:id="rId17"/>
    <sheet name="QL9270.1" sheetId="16" state="visible" r:id="rId18"/>
    <sheet name="QL9273.1" sheetId="17" state="visible" r:id="rId19"/>
    <sheet name="Elpaso_6" sheetId="18" state="visible" r:id="rId20"/>
    <sheet name="SW17" sheetId="19" state="visible" r:id="rId21"/>
    <sheet name="SW18" sheetId="20" state="visible" r:id="rId22"/>
    <sheet name="M337849" sheetId="21" state="visible" r:id="rId23"/>
    <sheet name="12007624" sheetId="22" state="visible" r:id="rId24"/>
    <sheet name="QK7503.1" sheetId="23" state="visible" r:id="rId25"/>
    <sheet name="ENA #QF4410.1" sheetId="24" state="visible" r:id="rId26"/>
    <sheet name="ENA #QF4447.1" sheetId="25" state="visible" r:id="rId27"/>
    <sheet name="ENA #QF0967.1" sheetId="26" state="visible" r:id="rId28"/>
    <sheet name="ENA #QF5953.1" sheetId="27" state="visible" r:id="rId29"/>
    <sheet name="HJN1006" sheetId="28" state="visible" r:id="rId30"/>
    <sheet name="HJN1007" sheetId="29" state="visible" r:id="rId31"/>
    <sheet name="HJN1008" sheetId="30" state="visible" r:id="rId32"/>
    <sheet name="HJN1009" sheetId="31" state="visible" r:id="rId33"/>
    <sheet name="HJN1010" sheetId="32" state="visible" r:id="rId34"/>
    <sheet name="HJN1011" sheetId="33" state="visible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function="false" hidden="false" localSheetId="1" name="_xlnm.Print_Area" vbProcedure="false">'Sum (val)'!$A$1:$Z$143</definedName>
    <definedName function="false" hidden="false" localSheetId="1" name="_xlnm.Print_Titles" vbProcedure="false">'Sum (val)'!$1:$4</definedName>
    <definedName function="false" hidden="false" localSheetId="0" name="_xlnm.Print_Area" vbProcedure="false">Summary!$A$1:$AC$153</definedName>
    <definedName function="false" hidden="false" localSheetId="0" name="_xlnm.Print_Titles" vbProcedure="false">Summary!$1:$4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<sst xmlns="http://schemas.openxmlformats.org/spreadsheetml/2006/main" count="2099" uniqueCount="230">
  <si>
    <t xml:space="preserve">ENRON TRANSPORTATION SERVICES</t>
  </si>
  <si>
    <t xml:space="preserve">RISK BOOK  SUMMARY excluding Index Premium</t>
  </si>
  <si>
    <t xml:space="preserve">As of </t>
  </si>
  <si>
    <t xml:space="preserve">Hedged Position Summary</t>
  </si>
  <si>
    <t xml:space="preserve">Company</t>
  </si>
  <si>
    <t xml:space="preserve">Contract</t>
  </si>
  <si>
    <t xml:space="preserve">Hedge</t>
  </si>
  <si>
    <t xml:space="preserve">Trade</t>
  </si>
  <si>
    <t xml:space="preserve">Avg.</t>
  </si>
  <si>
    <t xml:space="preserve">Spread</t>
  </si>
  <si>
    <t xml:space="preserve">Dth/d</t>
  </si>
  <si>
    <t xml:space="preserve">Name</t>
  </si>
  <si>
    <t xml:space="preserve">Number</t>
  </si>
  <si>
    <t xml:space="preserve">Type</t>
  </si>
  <si>
    <t xml:space="preserve">Term</t>
  </si>
  <si>
    <t xml:space="preserve">Date</t>
  </si>
  <si>
    <t xml:space="preserve">Price</t>
  </si>
  <si>
    <t xml:space="preserve">Actual/</t>
  </si>
  <si>
    <t xml:space="preserve">Volume</t>
  </si>
  <si>
    <t xml:space="preserve">Gains and (Losses)</t>
  </si>
  <si>
    <t xml:space="preserve">OCI  (Gains) Losses</t>
  </si>
  <si>
    <t xml:space="preserve">Futures</t>
  </si>
  <si>
    <t xml:space="preserve">(Short)</t>
  </si>
  <si>
    <t xml:space="preserve">Total</t>
  </si>
  <si>
    <t xml:space="preserve">Realized</t>
  </si>
  <si>
    <t xml:space="preserve">Unrealized</t>
  </si>
  <si>
    <t xml:space="preserve">current 4/30/2001</t>
  </si>
  <si>
    <t xml:space="preserve">Prices</t>
  </si>
  <si>
    <t xml:space="preserve">Long</t>
  </si>
  <si>
    <t xml:space="preserve">(3)</t>
  </si>
  <si>
    <t xml:space="preserve">NNG</t>
  </si>
  <si>
    <t xml:space="preserve">TW</t>
  </si>
  <si>
    <t xml:space="preserve">Variance</t>
  </si>
  <si>
    <t xml:space="preserve">Current</t>
  </si>
  <si>
    <t xml:space="preserve">Avista</t>
  </si>
  <si>
    <t xml:space="preserve">F</t>
  </si>
  <si>
    <t xml:space="preserve">06/98-05/99</t>
  </si>
  <si>
    <t xml:space="preserve">Engage</t>
  </si>
  <si>
    <t xml:space="preserve">P</t>
  </si>
  <si>
    <t xml:space="preserve">Sempra</t>
  </si>
  <si>
    <t xml:space="preserve"> 06/99-05/00</t>
  </si>
  <si>
    <t xml:space="preserve">10/98-12/99</t>
  </si>
  <si>
    <t xml:space="preserve">Over-rtnd</t>
  </si>
  <si>
    <t xml:space="preserve">05/99-12/99</t>
  </si>
  <si>
    <t xml:space="preserve">RMTC</t>
  </si>
  <si>
    <t xml:space="preserve">Financial</t>
  </si>
  <si>
    <t xml:space="preserve">01/00-12/00</t>
  </si>
  <si>
    <t xml:space="preserve">Physical</t>
  </si>
  <si>
    <t xml:space="preserve">El Paso</t>
  </si>
  <si>
    <t xml:space="preserve"> 06/02-10/02 (5)</t>
  </si>
  <si>
    <t xml:space="preserve">MEC</t>
  </si>
  <si>
    <t xml:space="preserve">11/99-04/00</t>
  </si>
  <si>
    <t xml:space="preserve">ENA</t>
  </si>
  <si>
    <t xml:space="preserve">NI8156.1</t>
  </si>
  <si>
    <t xml:space="preserve">01/01-12/01</t>
  </si>
  <si>
    <t xml:space="preserve">Sale</t>
  </si>
  <si>
    <t xml:space="preserve">NK4742.1</t>
  </si>
  <si>
    <t xml:space="preserve">Richardson</t>
  </si>
  <si>
    <t xml:space="preserve">NT6154.1</t>
  </si>
  <si>
    <t xml:space="preserve">NV5358.1</t>
  </si>
  <si>
    <t xml:space="preserve">QV8401.1</t>
  </si>
  <si>
    <t xml:space="preserve">01/01/02-12/31/02</t>
  </si>
  <si>
    <t xml:space="preserve">Sempra Energy Trading</t>
  </si>
  <si>
    <t xml:space="preserve">RTMC</t>
  </si>
  <si>
    <t xml:space="preserve">QL5363.1</t>
  </si>
  <si>
    <t xml:space="preserve">12/01/01-12/31/01</t>
  </si>
  <si>
    <t xml:space="preserve">QL5365.1</t>
  </si>
  <si>
    <t xml:space="preserve">Dynegy</t>
  </si>
  <si>
    <t xml:space="preserve">Transport</t>
  </si>
  <si>
    <t xml:space="preserve">QL2915.1</t>
  </si>
  <si>
    <t xml:space="preserve">QL2918.1</t>
  </si>
  <si>
    <t xml:space="preserve">Reliant</t>
  </si>
  <si>
    <t xml:space="preserve">QL5424.1</t>
  </si>
  <si>
    <t xml:space="preserve">11/01/02-12/31/02</t>
  </si>
  <si>
    <t xml:space="preserve">QL5444.1</t>
  </si>
  <si>
    <t xml:space="preserve">QL5357.1</t>
  </si>
  <si>
    <t xml:space="preserve">01/01/03-12/31/03</t>
  </si>
  <si>
    <t xml:space="preserve">QL5358.1</t>
  </si>
  <si>
    <t xml:space="preserve">QL9270.1</t>
  </si>
  <si>
    <t xml:space="preserve">QL9273.1</t>
  </si>
  <si>
    <t xml:space="preserve">Calpine</t>
  </si>
  <si>
    <t xml:space="preserve">See Note 1</t>
  </si>
  <si>
    <t xml:space="preserve">Total OCI</t>
  </si>
  <si>
    <t xml:space="preserve">Note 1:  Hedges are perfectly correlated.</t>
  </si>
  <si>
    <t xml:space="preserve">OTHER TRADE</t>
  </si>
  <si>
    <t xml:space="preserve">SUMMARY</t>
  </si>
  <si>
    <t xml:space="preserve">Speculative Gains and (Losses)</t>
  </si>
  <si>
    <t xml:space="preserve">Short(-)</t>
  </si>
  <si>
    <t xml:space="preserve">Settled</t>
  </si>
  <si>
    <t xml:space="preserve">Mark to Mrkt</t>
  </si>
  <si>
    <t xml:space="preserve">Speculative (Gains)/Losses</t>
  </si>
  <si>
    <t xml:space="preserve">Speculative  (Gains) Losses</t>
  </si>
  <si>
    <t xml:space="preserve">Long(+)</t>
  </si>
  <si>
    <t xml:space="preserve">Index less $.104</t>
  </si>
  <si>
    <t xml:space="preserve">NK7775.1</t>
  </si>
  <si>
    <t xml:space="preserve"> 06/02-10/02 (4)</t>
  </si>
  <si>
    <t xml:space="preserve">TransCanada</t>
  </si>
  <si>
    <t xml:space="preserve">11/00-10/02</t>
  </si>
  <si>
    <t xml:space="preserve">SW17</t>
  </si>
  <si>
    <t xml:space="preserve">02/01/01-12/31/01</t>
  </si>
  <si>
    <t xml:space="preserve">SW18</t>
  </si>
  <si>
    <t xml:space="preserve">M337849</t>
  </si>
  <si>
    <t xml:space="preserve">12/26/00-11/25/02</t>
  </si>
  <si>
    <t xml:space="preserve">Reliant Energy</t>
  </si>
  <si>
    <t xml:space="preserve">04/01/02-04/30/02</t>
  </si>
  <si>
    <t xml:space="preserve">QK7503.1</t>
  </si>
  <si>
    <t xml:space="preserve">QF4410.1</t>
  </si>
  <si>
    <t xml:space="preserve">02/01/02-12/31/02</t>
  </si>
  <si>
    <t xml:space="preserve">QF4447.1</t>
  </si>
  <si>
    <t xml:space="preserve">QF0967.1</t>
  </si>
  <si>
    <t xml:space="preserve">QF5953.1</t>
  </si>
  <si>
    <t xml:space="preserve">HJN1006</t>
  </si>
  <si>
    <t xml:space="preserve">04/01/01-10/31/01</t>
  </si>
  <si>
    <t xml:space="preserve">HJN1007</t>
  </si>
  <si>
    <t xml:space="preserve">Aquila</t>
  </si>
  <si>
    <t xml:space="preserve">HJN1008</t>
  </si>
  <si>
    <t xml:space="preserve">06/01/01-10/31/01</t>
  </si>
  <si>
    <t xml:space="preserve">HJN1009</t>
  </si>
  <si>
    <t xml:space="preserve">HJN1010</t>
  </si>
  <si>
    <t xml:space="preserve">06/01/01-06/30/01</t>
  </si>
  <si>
    <t xml:space="preserve">HJN1011</t>
  </si>
  <si>
    <t xml:space="preserve">Note 3:  Gain and Losses are a measurement of the effectiveness of meeting the </t>
  </si>
  <si>
    <t xml:space="preserve">Last month speculative risk management asset</t>
  </si>
  <si>
    <t xml:space="preserve">              stated hedge objective.</t>
  </si>
  <si>
    <t xml:space="preserve">     Increase due to $CAD price changes from 04/30/01 to</t>
  </si>
  <si>
    <t xml:space="preserve">        05/07/01</t>
  </si>
  <si>
    <t xml:space="preserve">     Decrease due to exclusion of index Premiums </t>
  </si>
  <si>
    <t xml:space="preserve">Note 4:  Margin call:  $  1,000,000 - NNG</t>
  </si>
  <si>
    <t xml:space="preserve">     May additions to risk management asset</t>
  </si>
  <si>
    <t xml:space="preserve">                                   $30,000,000 - El Paso</t>
  </si>
  <si>
    <t xml:space="preserve">     Less May settled amount</t>
  </si>
  <si>
    <t xml:space="preserve">Speculative asset</t>
  </si>
  <si>
    <t xml:space="preserve">Hedging liability</t>
  </si>
  <si>
    <t xml:space="preserve">Total risk management asset/(liability)</t>
  </si>
  <si>
    <t xml:space="preserve">long term</t>
  </si>
  <si>
    <t xml:space="preserve">TRANSWESTERN PIPELINE COMPANY</t>
  </si>
  <si>
    <t xml:space="preserve">FUEL HEDGING BOOK</t>
  </si>
  <si>
    <t xml:space="preserve">Enron North America_9</t>
  </si>
  <si>
    <t xml:space="preserve">Prod.</t>
  </si>
  <si>
    <t xml:space="preserve">Fuel</t>
  </si>
  <si>
    <t xml:space="preserve">(Gains) and Losses</t>
  </si>
  <si>
    <t xml:space="preserve">Fixed</t>
  </si>
  <si>
    <t xml:space="preserve">Dth</t>
  </si>
  <si>
    <t xml:space="preserve">Floating </t>
  </si>
  <si>
    <t xml:space="preserve">El Paso Prmn</t>
  </si>
  <si>
    <t xml:space="preserve">(4)</t>
  </si>
  <si>
    <t xml:space="preserve">Current Portion</t>
  </si>
  <si>
    <t xml:space="preserve">Over-retention</t>
  </si>
  <si>
    <t xml:space="preserve">(4)Gain and Losses are a measurement of the effectiveness of meeting the stated hedge objective.</t>
  </si>
  <si>
    <t xml:space="preserve">Enron North America_11</t>
  </si>
  <si>
    <t xml:space="preserve">ENA </t>
  </si>
  <si>
    <t xml:space="preserve">Floating</t>
  </si>
  <si>
    <t xml:space="preserve">Enron North America_12</t>
  </si>
  <si>
    <t xml:space="preserve">Enron North America_13</t>
  </si>
  <si>
    <t xml:space="preserve">RMTC    QV8401.1</t>
  </si>
  <si>
    <t xml:space="preserve">Risk Book</t>
  </si>
  <si>
    <t xml:space="preserve">Rick Management Trading Corp  Deal #QL5363.1</t>
  </si>
  <si>
    <t xml:space="preserve">Fixed Price</t>
  </si>
  <si>
    <t xml:space="preserve">I.F.</t>
  </si>
  <si>
    <t xml:space="preserve">H.H.</t>
  </si>
  <si>
    <t xml:space="preserve">SJ</t>
  </si>
  <si>
    <t xml:space="preserve">Rick Management Trading Corp  Deal #QL5365.1</t>
  </si>
  <si>
    <t xml:space="preserve">NGI</t>
  </si>
  <si>
    <t xml:space="preserve">Socal</t>
  </si>
  <si>
    <t xml:space="preserve">Risk Management Trading Corp Deal #QL2915.1</t>
  </si>
  <si>
    <t xml:space="preserve">EPNG</t>
  </si>
  <si>
    <t xml:space="preserve">NYMEX H.H. -</t>
  </si>
  <si>
    <t xml:space="preserve">S.J.</t>
  </si>
  <si>
    <t xml:space="preserve">Risk Management Trading Corp Deal #QL2918.1</t>
  </si>
  <si>
    <t xml:space="preserve">NYMEX H.H. +</t>
  </si>
  <si>
    <t xml:space="preserve">Southern Cal</t>
  </si>
  <si>
    <t xml:space="preserve">Border Avg</t>
  </si>
  <si>
    <t xml:space="preserve">NGI Socal -</t>
  </si>
  <si>
    <t xml:space="preserve">Rick Management Trading Corp  Deal #QL5424.1</t>
  </si>
  <si>
    <t xml:space="preserve">Rick Management Trading Corp  Deal #QL5444.1</t>
  </si>
  <si>
    <t xml:space="preserve">I.F. </t>
  </si>
  <si>
    <t xml:space="preserve">Rick Management Trading Corp  Deal #QL5357.1</t>
  </si>
  <si>
    <t xml:space="preserve">Rick Management Trading Corp  Deal #QL5358.1</t>
  </si>
  <si>
    <t xml:space="preserve">I.F. ELPASO</t>
  </si>
  <si>
    <t xml:space="preserve">Rick Management Trading Corp  Deal #QL9270.1</t>
  </si>
  <si>
    <t xml:space="preserve">Rick Management Trading Corp  Deal #QL9273.1</t>
  </si>
  <si>
    <t xml:space="preserve">IF SJ</t>
  </si>
  <si>
    <t xml:space="preserve">NORTHERN NATURAL GAS COMPANY</t>
  </si>
  <si>
    <t xml:space="preserve">EL PASO ENERGY MARKETING COMPANY_6</t>
  </si>
  <si>
    <t xml:space="preserve">IF-DEMARC</t>
  </si>
  <si>
    <t xml:space="preserve">EL PASO</t>
  </si>
  <si>
    <t xml:space="preserve">Commodity Swap</t>
  </si>
  <si>
    <t xml:space="preserve">TransCanada Energy Financial Products Limited</t>
  </si>
  <si>
    <t xml:space="preserve">Deal #SW17</t>
  </si>
  <si>
    <t xml:space="preserve">TCEFPL</t>
  </si>
  <si>
    <t xml:space="preserve">Notional</t>
  </si>
  <si>
    <t xml:space="preserve">FIXED</t>
  </si>
  <si>
    <t xml:space="preserve">Qty.</t>
  </si>
  <si>
    <t xml:space="preserve">Float </t>
  </si>
  <si>
    <t xml:space="preserve">NYMEX</t>
  </si>
  <si>
    <t xml:space="preserve">Deal #SW18</t>
  </si>
  <si>
    <t xml:space="preserve">Trading BOOK</t>
  </si>
  <si>
    <t xml:space="preserve">FX Swap M337849</t>
  </si>
  <si>
    <t xml:space="preserve">NNG </t>
  </si>
  <si>
    <t xml:space="preserve">Receiving</t>
  </si>
  <si>
    <t xml:space="preserve">Paying</t>
  </si>
  <si>
    <t xml:space="preserve">$USD</t>
  </si>
  <si>
    <t xml:space="preserve">$CAD</t>
  </si>
  <si>
    <t xml:space="preserve">FX Swap</t>
  </si>
  <si>
    <t xml:space="preserve">Reliant Energy Services, Inc.</t>
  </si>
  <si>
    <t xml:space="preserve">Deal #12007624</t>
  </si>
  <si>
    <t xml:space="preserve">NYMEX H.H.</t>
  </si>
  <si>
    <t xml:space="preserve">I.F. Demarc</t>
  </si>
  <si>
    <t xml:space="preserve">Risk Management &amp; Trading Corp.</t>
  </si>
  <si>
    <t xml:space="preserve">Deal #QK7503.1</t>
  </si>
  <si>
    <t xml:space="preserve">ENA QF4410.1 Swap</t>
  </si>
  <si>
    <t xml:space="preserve">TWPL</t>
  </si>
  <si>
    <t xml:space="preserve">HENRY HUB</t>
  </si>
  <si>
    <t xml:space="preserve">ENA QF4447.1  Swap</t>
  </si>
  <si>
    <t xml:space="preserve">ENA QF0967.1 Swap</t>
  </si>
  <si>
    <t xml:space="preserve">I.F. Elpaso</t>
  </si>
  <si>
    <t xml:space="preserve">NYMEX Henry Hub</t>
  </si>
  <si>
    <t xml:space="preserve">Permian</t>
  </si>
  <si>
    <t xml:space="preserve">ENA QF5953.1  Swap</t>
  </si>
  <si>
    <t xml:space="preserve">PEPL TXOK</t>
  </si>
  <si>
    <t xml:space="preserve">TransCanada </t>
  </si>
  <si>
    <t xml:space="preserve">DEMARC</t>
  </si>
  <si>
    <t xml:space="preserve">Basis Swap</t>
  </si>
  <si>
    <t xml:space="preserve">TransCanada HJN 1010</t>
  </si>
  <si>
    <t xml:space="preserve">Transcanada</t>
  </si>
  <si>
    <t xml:space="preserve">IF PEPL TXOK</t>
  </si>
  <si>
    <t xml:space="preserve">GD MID OK PEPL</t>
  </si>
  <si>
    <t xml:space="preserve">TransCanada HJN 1011</t>
  </si>
  <si>
    <t xml:space="preserve">IF DEMARC</t>
  </si>
  <si>
    <t xml:space="preserve">GD MID DEMARC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</si>
</sst>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mm/dd/yy"/>
    <numFmt numFmtId="167" formatCode="_(\$* #,##0.0000_);_(\$* \(#,##0.0000\);_(\$* \-??_);_(@_)"/>
    <numFmt numFmtId="168" formatCode="_(\$* #,##0.00_);_(\$* \(#,##0.00\);_(\$* \-??_);_(@_)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mmm\-yy"/>
    <numFmt numFmtId="173" formatCode="\$#,##0.00_);[RED]&quot;($&quot;#,##0.00\)"/>
    <numFmt numFmtId="174" formatCode="\$#,##0.00000"/>
    <numFmt numFmtId="175" formatCode="[$-409]d\-mmm\-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8"/>
      <color rgb="FF003300"/>
      <name val="Arial"/>
      <family val="2"/>
    </font>
    <font>
      <sz val="8"/>
      <color rgb="FF3333CC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E3E3E3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70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externalLink" Target="externalLinks/externalLink1.xml"/><Relationship Id="rId37" Type="http://schemas.openxmlformats.org/officeDocument/2006/relationships/externalLink" Target="externalLinks/externalLink2.xml"/><Relationship Id="rId3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4.xml"/><Relationship Id="rId4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6.xml"/><Relationship Id="rId42" Type="http://schemas.openxmlformats.org/officeDocument/2006/relationships/externalLink" Target="externalLinks/externalLink7.xml"/><Relationship Id="rId4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T&amp;Scurves(b)0531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TW%20FUEL%20HEDGE/Fixed3_050701-expired%20deal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futures_0531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TW%20FUEL%20HEDGE/Fixed3_0331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ack%20end%20deal%200531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T&amp;Scurves(i)0531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Fixed3_053101-vns%20np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definedNames>
      <definedName name="CurveData" refersTo="[1]Curves!$C$5"/>
    </definedNames>
    <sheetDataSet>
      <sheetData sheetId="0">
        <row r="5">
          <cell r="C5">
            <v>37042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MTC_2-expired"/>
      <sheetName val="ENA #QA4309.1-Expired"/>
      <sheetName val="ENA #QA5217.1-Expired"/>
      <sheetName val="ElPaso #1009351-Expired"/>
      <sheetName val="ENA_19-Expired"/>
      <sheetName val="El Paso_18-Expired"/>
      <sheetName val="ENA_#QO886.1-Expired"/>
      <sheetName val="ENA O6763.1-Expired"/>
      <sheetName val="ENA_10-Expired"/>
      <sheetName val="Sempra_1_Expired"/>
      <sheetName val="MEC_8_Expired"/>
      <sheetName val="Avista_1_Expired"/>
      <sheetName val="Avista_2_Expired"/>
      <sheetName val="Sempra_2_Expired"/>
      <sheetName val="Sempra_2.1_Expired"/>
      <sheetName val="EOL QQ9020.1 expired"/>
      <sheetName val="EOL QQ9023.1 expired"/>
      <sheetName val="TC #HJN1001"/>
      <sheetName val="TC #HJN1002"/>
      <sheetName val="ENA #QH8057.1"/>
      <sheetName val="ENA #QF8229.1"/>
      <sheetName val="ENA #QF0992.1"/>
      <sheetName val="ENA #QF1003.1"/>
      <sheetName val="HJN1003"/>
      <sheetName val="HJN1004"/>
      <sheetName val="ENA #QN5116.1"/>
      <sheetName val="HJN1005"/>
      <sheetName val="EOL QV9321.1"/>
      <sheetName val="EOL QV9306.1"/>
      <sheetName val="QZ4095.1"/>
      <sheetName val="QZ4097.1"/>
    </sheetNames>
    <sheetDataSet>
      <sheetData sheetId="0"/>
      <sheetData sheetId="1">
        <row r="9">
          <cell r="G9">
            <v>2.19</v>
          </cell>
        </row>
        <row r="10">
          <cell r="G10">
            <v>2.41</v>
          </cell>
        </row>
        <row r="11">
          <cell r="G11">
            <v>2.41</v>
          </cell>
        </row>
        <row r="12">
          <cell r="G12">
            <v>2.79</v>
          </cell>
        </row>
        <row r="13">
          <cell r="G13">
            <v>2.87</v>
          </cell>
        </row>
        <row r="14">
          <cell r="G14">
            <v>4.1</v>
          </cell>
        </row>
        <row r="15">
          <cell r="G15">
            <v>4.35</v>
          </cell>
        </row>
        <row r="16">
          <cell r="G16">
            <v>3.77</v>
          </cell>
        </row>
        <row r="17">
          <cell r="G17">
            <v>4.5</v>
          </cell>
        </row>
        <row r="18">
          <cell r="G18">
            <v>5.15</v>
          </cell>
        </row>
        <row r="19">
          <cell r="G19">
            <v>4.52</v>
          </cell>
        </row>
        <row r="20">
          <cell r="G20">
            <v>6.27</v>
          </cell>
        </row>
        <row r="22">
          <cell r="F22">
            <v>-5490000</v>
          </cell>
        </row>
        <row r="22">
          <cell r="I22">
            <v>7783650</v>
          </cell>
          <cell r="J22">
            <v>7783650</v>
          </cell>
          <cell r="K22">
            <v>0</v>
          </cell>
        </row>
        <row r="26">
          <cell r="G26">
            <v>2.19</v>
          </cell>
        </row>
        <row r="27">
          <cell r="G27">
            <v>2.41</v>
          </cell>
        </row>
        <row r="28">
          <cell r="G28">
            <v>2.41</v>
          </cell>
        </row>
        <row r="29">
          <cell r="G29">
            <v>2.79</v>
          </cell>
        </row>
        <row r="30">
          <cell r="G30">
            <v>2.87</v>
          </cell>
        </row>
        <row r="31">
          <cell r="G31">
            <v>4.1</v>
          </cell>
        </row>
        <row r="32">
          <cell r="G32">
            <v>4.35</v>
          </cell>
        </row>
        <row r="33">
          <cell r="G33">
            <v>3.77</v>
          </cell>
        </row>
        <row r="34">
          <cell r="G34">
            <v>4.5</v>
          </cell>
        </row>
        <row r="35">
          <cell r="G35">
            <v>5.15</v>
          </cell>
        </row>
        <row r="36">
          <cell r="G36">
            <v>4.52</v>
          </cell>
        </row>
        <row r="37">
          <cell r="G37">
            <v>6.27</v>
          </cell>
        </row>
        <row r="39">
          <cell r="F39">
            <v>5490000</v>
          </cell>
        </row>
        <row r="39">
          <cell r="I39">
            <v>-7783650</v>
          </cell>
          <cell r="J39">
            <v>-7783650</v>
          </cell>
          <cell r="K3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G9">
            <v>1.96</v>
          </cell>
        </row>
        <row r="10">
          <cell r="G10">
            <v>2.05</v>
          </cell>
        </row>
        <row r="11">
          <cell r="G11">
            <v>2.26</v>
          </cell>
        </row>
        <row r="12">
          <cell r="G12">
            <v>2.63</v>
          </cell>
        </row>
        <row r="13">
          <cell r="G13">
            <v>2.37</v>
          </cell>
        </row>
        <row r="14">
          <cell r="G14">
            <v>2.84</v>
          </cell>
        </row>
        <row r="15">
          <cell r="G15">
            <v>2.08</v>
          </cell>
        </row>
        <row r="16">
          <cell r="G16">
            <v>2.18</v>
          </cell>
        </row>
        <row r="17">
          <cell r="G17">
            <v>2.36</v>
          </cell>
        </row>
        <row r="18">
          <cell r="G18">
            <v>2.37</v>
          </cell>
        </row>
        <row r="19">
          <cell r="G19">
            <v>2.75</v>
          </cell>
        </row>
        <row r="20">
          <cell r="G20">
            <v>2.78</v>
          </cell>
        </row>
        <row r="21">
          <cell r="F21">
            <v>91500</v>
          </cell>
        </row>
        <row r="21">
          <cell r="I21">
            <v>-40190</v>
          </cell>
          <cell r="J21">
            <v>-40190</v>
          </cell>
          <cell r="K21">
            <v>0</v>
          </cell>
        </row>
        <row r="25">
          <cell r="G25">
            <v>2.07</v>
          </cell>
        </row>
        <row r="26">
          <cell r="G26">
            <v>2.11</v>
          </cell>
        </row>
        <row r="27">
          <cell r="G27">
            <v>2.51</v>
          </cell>
        </row>
        <row r="28">
          <cell r="G28">
            <v>2.36</v>
          </cell>
        </row>
        <row r="29">
          <cell r="G29">
            <v>2.62</v>
          </cell>
        </row>
        <row r="30">
          <cell r="G30">
            <v>2.17</v>
          </cell>
        </row>
        <row r="31">
          <cell r="G31">
            <v>2.24</v>
          </cell>
        </row>
        <row r="32">
          <cell r="G32">
            <v>2.26</v>
          </cell>
        </row>
        <row r="33">
          <cell r="G33">
            <v>2.43</v>
          </cell>
        </row>
        <row r="34">
          <cell r="G34">
            <v>2.64</v>
          </cell>
        </row>
        <row r="35">
          <cell r="G35">
            <v>2.79</v>
          </cell>
        </row>
        <row r="36">
          <cell r="G36">
            <v>3.31</v>
          </cell>
        </row>
        <row r="37">
          <cell r="F37">
            <v>-91500</v>
          </cell>
        </row>
        <row r="37">
          <cell r="I37">
            <v>47172.5</v>
          </cell>
          <cell r="J37">
            <v>47172.5</v>
          </cell>
          <cell r="K37">
            <v>0</v>
          </cell>
        </row>
      </sheetData>
      <sheetData sheetId="11">
        <row r="15">
          <cell r="F15">
            <v>230000</v>
          </cell>
        </row>
        <row r="15">
          <cell r="I15">
            <v>588400</v>
          </cell>
          <cell r="J15">
            <v>588400</v>
          </cell>
          <cell r="K15">
            <v>0</v>
          </cell>
        </row>
        <row r="26">
          <cell r="F26">
            <v>-230000</v>
          </cell>
        </row>
        <row r="26">
          <cell r="I26">
            <v>-607140</v>
          </cell>
          <cell r="J26">
            <v>-607140</v>
          </cell>
          <cell r="K26">
            <v>0</v>
          </cell>
        </row>
      </sheetData>
      <sheetData sheetId="12">
        <row r="10">
          <cell r="D10">
            <v>2.22</v>
          </cell>
        </row>
        <row r="10">
          <cell r="G10">
            <v>1.82</v>
          </cell>
        </row>
        <row r="11">
          <cell r="G11">
            <v>1.86</v>
          </cell>
        </row>
        <row r="12">
          <cell r="G12">
            <v>1.81</v>
          </cell>
        </row>
        <row r="13">
          <cell r="G13">
            <v>1.55</v>
          </cell>
        </row>
        <row r="14">
          <cell r="G14">
            <v>1.67</v>
          </cell>
        </row>
        <row r="15">
          <cell r="G15">
            <v>1.88</v>
          </cell>
        </row>
        <row r="16">
          <cell r="G16">
            <v>1.96</v>
          </cell>
        </row>
        <row r="17">
          <cell r="G17">
            <v>1.72</v>
          </cell>
        </row>
        <row r="18">
          <cell r="G18">
            <v>1.63</v>
          </cell>
        </row>
        <row r="19">
          <cell r="G19">
            <v>1.51</v>
          </cell>
        </row>
        <row r="20">
          <cell r="G20">
            <v>1.59</v>
          </cell>
        </row>
        <row r="21">
          <cell r="G21">
            <v>2.03</v>
          </cell>
        </row>
        <row r="22">
          <cell r="F22">
            <v>91250</v>
          </cell>
        </row>
        <row r="22">
          <cell r="I22">
            <v>42525</v>
          </cell>
          <cell r="J22">
            <v>42525</v>
          </cell>
          <cell r="K22">
            <v>0</v>
          </cell>
        </row>
        <row r="26">
          <cell r="D26">
            <v>2.22</v>
          </cell>
        </row>
        <row r="26">
          <cell r="G26">
            <v>1.84</v>
          </cell>
        </row>
        <row r="27">
          <cell r="G27">
            <v>2.02</v>
          </cell>
        </row>
        <row r="28">
          <cell r="G28">
            <v>1.75</v>
          </cell>
        </row>
        <row r="29">
          <cell r="G29">
            <v>1.76</v>
          </cell>
        </row>
        <row r="30">
          <cell r="G30">
            <v>1.78</v>
          </cell>
        </row>
        <row r="31">
          <cell r="G31">
            <v>1.99</v>
          </cell>
        </row>
        <row r="32">
          <cell r="G32">
            <v>1.74</v>
          </cell>
        </row>
        <row r="33">
          <cell r="G33">
            <v>1.73</v>
          </cell>
        </row>
        <row r="34">
          <cell r="G34">
            <v>1.63</v>
          </cell>
        </row>
        <row r="35">
          <cell r="G35">
            <v>1.59</v>
          </cell>
        </row>
        <row r="36">
          <cell r="G36">
            <v>1.94</v>
          </cell>
        </row>
        <row r="37">
          <cell r="G37">
            <v>2.06</v>
          </cell>
        </row>
        <row r="38">
          <cell r="F38">
            <v>-91250</v>
          </cell>
        </row>
        <row r="38">
          <cell r="I38">
            <v>-33647.5</v>
          </cell>
          <cell r="J38">
            <v>-33647.5</v>
          </cell>
          <cell r="K38">
            <v>0</v>
          </cell>
        </row>
      </sheetData>
      <sheetData sheetId="13">
        <row r="9">
          <cell r="G9">
            <v>1.82</v>
          </cell>
        </row>
        <row r="10">
          <cell r="G10">
            <v>1.92</v>
          </cell>
        </row>
        <row r="11">
          <cell r="G11">
            <v>1.99</v>
          </cell>
        </row>
        <row r="12">
          <cell r="G12">
            <v>1.73</v>
          </cell>
        </row>
        <row r="13">
          <cell r="G13">
            <v>1.66</v>
          </cell>
        </row>
        <row r="14">
          <cell r="G14">
            <v>1.54</v>
          </cell>
        </row>
        <row r="15">
          <cell r="G15">
            <v>1.66</v>
          </cell>
        </row>
        <row r="16">
          <cell r="G16">
            <v>2.16</v>
          </cell>
        </row>
        <row r="17">
          <cell r="G17">
            <v>2.08</v>
          </cell>
        </row>
        <row r="18">
          <cell r="G18">
            <v>2.17</v>
          </cell>
        </row>
        <row r="19">
          <cell r="G19">
            <v>2.46</v>
          </cell>
        </row>
        <row r="20">
          <cell r="G20">
            <v>2.78</v>
          </cell>
        </row>
        <row r="21">
          <cell r="G21">
            <v>2.42</v>
          </cell>
        </row>
        <row r="22">
          <cell r="G22">
            <v>2.87</v>
          </cell>
        </row>
        <row r="23">
          <cell r="G23">
            <v>2.08</v>
          </cell>
        </row>
        <row r="24">
          <cell r="F24">
            <v>-1142500</v>
          </cell>
        </row>
        <row r="24">
          <cell r="I24">
            <v>97412.5000000001</v>
          </cell>
          <cell r="J24">
            <v>97412.5000000001</v>
          </cell>
          <cell r="K24">
            <v>0</v>
          </cell>
        </row>
        <row r="28">
          <cell r="G28">
            <v>1.78</v>
          </cell>
        </row>
        <row r="29">
          <cell r="G29">
            <v>1.99</v>
          </cell>
        </row>
        <row r="30">
          <cell r="G30">
            <v>1.74</v>
          </cell>
        </row>
        <row r="31">
          <cell r="G31">
            <v>1.73</v>
          </cell>
        </row>
        <row r="32">
          <cell r="G32">
            <v>1.63</v>
          </cell>
        </row>
        <row r="33">
          <cell r="G33">
            <v>1.59</v>
          </cell>
        </row>
        <row r="34">
          <cell r="G34">
            <v>1.94</v>
          </cell>
        </row>
        <row r="35">
          <cell r="G35">
            <v>2.06</v>
          </cell>
        </row>
        <row r="36">
          <cell r="G36">
            <v>2.07</v>
          </cell>
        </row>
        <row r="37">
          <cell r="G37">
            <v>2.11</v>
          </cell>
        </row>
        <row r="38">
          <cell r="G38">
            <v>2.51</v>
          </cell>
        </row>
        <row r="39">
          <cell r="G39">
            <v>2.36</v>
          </cell>
        </row>
        <row r="40">
          <cell r="G40">
            <v>2.62</v>
          </cell>
        </row>
        <row r="41">
          <cell r="G41">
            <v>2.17</v>
          </cell>
        </row>
        <row r="42">
          <cell r="G42">
            <v>2.24</v>
          </cell>
        </row>
        <row r="43">
          <cell r="F43">
            <v>1142500</v>
          </cell>
        </row>
        <row r="43">
          <cell r="I43">
            <v>-37587.5000000001</v>
          </cell>
          <cell r="J43">
            <v>-37587.5000000001</v>
          </cell>
          <cell r="K43">
            <v>0</v>
          </cell>
        </row>
      </sheetData>
      <sheetData sheetId="14">
        <row r="9">
          <cell r="D9">
            <v>2.1</v>
          </cell>
        </row>
        <row r="9">
          <cell r="G9">
            <v>1.82</v>
          </cell>
        </row>
        <row r="10">
          <cell r="G10">
            <v>1.92</v>
          </cell>
        </row>
        <row r="11">
          <cell r="G11">
            <v>1.99</v>
          </cell>
        </row>
        <row r="12">
          <cell r="G12">
            <v>1.73</v>
          </cell>
        </row>
        <row r="13">
          <cell r="G13">
            <v>1.66</v>
          </cell>
        </row>
        <row r="14">
          <cell r="G14">
            <v>1.54</v>
          </cell>
        </row>
        <row r="15">
          <cell r="G15">
            <v>1.66</v>
          </cell>
        </row>
        <row r="16">
          <cell r="G16">
            <v>2.16</v>
          </cell>
        </row>
        <row r="17">
          <cell r="G17">
            <v>2.08</v>
          </cell>
        </row>
        <row r="18">
          <cell r="G18">
            <v>2.17</v>
          </cell>
        </row>
        <row r="19">
          <cell r="G19">
            <v>2.46</v>
          </cell>
        </row>
        <row r="20">
          <cell r="G20">
            <v>2.78</v>
          </cell>
        </row>
        <row r="21">
          <cell r="G21">
            <v>2.42</v>
          </cell>
        </row>
        <row r="22">
          <cell r="G22">
            <v>2.87</v>
          </cell>
        </row>
        <row r="23">
          <cell r="G23">
            <v>2.08</v>
          </cell>
        </row>
        <row r="24">
          <cell r="F24">
            <v>-1142500</v>
          </cell>
        </row>
        <row r="24">
          <cell r="I24">
            <v>-11125.0000000001</v>
          </cell>
          <cell r="J24">
            <v>-11125.0000000001</v>
          </cell>
          <cell r="K24">
            <v>0</v>
          </cell>
        </row>
        <row r="28">
          <cell r="D28">
            <v>2.1</v>
          </cell>
        </row>
        <row r="28">
          <cell r="G28">
            <v>1.78</v>
          </cell>
        </row>
        <row r="29">
          <cell r="G29">
            <v>1.99</v>
          </cell>
        </row>
        <row r="30">
          <cell r="G30">
            <v>1.74</v>
          </cell>
        </row>
        <row r="31">
          <cell r="G31">
            <v>1.73</v>
          </cell>
        </row>
        <row r="32">
          <cell r="G32">
            <v>1.63</v>
          </cell>
        </row>
        <row r="33">
          <cell r="G33">
            <v>1.59</v>
          </cell>
        </row>
        <row r="34">
          <cell r="G34">
            <v>1.94</v>
          </cell>
        </row>
        <row r="35">
          <cell r="G35">
            <v>2.06</v>
          </cell>
        </row>
        <row r="36">
          <cell r="G36">
            <v>2.07</v>
          </cell>
        </row>
        <row r="37">
          <cell r="G37">
            <v>2.11</v>
          </cell>
        </row>
        <row r="38">
          <cell r="G38">
            <v>2.51</v>
          </cell>
        </row>
        <row r="39">
          <cell r="G39">
            <v>2.36</v>
          </cell>
        </row>
        <row r="40">
          <cell r="G40">
            <v>2.62</v>
          </cell>
        </row>
        <row r="41">
          <cell r="G41">
            <v>2.17</v>
          </cell>
        </row>
        <row r="42">
          <cell r="G42">
            <v>2.24</v>
          </cell>
        </row>
        <row r="43">
          <cell r="F43">
            <v>1142500</v>
          </cell>
        </row>
        <row r="43">
          <cell r="I43">
            <v>70950.0000000002</v>
          </cell>
          <cell r="J43">
            <v>70950.0000000002</v>
          </cell>
          <cell r="K43">
            <v>0</v>
          </cell>
        </row>
      </sheetData>
      <sheetData sheetId="15">
        <row r="9">
          <cell r="G9">
            <v>2.16</v>
          </cell>
        </row>
        <row r="10">
          <cell r="G10">
            <v>2.08</v>
          </cell>
        </row>
        <row r="11">
          <cell r="G11">
            <v>2.17</v>
          </cell>
        </row>
        <row r="12">
          <cell r="G12">
            <v>2.46</v>
          </cell>
        </row>
        <row r="13">
          <cell r="G13">
            <v>2.78</v>
          </cell>
        </row>
        <row r="14">
          <cell r="G14">
            <v>2.42</v>
          </cell>
        </row>
        <row r="15">
          <cell r="G15">
            <v>2.87</v>
          </cell>
        </row>
        <row r="16">
          <cell r="G16">
            <v>2.08</v>
          </cell>
        </row>
        <row r="17">
          <cell r="F17">
            <v>-2450000</v>
          </cell>
        </row>
        <row r="17">
          <cell r="I17">
            <v>894400.000000001</v>
          </cell>
          <cell r="J17">
            <v>894400.000000001</v>
          </cell>
          <cell r="K17">
            <v>0</v>
          </cell>
        </row>
        <row r="21">
          <cell r="G21">
            <v>2.06</v>
          </cell>
        </row>
        <row r="22">
          <cell r="G22">
            <v>2.07</v>
          </cell>
        </row>
        <row r="23">
          <cell r="G23">
            <v>2.11</v>
          </cell>
        </row>
        <row r="24">
          <cell r="G24">
            <v>2.51</v>
          </cell>
        </row>
        <row r="25">
          <cell r="G25">
            <v>2.36</v>
          </cell>
        </row>
        <row r="26">
          <cell r="G26">
            <v>2.62</v>
          </cell>
        </row>
        <row r="27">
          <cell r="G27">
            <v>2.17</v>
          </cell>
        </row>
        <row r="28">
          <cell r="G28">
            <v>2.24</v>
          </cell>
        </row>
        <row r="29">
          <cell r="F29">
            <v>2450000</v>
          </cell>
        </row>
        <row r="29">
          <cell r="I29">
            <v>-632900</v>
          </cell>
          <cell r="J29">
            <v>-632900</v>
          </cell>
          <cell r="K2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PEPL Tx, Ok"/>
      <sheetName val="Demarc"/>
      <sheetName val="NYMEX"/>
      <sheetName val="Henry Hub"/>
      <sheetName val="NGI Socal"/>
      <sheetName val="Aeco"/>
      <sheetName val="Empress"/>
      <sheetName val="Iroquois"/>
      <sheetName val="Dawn"/>
      <sheetName val="Niagara"/>
      <sheetName val="Emerson"/>
      <sheetName val="MEC-EXPIRED"/>
    </sheetNames>
    <sheetDataSet>
      <sheetData sheetId="0">
        <row r="15">
          <cell r="F15">
            <v>4.133</v>
          </cell>
        </row>
        <row r="16">
          <cell r="F16">
            <v>4.201</v>
          </cell>
          <cell r="G16">
            <v>4.2085</v>
          </cell>
        </row>
        <row r="17">
          <cell r="F17">
            <v>4.084</v>
          </cell>
          <cell r="G17">
            <v>4.0915</v>
          </cell>
        </row>
        <row r="18">
          <cell r="F18">
            <v>3.915</v>
          </cell>
          <cell r="G18">
            <v>3.9225</v>
          </cell>
        </row>
        <row r="19">
          <cell r="F19">
            <v>3.43</v>
          </cell>
          <cell r="G19">
            <v>3.435</v>
          </cell>
        </row>
        <row r="20">
          <cell r="F20">
            <v>3.355</v>
          </cell>
          <cell r="G20">
            <v>3.36</v>
          </cell>
        </row>
        <row r="21">
          <cell r="F21">
            <v>3.4</v>
          </cell>
          <cell r="G21">
            <v>3.405</v>
          </cell>
        </row>
        <row r="22">
          <cell r="F22">
            <v>3.435</v>
          </cell>
          <cell r="G22">
            <v>3.44</v>
          </cell>
        </row>
        <row r="23">
          <cell r="F23">
            <v>3.455</v>
          </cell>
          <cell r="G23">
            <v>3.46</v>
          </cell>
        </row>
        <row r="24">
          <cell r="F24">
            <v>3.472</v>
          </cell>
          <cell r="G24">
            <v>3.477</v>
          </cell>
        </row>
        <row r="25">
          <cell r="F25">
            <v>3.489</v>
          </cell>
          <cell r="G25">
            <v>3.494</v>
          </cell>
        </row>
        <row r="26">
          <cell r="F26">
            <v>3.794</v>
          </cell>
          <cell r="G26">
            <v>3.8015</v>
          </cell>
        </row>
        <row r="27">
          <cell r="F27">
            <v>3.924</v>
          </cell>
          <cell r="G27">
            <v>3.9315</v>
          </cell>
        </row>
        <row r="28">
          <cell r="F28">
            <v>3.984</v>
          </cell>
        </row>
        <row r="29">
          <cell r="F29">
            <v>3.864</v>
          </cell>
        </row>
        <row r="30">
          <cell r="F30">
            <v>3.717</v>
          </cell>
        </row>
        <row r="31">
          <cell r="F31">
            <v>3.489</v>
          </cell>
        </row>
        <row r="32">
          <cell r="F32">
            <v>3.474</v>
          </cell>
        </row>
        <row r="33">
          <cell r="F33">
            <v>3.514</v>
          </cell>
        </row>
        <row r="34">
          <cell r="F34">
            <v>3.569</v>
          </cell>
        </row>
        <row r="35">
          <cell r="F35">
            <v>3.599</v>
          </cell>
        </row>
        <row r="36">
          <cell r="F36">
            <v>3.611</v>
          </cell>
        </row>
        <row r="37">
          <cell r="F37">
            <v>3.634</v>
          </cell>
        </row>
        <row r="38">
          <cell r="F38">
            <v>3.804</v>
          </cell>
        </row>
        <row r="39">
          <cell r="F39">
            <v>3.944</v>
          </cell>
        </row>
        <row r="48">
          <cell r="G48">
            <v>3.7775</v>
          </cell>
        </row>
        <row r="49">
          <cell r="F49">
            <v>3.874</v>
          </cell>
          <cell r="G49">
            <v>3.8815</v>
          </cell>
        </row>
        <row r="50">
          <cell r="F50">
            <v>3.985</v>
          </cell>
          <cell r="G50">
            <v>3.9925</v>
          </cell>
        </row>
        <row r="51">
          <cell r="F51">
            <v>4.012</v>
          </cell>
          <cell r="G51">
            <v>4.0195</v>
          </cell>
        </row>
        <row r="52">
          <cell r="F52">
            <v>4.013</v>
          </cell>
          <cell r="G52">
            <v>4.0205</v>
          </cell>
        </row>
        <row r="53">
          <cell r="F53">
            <v>4.1975</v>
          </cell>
          <cell r="G53">
            <v>4.2125</v>
          </cell>
        </row>
        <row r="54">
          <cell r="F54">
            <v>4.3605</v>
          </cell>
          <cell r="G54">
            <v>4.3755</v>
          </cell>
        </row>
        <row r="55">
          <cell r="F55">
            <v>4.4285</v>
          </cell>
          <cell r="G55">
            <v>4.4435</v>
          </cell>
        </row>
        <row r="56">
          <cell r="F56">
            <v>4.3115</v>
          </cell>
          <cell r="G56">
            <v>4.3265</v>
          </cell>
        </row>
        <row r="57">
          <cell r="F57">
            <v>4.1425</v>
          </cell>
          <cell r="G57">
            <v>4.1575</v>
          </cell>
        </row>
        <row r="58">
          <cell r="F58">
            <v>3.8</v>
          </cell>
          <cell r="G58">
            <v>3.81</v>
          </cell>
        </row>
        <row r="59">
          <cell r="F59">
            <v>3.725</v>
          </cell>
          <cell r="G59">
            <v>3.735</v>
          </cell>
        </row>
        <row r="60">
          <cell r="F60">
            <v>3.77</v>
          </cell>
          <cell r="G60">
            <v>3.78</v>
          </cell>
        </row>
        <row r="61">
          <cell r="F61">
            <v>3.805</v>
          </cell>
          <cell r="G61">
            <v>3.815</v>
          </cell>
        </row>
        <row r="62">
          <cell r="F62">
            <v>3.825</v>
          </cell>
          <cell r="G62">
            <v>3.835</v>
          </cell>
        </row>
        <row r="63">
          <cell r="F63">
            <v>3.842</v>
          </cell>
          <cell r="G63">
            <v>3.852</v>
          </cell>
        </row>
        <row r="64">
          <cell r="F64">
            <v>3.859</v>
          </cell>
          <cell r="G64">
            <v>3.869</v>
          </cell>
        </row>
        <row r="65">
          <cell r="F65">
            <v>3.994</v>
          </cell>
          <cell r="G65">
            <v>4.009</v>
          </cell>
        </row>
        <row r="66">
          <cell r="F66">
            <v>4.124</v>
          </cell>
          <cell r="G66">
            <v>4.139</v>
          </cell>
        </row>
      </sheetData>
      <sheetData sheetId="1">
        <row r="9">
          <cell r="F9">
            <v>3.71</v>
          </cell>
        </row>
        <row r="10">
          <cell r="F10">
            <v>3.745</v>
          </cell>
        </row>
        <row r="11">
          <cell r="F11">
            <v>3.765</v>
          </cell>
        </row>
        <row r="12">
          <cell r="F12">
            <v>3.782</v>
          </cell>
        </row>
        <row r="13">
          <cell r="F13">
            <v>3.799</v>
          </cell>
        </row>
      </sheetData>
      <sheetData sheetId="2">
        <row r="13">
          <cell r="E13">
            <v>3.794</v>
          </cell>
        </row>
        <row r="14">
          <cell r="E14">
            <v>3.87</v>
          </cell>
        </row>
        <row r="15">
          <cell r="E15">
            <v>3.902</v>
          </cell>
        </row>
        <row r="16">
          <cell r="E16">
            <v>3.928</v>
          </cell>
        </row>
      </sheetData>
      <sheetData sheetId="3">
        <row r="13">
          <cell r="E13">
            <v>3.829</v>
          </cell>
        </row>
        <row r="14">
          <cell r="E14">
            <v>3.905</v>
          </cell>
        </row>
        <row r="15">
          <cell r="E15">
            <v>3.937</v>
          </cell>
        </row>
        <row r="16">
          <cell r="E16">
            <v>3.963</v>
          </cell>
        </row>
        <row r="22">
          <cell r="E22">
            <v>3.74</v>
          </cell>
        </row>
      </sheetData>
      <sheetData sheetId="4">
        <row r="9">
          <cell r="C9">
            <v>3.914</v>
          </cell>
        </row>
        <row r="10">
          <cell r="C10">
            <v>3.99</v>
          </cell>
        </row>
        <row r="11">
          <cell r="C11">
            <v>4.022</v>
          </cell>
        </row>
        <row r="12">
          <cell r="C12">
            <v>4.048</v>
          </cell>
        </row>
        <row r="13">
          <cell r="C13">
            <v>4.21</v>
          </cell>
        </row>
        <row r="14">
          <cell r="C14">
            <v>4.373</v>
          </cell>
        </row>
        <row r="15">
          <cell r="C15">
            <v>4.441</v>
          </cell>
        </row>
        <row r="16">
          <cell r="C16">
            <v>4.324</v>
          </cell>
        </row>
        <row r="17">
          <cell r="C17">
            <v>4.155</v>
          </cell>
        </row>
        <row r="18">
          <cell r="C18">
            <v>3.81</v>
          </cell>
        </row>
        <row r="19">
          <cell r="C19">
            <v>3.735</v>
          </cell>
        </row>
        <row r="20">
          <cell r="C20">
            <v>3.78</v>
          </cell>
        </row>
        <row r="21">
          <cell r="C21">
            <v>3.815</v>
          </cell>
        </row>
        <row r="22">
          <cell r="C22">
            <v>3.835</v>
          </cell>
        </row>
        <row r="23">
          <cell r="C23">
            <v>3.852</v>
          </cell>
        </row>
        <row r="24">
          <cell r="C24">
            <v>3.869</v>
          </cell>
        </row>
        <row r="25">
          <cell r="C25">
            <v>3.984</v>
          </cell>
        </row>
        <row r="26">
          <cell r="C26">
            <v>4.114</v>
          </cell>
        </row>
      </sheetData>
      <sheetData sheetId="5">
        <row r="14">
          <cell r="E14">
            <v>3.81</v>
          </cell>
        </row>
        <row r="16">
          <cell r="E16">
            <v>4.174</v>
          </cell>
        </row>
        <row r="17">
          <cell r="E17">
            <v>4.054</v>
          </cell>
        </row>
        <row r="18">
          <cell r="E18">
            <v>3.907</v>
          </cell>
        </row>
        <row r="19">
          <cell r="E19">
            <v>3.644</v>
          </cell>
        </row>
        <row r="20">
          <cell r="E20">
            <v>3.629</v>
          </cell>
        </row>
        <row r="21">
          <cell r="E21">
            <v>3.669</v>
          </cell>
        </row>
        <row r="22">
          <cell r="E22">
            <v>3.724</v>
          </cell>
        </row>
        <row r="23">
          <cell r="E23">
            <v>3.754</v>
          </cell>
        </row>
        <row r="24">
          <cell r="E24">
            <v>3.766</v>
          </cell>
        </row>
        <row r="25">
          <cell r="E25">
            <v>3.789</v>
          </cell>
        </row>
        <row r="26">
          <cell r="E26">
            <v>3.924</v>
          </cell>
        </row>
        <row r="27">
          <cell r="E27">
            <v>4.064</v>
          </cell>
        </row>
      </sheetData>
      <sheetData sheetId="6">
        <row r="9">
          <cell r="E9">
            <v>7.923</v>
          </cell>
        </row>
        <row r="10">
          <cell r="E10">
            <v>7.691</v>
          </cell>
          <cell r="F10">
            <v>7.991</v>
          </cell>
        </row>
        <row r="11">
          <cell r="E11">
            <v>7.204</v>
          </cell>
          <cell r="F11">
            <v>7.504</v>
          </cell>
        </row>
        <row r="12">
          <cell r="E12">
            <v>5.385</v>
          </cell>
          <cell r="F12">
            <v>5.685</v>
          </cell>
        </row>
        <row r="13">
          <cell r="E13">
            <v>5.105</v>
          </cell>
          <cell r="F13">
            <v>5.265</v>
          </cell>
        </row>
        <row r="14">
          <cell r="E14">
            <v>4.43</v>
          </cell>
          <cell r="F14">
            <v>4.59</v>
          </cell>
        </row>
        <row r="15">
          <cell r="E15">
            <v>4.575</v>
          </cell>
          <cell r="F15">
            <v>4.735</v>
          </cell>
        </row>
        <row r="16">
          <cell r="E16">
            <v>5.08</v>
          </cell>
          <cell r="F16">
            <v>5.24</v>
          </cell>
        </row>
        <row r="17">
          <cell r="E17">
            <v>5.1</v>
          </cell>
          <cell r="F17">
            <v>5.26</v>
          </cell>
        </row>
        <row r="18">
          <cell r="E18">
            <v>5.117</v>
          </cell>
          <cell r="F18">
            <v>5.277</v>
          </cell>
        </row>
        <row r="19">
          <cell r="E19">
            <v>4.284</v>
          </cell>
          <cell r="F19">
            <v>4.444</v>
          </cell>
        </row>
        <row r="20">
          <cell r="E20">
            <v>4.964</v>
          </cell>
          <cell r="F20">
            <v>5.064</v>
          </cell>
        </row>
        <row r="21">
          <cell r="E21">
            <v>5.094</v>
          </cell>
          <cell r="F21">
            <v>5.194</v>
          </cell>
        </row>
        <row r="22">
          <cell r="E22">
            <v>4.954</v>
          </cell>
        </row>
        <row r="23">
          <cell r="E23">
            <v>4.834</v>
          </cell>
        </row>
        <row r="24">
          <cell r="E24">
            <v>4.687</v>
          </cell>
        </row>
        <row r="25">
          <cell r="E25">
            <v>4.064</v>
          </cell>
        </row>
        <row r="26">
          <cell r="E26">
            <v>4.049</v>
          </cell>
        </row>
        <row r="27">
          <cell r="E27">
            <v>4.089</v>
          </cell>
        </row>
        <row r="28">
          <cell r="E28">
            <v>4.144</v>
          </cell>
        </row>
        <row r="29">
          <cell r="E29">
            <v>4.174</v>
          </cell>
        </row>
        <row r="30">
          <cell r="E30">
            <v>4.186</v>
          </cell>
        </row>
        <row r="31">
          <cell r="E31">
            <v>4.209</v>
          </cell>
        </row>
        <row r="32">
          <cell r="E32">
            <v>4.274</v>
          </cell>
        </row>
        <row r="33">
          <cell r="E33">
            <v>4.414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NA_9"/>
      <sheetName val="ENA_11"/>
      <sheetName val="ENA_12"/>
      <sheetName val="ENA_13"/>
      <sheetName val="TC #HJN1001"/>
      <sheetName val="TC #HJN1002"/>
      <sheetName val="ENA #QH8057.1"/>
      <sheetName val="ENA #QF8229.1"/>
      <sheetName val="ENA #QF0992.1"/>
      <sheetName val="ENA #QF1003.1"/>
      <sheetName val="HJN1003"/>
      <sheetName val="HJN1004"/>
      <sheetName val="QL5363.1"/>
      <sheetName val="QL5365.1"/>
      <sheetName val="QL2915.1"/>
      <sheetName val="QL2918.1"/>
      <sheetName val="QL5424.1"/>
      <sheetName val="QL5444.1"/>
      <sheetName val="QL5357.1"/>
      <sheetName val="QL5358.1"/>
      <sheetName val="QL9270.1"/>
      <sheetName val="QL9273.1"/>
      <sheetName val="ENA #QN5116.1"/>
      <sheetName val="HJN1005"/>
      <sheetName val="HJN1006"/>
      <sheetName val="HJN1007"/>
      <sheetName val="QV8401.1"/>
      <sheetName val="Elpaso_6"/>
      <sheetName val="SW17"/>
      <sheetName val="SW18"/>
      <sheetName val="M337849"/>
      <sheetName val="12007624"/>
      <sheetName val="QK7503.1"/>
      <sheetName val="ENA #QF4410.1"/>
      <sheetName val="ENA #QF4447.1"/>
      <sheetName val="ENA #QF0967.1"/>
      <sheetName val="ENA #QF5953.1"/>
      <sheetName val="EOL QV9321.1"/>
      <sheetName val="EOL QV9306.1"/>
      <sheetName val="QZ4095.1"/>
      <sheetName val="QZ4097.1"/>
    </sheetNames>
    <sheetDataSet>
      <sheetData sheetId="0">
        <row r="43">
          <cell r="Q43">
            <v>2836735</v>
          </cell>
        </row>
        <row r="47">
          <cell r="Q47">
            <v>2135485</v>
          </cell>
        </row>
        <row r="51">
          <cell r="Q51">
            <v>2286735</v>
          </cell>
        </row>
        <row r="55">
          <cell r="Q55">
            <v>2348610</v>
          </cell>
        </row>
        <row r="59">
          <cell r="Q59">
            <v>-503015</v>
          </cell>
        </row>
        <row r="73">
          <cell r="Q73">
            <v>-22180.5</v>
          </cell>
        </row>
        <row r="74">
          <cell r="Q74">
            <v>2538202.5</v>
          </cell>
        </row>
        <row r="78">
          <cell r="Q78">
            <v>-1498970</v>
          </cell>
        </row>
        <row r="79">
          <cell r="Q79">
            <v>21839262.5</v>
          </cell>
        </row>
        <row r="83">
          <cell r="Q83">
            <v>1311500</v>
          </cell>
        </row>
        <row r="84">
          <cell r="Q84">
            <v>-36722.0000000006</v>
          </cell>
        </row>
        <row r="88">
          <cell r="Q88">
            <v>2745000</v>
          </cell>
        </row>
        <row r="89">
          <cell r="Q89">
            <v>-181612.5</v>
          </cell>
        </row>
        <row r="93">
          <cell r="Q93">
            <v>296124.999999999</v>
          </cell>
        </row>
        <row r="94">
          <cell r="Q94">
            <v>-13719.4999999994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>
        <row r="36">
          <cell r="F36">
            <v>62401635.28848</v>
          </cell>
        </row>
        <row r="36">
          <cell r="I36">
            <v>-1535955.71449322</v>
          </cell>
          <cell r="J36">
            <v>-449118.885815307</v>
          </cell>
          <cell r="K36">
            <v>-1086836.82867791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>
        <row r="11">
          <cell r="W11">
            <v>1.53722137285693</v>
          </cell>
        </row>
        <row r="12">
          <cell r="W12">
            <v>1.53774032975703</v>
          </cell>
        </row>
        <row r="13">
          <cell r="W13">
            <v>1.53830330358694</v>
          </cell>
        </row>
        <row r="14">
          <cell r="W14">
            <v>1.53894289174779</v>
          </cell>
        </row>
        <row r="15">
          <cell r="W15">
            <v>1.53986653001194</v>
          </cell>
        </row>
        <row r="16">
          <cell r="W16">
            <v>1.54052164495601</v>
          </cell>
        </row>
        <row r="17">
          <cell r="W17">
            <v>1.54114911471305</v>
          </cell>
        </row>
        <row r="18">
          <cell r="W18">
            <v>1.5417527167012</v>
          </cell>
        </row>
        <row r="19">
          <cell r="W19">
            <v>1.54223213685323</v>
          </cell>
        </row>
        <row r="20">
          <cell r="W20">
            <v>1.54262673044942</v>
          </cell>
        </row>
        <row r="21">
          <cell r="W21">
            <v>1.54308078831367</v>
          </cell>
        </row>
        <row r="22">
          <cell r="W22">
            <v>1.54357448482408</v>
          </cell>
        </row>
        <row r="23">
          <cell r="W23">
            <v>1.54406865647681</v>
          </cell>
        </row>
        <row r="24">
          <cell r="W24">
            <v>1.54455481403947</v>
          </cell>
        </row>
        <row r="25">
          <cell r="W25">
            <v>1.5450565181545</v>
          </cell>
        </row>
        <row r="26">
          <cell r="W26">
            <v>1.54554745088952</v>
          </cell>
        </row>
        <row r="27">
          <cell r="W27">
            <v>1.54599469529798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NA_9"/>
      <sheetName val="ENA_11"/>
      <sheetName val="ENA_12"/>
      <sheetName val="ENA_13"/>
      <sheetName val="QV8401.1"/>
      <sheetName val="QL5363.1"/>
      <sheetName val="QL5365.1"/>
      <sheetName val="QL2915.1"/>
      <sheetName val="QL2918.1"/>
      <sheetName val="QL5424.1"/>
      <sheetName val="QL5444.1"/>
      <sheetName val="QL5357.1"/>
      <sheetName val="QL5358.1"/>
      <sheetName val="QL9270.1"/>
      <sheetName val="QL9273.1"/>
      <sheetName val="Elpaso_6"/>
      <sheetName val="SW17"/>
      <sheetName val="SW18"/>
      <sheetName val="M337849"/>
      <sheetName val="12007624"/>
      <sheetName val="QK7503.1"/>
      <sheetName val="ENA #QF4410.1"/>
      <sheetName val="ENA #QF4447.1"/>
      <sheetName val="ENA #QF0967.1"/>
      <sheetName val="ENA #QF5953.1"/>
      <sheetName val="HJN1006"/>
      <sheetName val="HJN1007"/>
      <sheetName val="HJN1008"/>
      <sheetName val="HJN1009"/>
      <sheetName val="HJN1010"/>
      <sheetName val="HJN1011"/>
    </sheetNames>
    <sheetDataSet>
      <sheetData sheetId="0">
        <row r="3">
          <cell r="C3">
            <v>37042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1.25" customHeight="true" zeroHeight="false" outlineLevelRow="0" outlineLevelCol="0"/>
  <cols>
    <col collapsed="false" customWidth="true" hidden="false" outlineLevel="0" max="1" min="1" style="1" width="8.28"/>
    <col collapsed="false" customWidth="true" hidden="false" outlineLevel="0" max="2" min="2" style="1" width="10.85"/>
    <col collapsed="false" customWidth="true" hidden="false" outlineLevel="0" max="3" min="3" style="1" width="11.56"/>
    <col collapsed="false" customWidth="true" hidden="false" outlineLevel="0" max="4" min="4" style="2" width="8.41"/>
    <col collapsed="false" customWidth="true" hidden="false" outlineLevel="0" max="5" min="5" style="1" width="11.7"/>
    <col collapsed="false" customWidth="true" hidden="false" outlineLevel="0" max="6" min="6" style="1" width="15.56"/>
    <col collapsed="false" customWidth="true" hidden="false" outlineLevel="0" max="8" min="7" style="1" width="9.41"/>
    <col collapsed="false" customWidth="true" hidden="false" outlineLevel="0" max="9" min="9" style="1" width="9.7"/>
    <col collapsed="false" customWidth="false" hidden="false" outlineLevel="0" max="10" min="10" style="1" width="9.56"/>
    <col collapsed="false" customWidth="true" hidden="false" outlineLevel="0" max="11" min="11" style="1" width="14.7"/>
    <col collapsed="false" customWidth="true" hidden="false" outlineLevel="0" max="12" min="12" style="1" width="11.42"/>
    <col collapsed="false" customWidth="true" hidden="false" outlineLevel="0" max="13" min="13" style="1" width="17.28"/>
    <col collapsed="false" customWidth="true" hidden="false" outlineLevel="0" max="14" min="14" style="1" width="17.14"/>
    <col collapsed="false" customWidth="true" hidden="false" outlineLevel="0" max="15" min="15" style="1" width="17.42"/>
    <col collapsed="false" customWidth="true" hidden="false" outlineLevel="0" max="16" min="16" style="3" width="18.99"/>
    <col collapsed="false" customWidth="true" hidden="false" outlineLevel="0" max="17" min="17" style="3" width="17.42"/>
    <col collapsed="false" customWidth="true" hidden="true" outlineLevel="0" max="18" min="18" style="3" width="20.28"/>
    <col collapsed="false" customWidth="true" hidden="true" outlineLevel="0" max="19" min="19" style="3" width="16.84"/>
    <col collapsed="false" customWidth="true" hidden="true" outlineLevel="0" max="20" min="20" style="1" width="13.14"/>
    <col collapsed="false" customWidth="true" hidden="true" outlineLevel="0" max="21" min="21" style="1" width="16.56"/>
    <col collapsed="false" customWidth="true" hidden="true" outlineLevel="0" max="22" min="22" style="3" width="18.56"/>
    <col collapsed="false" customWidth="true" hidden="true" outlineLevel="0" max="23" min="23" style="1" width="16.13"/>
    <col collapsed="false" customWidth="true" hidden="true" outlineLevel="0" max="24" min="24" style="1" width="16.56"/>
    <col collapsed="false" customWidth="false" hidden="true" outlineLevel="0" max="25" min="25" style="1" width="9.56"/>
    <col collapsed="false" customWidth="true" hidden="true" outlineLevel="0" max="26" min="26" style="1" width="16.13"/>
    <col collapsed="false" customWidth="false" hidden="true" outlineLevel="0" max="28" min="27" style="1" width="9.56"/>
    <col collapsed="false" customWidth="true" hidden="false" outlineLevel="0" max="29" min="29" style="1" width="3.28"/>
    <col collapsed="false" customWidth="true" hidden="true" outlineLevel="0" max="30" min="30" style="1" width="12.85"/>
    <col collapsed="false" customWidth="false" hidden="false" outlineLevel="0" max="257" min="31" style="1" width="9.56"/>
  </cols>
  <sheetData>
    <row r="1" customFormat="false" ht="11.25" hidden="false" customHeight="fals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4"/>
      <c r="U1" s="4"/>
      <c r="V1" s="7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4"/>
      <c r="U2" s="4"/>
      <c r="V2" s="7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8"/>
      <c r="B3" s="8"/>
      <c r="C3" s="9"/>
      <c r="D3" s="9"/>
      <c r="E3" s="9"/>
      <c r="F3" s="9"/>
      <c r="G3" s="9"/>
      <c r="H3" s="9"/>
      <c r="I3" s="9"/>
      <c r="J3" s="10" t="s">
        <v>2</v>
      </c>
      <c r="K3" s="11" t="n">
        <f aca="false">[1]!CurveData</f>
        <v>37042</v>
      </c>
      <c r="L3" s="9"/>
      <c r="M3" s="9"/>
      <c r="N3" s="9"/>
      <c r="O3" s="9"/>
      <c r="P3" s="9"/>
      <c r="Q3" s="9"/>
      <c r="R3" s="12"/>
      <c r="S3" s="12"/>
      <c r="T3" s="8"/>
      <c r="U3" s="8"/>
      <c r="V3" s="7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6.95" hidden="false" customHeight="true" outlineLevel="0" collapsed="false">
      <c r="A4" s="8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2"/>
      <c r="Q4" s="12"/>
      <c r="R4" s="12"/>
      <c r="S4" s="12"/>
      <c r="T4" s="8"/>
      <c r="U4" s="8"/>
      <c r="V4" s="12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1.25" hidden="false" customHeight="false" outlineLevel="0" collapsed="false">
      <c r="A5" s="8"/>
      <c r="B5" s="6" t="s">
        <v>3</v>
      </c>
      <c r="C5" s="6"/>
      <c r="D5" s="6"/>
      <c r="E5" s="6"/>
      <c r="F5" s="6"/>
      <c r="G5" s="6"/>
      <c r="H5" s="6"/>
      <c r="I5" s="6"/>
      <c r="J5" s="6"/>
      <c r="K5" s="8"/>
      <c r="L5" s="6"/>
      <c r="M5" s="6"/>
      <c r="N5" s="6"/>
      <c r="O5" s="6"/>
      <c r="P5" s="6"/>
      <c r="Q5" s="6"/>
      <c r="R5" s="12"/>
      <c r="S5" s="12"/>
      <c r="T5" s="8"/>
      <c r="U5" s="8"/>
      <c r="V5" s="6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6.95" hidden="false" customHeight="true" outlineLevel="0" collapsed="false">
      <c r="L6" s="13"/>
      <c r="P6" s="14"/>
      <c r="Q6" s="14"/>
    </row>
    <row r="7" customFormat="false" ht="11.25" hidden="false" customHeight="false" outlineLevel="0" collapsed="false">
      <c r="A7" s="7"/>
      <c r="B7" s="15" t="s">
        <v>4</v>
      </c>
      <c r="C7" s="16" t="s">
        <v>5</v>
      </c>
      <c r="D7" s="16" t="s">
        <v>5</v>
      </c>
      <c r="E7" s="16" t="s">
        <v>5</v>
      </c>
      <c r="F7" s="16" t="s">
        <v>6</v>
      </c>
      <c r="G7" s="16" t="s">
        <v>7</v>
      </c>
      <c r="H7" s="16" t="s">
        <v>5</v>
      </c>
      <c r="I7" s="16" t="s">
        <v>8</v>
      </c>
      <c r="J7" s="16" t="s">
        <v>9</v>
      </c>
      <c r="K7" s="16" t="s">
        <v>5</v>
      </c>
      <c r="L7" s="17" t="s">
        <v>10</v>
      </c>
      <c r="M7" s="16"/>
      <c r="N7" s="16"/>
      <c r="O7" s="16"/>
      <c r="P7" s="17"/>
      <c r="Q7" s="18"/>
      <c r="R7" s="19"/>
      <c r="S7" s="20"/>
      <c r="T7" s="7"/>
      <c r="U7" s="7"/>
      <c r="V7" s="21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1.25" hidden="false" customHeight="false" outlineLevel="0" collapsed="false">
      <c r="A8" s="7"/>
      <c r="B8" s="22" t="s">
        <v>11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/>
      <c r="K8" s="17" t="s">
        <v>18</v>
      </c>
      <c r="L8" s="17"/>
      <c r="M8" s="23" t="s">
        <v>19</v>
      </c>
      <c r="N8" s="23"/>
      <c r="O8" s="23"/>
      <c r="P8" s="23"/>
      <c r="Q8" s="18"/>
      <c r="R8" s="24"/>
      <c r="S8" s="25"/>
      <c r="T8" s="7"/>
      <c r="U8" s="7"/>
      <c r="V8" s="26"/>
      <c r="W8" s="22" t="s">
        <v>20</v>
      </c>
      <c r="X8" s="22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1.25" hidden="false" customHeight="false" outlineLevel="0" collapsed="false">
      <c r="A9" s="7"/>
      <c r="B9" s="22"/>
      <c r="C9" s="17"/>
      <c r="D9" s="17"/>
      <c r="E9" s="17"/>
      <c r="F9" s="17"/>
      <c r="G9" s="17"/>
      <c r="H9" s="17"/>
      <c r="I9" s="17" t="s">
        <v>21</v>
      </c>
      <c r="J9" s="17"/>
      <c r="K9" s="17" t="s">
        <v>22</v>
      </c>
      <c r="L9" s="17"/>
      <c r="M9" s="17" t="s">
        <v>23</v>
      </c>
      <c r="N9" s="17" t="s">
        <v>24</v>
      </c>
      <c r="O9" s="17" t="s">
        <v>25</v>
      </c>
      <c r="P9" s="27" t="s">
        <v>20</v>
      </c>
      <c r="Q9" s="28"/>
      <c r="R9" s="29" t="s">
        <v>20</v>
      </c>
      <c r="S9" s="28"/>
      <c r="T9" s="7"/>
      <c r="U9" s="7"/>
      <c r="V9" s="26" t="s">
        <v>25</v>
      </c>
      <c r="W9" s="30" t="s">
        <v>26</v>
      </c>
      <c r="X9" s="30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customFormat="false" ht="11.25" hidden="false" customHeight="false" outlineLevel="0" collapsed="false">
      <c r="A10" s="7"/>
      <c r="B10" s="29"/>
      <c r="C10" s="23"/>
      <c r="D10" s="23"/>
      <c r="E10" s="23"/>
      <c r="F10" s="23"/>
      <c r="G10" s="23"/>
      <c r="H10" s="23"/>
      <c r="I10" s="23" t="s">
        <v>27</v>
      </c>
      <c r="J10" s="23"/>
      <c r="K10" s="23" t="s">
        <v>28</v>
      </c>
      <c r="L10" s="23"/>
      <c r="M10" s="23" t="s">
        <v>29</v>
      </c>
      <c r="N10" s="23" t="s">
        <v>29</v>
      </c>
      <c r="O10" s="23" t="s">
        <v>29</v>
      </c>
      <c r="P10" s="23" t="s">
        <v>30</v>
      </c>
      <c r="Q10" s="31" t="s">
        <v>31</v>
      </c>
      <c r="R10" s="32" t="n">
        <v>36981</v>
      </c>
      <c r="S10" s="28" t="s">
        <v>32</v>
      </c>
      <c r="T10" s="7" t="s">
        <v>30</v>
      </c>
      <c r="U10" s="7" t="s">
        <v>31</v>
      </c>
      <c r="V10" s="33" t="s">
        <v>33</v>
      </c>
      <c r="W10" s="7" t="s">
        <v>30</v>
      </c>
      <c r="X10" s="7" t="s">
        <v>31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1.25" hidden="true" customHeight="false" outlineLevel="0" collapsed="false">
      <c r="B11" s="34" t="s">
        <v>31</v>
      </c>
      <c r="C11" s="34" t="s">
        <v>34</v>
      </c>
      <c r="D11" s="34"/>
      <c r="E11" s="34" t="s">
        <v>35</v>
      </c>
      <c r="F11" s="35" t="s">
        <v>36</v>
      </c>
      <c r="G11" s="36"/>
      <c r="H11" s="37" t="n">
        <f aca="false">+[2]Avista_1_Expired!D10</f>
        <v>2.22</v>
      </c>
      <c r="I11" s="38" t="n">
        <f aca="false">(SUM([2]Avista_1_Expired!G10:G21)+SUM([2]Avista_1_Expired!H26:H37))/12</f>
        <v>1.7525</v>
      </c>
      <c r="J11" s="37" t="n">
        <f aca="false">-M11/K11</f>
        <v>-0.466027397260274</v>
      </c>
      <c r="K11" s="39" t="n">
        <f aca="false">-[2]Avista_1_Expired!F22</f>
        <v>-91250</v>
      </c>
      <c r="L11" s="39" t="n">
        <f aca="false">+K11/365</f>
        <v>-250</v>
      </c>
      <c r="M11" s="40" t="n">
        <f aca="false">-[2]Avista_1_Expired!I22</f>
        <v>-42525</v>
      </c>
      <c r="N11" s="41" t="n">
        <f aca="false">-[2]Avista_1_Expired!J22</f>
        <v>-42525</v>
      </c>
      <c r="O11" s="41" t="n">
        <f aca="false">-[2]Avista_1_Expired!K22</f>
        <v>-0</v>
      </c>
      <c r="P11" s="42"/>
      <c r="Q11" s="43"/>
      <c r="V11" s="44"/>
    </row>
    <row r="12" customFormat="false" ht="11.25" hidden="true" customHeight="false" outlineLevel="0" collapsed="false">
      <c r="B12" s="45" t="s">
        <v>31</v>
      </c>
      <c r="C12" s="45" t="s">
        <v>37</v>
      </c>
      <c r="D12" s="45" t="n">
        <v>26125</v>
      </c>
      <c r="E12" s="45" t="s">
        <v>38</v>
      </c>
      <c r="F12" s="35" t="s">
        <v>36</v>
      </c>
      <c r="G12" s="46"/>
      <c r="H12" s="47" t="n">
        <f aca="false">+[2]Avista_1_Expired!D26</f>
        <v>2.22</v>
      </c>
      <c r="I12" s="48" t="n">
        <f aca="false">(SUM([2]Avista_1_Expired!G26:G37)+SUM([2]Avista_1_Expired!H26:H37))/12</f>
        <v>1.81916666666667</v>
      </c>
      <c r="J12" s="49" t="n">
        <f aca="false">+M12/K12</f>
        <v>0.368739726027397</v>
      </c>
      <c r="K12" s="50" t="n">
        <f aca="false">-[2]Avista_1_Expired!F38</f>
        <v>91250</v>
      </c>
      <c r="L12" s="51" t="n">
        <f aca="false">+K12/365</f>
        <v>250</v>
      </c>
      <c r="M12" s="52" t="n">
        <f aca="false">-[2]Avista_1_Expired!I38</f>
        <v>33647.5</v>
      </c>
      <c r="N12" s="41" t="n">
        <f aca="false">-[2]Avista_1_Expired!J38</f>
        <v>33647.5</v>
      </c>
      <c r="O12" s="41" t="n">
        <f aca="false">-[2]Avista_1_Expired!K38</f>
        <v>-0</v>
      </c>
      <c r="P12" s="42"/>
      <c r="Q12" s="43"/>
      <c r="V12" s="44"/>
    </row>
    <row r="13" customFormat="false" ht="11.25" hidden="true" customHeight="false" outlineLevel="0" collapsed="false">
      <c r="B13" s="45"/>
      <c r="C13" s="45"/>
      <c r="D13" s="45"/>
      <c r="E13" s="45"/>
      <c r="F13" s="46"/>
      <c r="G13" s="46"/>
      <c r="H13" s="47" t="n">
        <f aca="false">+'[3]ELpaso SJ &amp; Prm'!$G48</f>
        <v>3.7775</v>
      </c>
      <c r="I13" s="38"/>
      <c r="J13" s="47" t="n">
        <f aca="false">+J11+J12</f>
        <v>-0.0972876712328768</v>
      </c>
      <c r="K13" s="53" t="n">
        <f aca="false">SUM(K11:K12)</f>
        <v>0</v>
      </c>
      <c r="L13" s="53" t="n">
        <f aca="false">SUM(L11:L12)</f>
        <v>0</v>
      </c>
      <c r="M13" s="54" t="n">
        <f aca="false">SUM(M11:M12)</f>
        <v>-8877.50000000001</v>
      </c>
      <c r="N13" s="54" t="n">
        <f aca="false">SUM(N11:N12)</f>
        <v>-8877.50000000001</v>
      </c>
      <c r="O13" s="54" t="n">
        <f aca="false">SUM(O11:O12)</f>
        <v>0</v>
      </c>
      <c r="P13" s="42"/>
      <c r="Q13" s="43"/>
      <c r="V13" s="55"/>
    </row>
    <row r="14" customFormat="false" ht="9.95" hidden="true" customHeight="true" outlineLevel="0" collapsed="false">
      <c r="B14" s="45"/>
      <c r="C14" s="45"/>
      <c r="D14" s="45"/>
      <c r="E14" s="45"/>
      <c r="F14" s="46"/>
      <c r="G14" s="46"/>
      <c r="H14" s="47" t="n">
        <f aca="false">+'[3]ELpaso SJ &amp; Prm'!$G49</f>
        <v>3.8815</v>
      </c>
      <c r="I14" s="38"/>
      <c r="J14" s="47"/>
      <c r="K14" s="51"/>
      <c r="L14" s="51"/>
      <c r="M14" s="52"/>
      <c r="N14" s="41"/>
      <c r="O14" s="41"/>
      <c r="P14" s="42"/>
      <c r="Q14" s="43"/>
      <c r="V14" s="44"/>
    </row>
    <row r="15" customFormat="false" ht="11.25" hidden="true" customHeight="false" outlineLevel="0" collapsed="false">
      <c r="B15" s="45" t="s">
        <v>31</v>
      </c>
      <c r="C15" s="45" t="s">
        <v>39</v>
      </c>
      <c r="D15" s="45"/>
      <c r="E15" s="45" t="s">
        <v>35</v>
      </c>
      <c r="F15" s="35" t="s">
        <v>40</v>
      </c>
      <c r="G15" s="46"/>
      <c r="H15" s="47" t="n">
        <f aca="false">+'[3]ELpaso SJ &amp; Prm'!$G50</f>
        <v>3.9925</v>
      </c>
      <c r="I15" s="48" t="n">
        <f aca="false">(SUM([2]Sempra_1_Expired!G9:H20)/12)</f>
        <v>2.38583333333333</v>
      </c>
      <c r="J15" s="47" t="n">
        <f aca="false">-M15/K15</f>
        <v>0.439234972677596</v>
      </c>
      <c r="K15" s="50" t="n">
        <f aca="false">-[2]Sempra_1_Expired!F21</f>
        <v>-91500</v>
      </c>
      <c r="L15" s="51" t="n">
        <f aca="false">+K15/366</f>
        <v>-250</v>
      </c>
      <c r="M15" s="52" t="n">
        <f aca="false">-[2]Sempra_1_Expired!I21</f>
        <v>40190</v>
      </c>
      <c r="N15" s="41" t="n">
        <f aca="false">-[2]Sempra_1_Expired!J21</f>
        <v>40190</v>
      </c>
      <c r="O15" s="41" t="n">
        <f aca="false">-[2]Sempra_1_Expired!K21</f>
        <v>-0</v>
      </c>
      <c r="P15" s="42"/>
      <c r="Q15" s="43"/>
      <c r="V15" s="44"/>
    </row>
    <row r="16" customFormat="false" ht="11.25" hidden="true" customHeight="false" outlineLevel="0" collapsed="false">
      <c r="B16" s="45" t="s">
        <v>31</v>
      </c>
      <c r="C16" s="45" t="s">
        <v>37</v>
      </c>
      <c r="D16" s="45" t="n">
        <v>26125</v>
      </c>
      <c r="E16" s="45" t="s">
        <v>38</v>
      </c>
      <c r="F16" s="35" t="s">
        <v>40</v>
      </c>
      <c r="G16" s="46"/>
      <c r="H16" s="47" t="n">
        <f aca="false">+'[3]ELpaso SJ &amp; Prm'!$G51</f>
        <v>4.0195</v>
      </c>
      <c r="I16" s="38" t="n">
        <f aca="false">(SUM([2]Sempra_1_Expired!G25:H36)/12)</f>
        <v>2.45916666666667</v>
      </c>
      <c r="J16" s="49" t="n">
        <f aca="false">+M16/K16</f>
        <v>-0.515546448087432</v>
      </c>
      <c r="K16" s="51" t="n">
        <f aca="false">-[2]Sempra_1_Expired!F37</f>
        <v>91500</v>
      </c>
      <c r="L16" s="51" t="n">
        <f aca="false">+K16/366</f>
        <v>250</v>
      </c>
      <c r="M16" s="52" t="n">
        <f aca="false">-[2]Sempra_1_Expired!I37</f>
        <v>-47172.5</v>
      </c>
      <c r="N16" s="41" t="n">
        <f aca="false">-[2]Sempra_1_Expired!J37</f>
        <v>-47172.5</v>
      </c>
      <c r="O16" s="41" t="n">
        <f aca="false">-[2]Sempra_1_Expired!K37</f>
        <v>-0</v>
      </c>
      <c r="P16" s="42"/>
      <c r="Q16" s="43"/>
      <c r="V16" s="44"/>
    </row>
    <row r="17" customFormat="false" ht="11.25" hidden="true" customHeight="false" outlineLevel="0" collapsed="false">
      <c r="B17" s="45"/>
      <c r="C17" s="45"/>
      <c r="D17" s="45"/>
      <c r="E17" s="46"/>
      <c r="F17" s="46"/>
      <c r="G17" s="46"/>
      <c r="H17" s="47" t="n">
        <f aca="false">+'[3]ELpaso SJ &amp; Prm'!$G52</f>
        <v>4.0205</v>
      </c>
      <c r="I17" s="56"/>
      <c r="J17" s="47" t="n">
        <f aca="false">+J15+J16</f>
        <v>-0.076311475409836</v>
      </c>
      <c r="K17" s="57" t="n">
        <f aca="false">+K11+K12</f>
        <v>0</v>
      </c>
      <c r="L17" s="57" t="n">
        <f aca="false">+L11+L12</f>
        <v>0</v>
      </c>
      <c r="M17" s="58" t="n">
        <f aca="false">+M15+M16</f>
        <v>-6982.49999999999</v>
      </c>
      <c r="N17" s="58" t="n">
        <f aca="false">+N15+N16</f>
        <v>-6982.49999999999</v>
      </c>
      <c r="O17" s="58" t="n">
        <f aca="false">+O15+O16</f>
        <v>-0</v>
      </c>
      <c r="P17" s="42"/>
      <c r="Q17" s="43"/>
      <c r="V17" s="59"/>
    </row>
    <row r="18" customFormat="false" ht="9.95" hidden="true" customHeight="true" outlineLevel="0" collapsed="false">
      <c r="B18" s="45"/>
      <c r="C18" s="46"/>
      <c r="D18" s="45"/>
      <c r="E18" s="46"/>
      <c r="F18" s="46"/>
      <c r="G18" s="46"/>
      <c r="H18" s="47" t="n">
        <f aca="false">+'[3]ELpaso SJ &amp; Prm'!$G53</f>
        <v>4.2125</v>
      </c>
      <c r="I18" s="46"/>
      <c r="J18" s="46"/>
      <c r="K18" s="46"/>
      <c r="L18" s="46"/>
      <c r="M18" s="46"/>
      <c r="N18" s="60"/>
      <c r="O18" s="60"/>
      <c r="P18" s="42"/>
      <c r="Q18" s="43"/>
      <c r="V18" s="61"/>
    </row>
    <row r="19" customFormat="false" ht="11.25" hidden="true" customHeight="false" outlineLevel="0" collapsed="false">
      <c r="B19" s="45" t="s">
        <v>31</v>
      </c>
      <c r="C19" s="45" t="s">
        <v>34</v>
      </c>
      <c r="D19" s="45"/>
      <c r="E19" s="45" t="s">
        <v>35</v>
      </c>
      <c r="F19" s="35" t="s">
        <v>41</v>
      </c>
      <c r="G19" s="46"/>
      <c r="H19" s="47" t="n">
        <f aca="false">+'[3]ELpaso SJ &amp; Prm'!$G54</f>
        <v>4.3755</v>
      </c>
      <c r="I19" s="38" t="n">
        <f aca="false">(SUM([2]Avista_2_Expired!G9:G23)+SUM([2]Avista_2_Expired!H9:H23))/15</f>
        <v>2.08933333333333</v>
      </c>
      <c r="J19" s="47" t="n">
        <f aca="false">-M19/K19</f>
        <v>0.0852625820568929</v>
      </c>
      <c r="K19" s="51" t="n">
        <f aca="false">-[2]Avista_2_Expired!F24</f>
        <v>1142500</v>
      </c>
      <c r="L19" s="51" t="n">
        <f aca="false">+K19/457</f>
        <v>2500</v>
      </c>
      <c r="M19" s="52" t="n">
        <f aca="false">-[2]Avista_2_Expired!I24</f>
        <v>-97412.5000000001</v>
      </c>
      <c r="N19" s="41" t="n">
        <f aca="false">-[2]Avista_2_Expired!J24</f>
        <v>-97412.5000000001</v>
      </c>
      <c r="O19" s="41" t="n">
        <f aca="false">-[2]Avista_2_Expired!K24</f>
        <v>-0</v>
      </c>
      <c r="P19" s="42"/>
      <c r="Q19" s="43"/>
      <c r="V19" s="44"/>
    </row>
    <row r="20" customFormat="false" ht="11.25" hidden="true" customHeight="false" outlineLevel="0" collapsed="false">
      <c r="B20" s="45" t="s">
        <v>31</v>
      </c>
      <c r="C20" s="45" t="s">
        <v>42</v>
      </c>
      <c r="D20" s="45"/>
      <c r="E20" s="45" t="s">
        <v>38</v>
      </c>
      <c r="F20" s="35" t="s">
        <v>41</v>
      </c>
      <c r="G20" s="46"/>
      <c r="H20" s="47" t="n">
        <f aca="false">+'[3]ELpaso SJ &amp; Prm'!$G55</f>
        <v>4.4435</v>
      </c>
      <c r="I20" s="38" t="n">
        <f aca="false">(SUM([2]Avista_2_Expired!G28:G42)+SUM([2]Avista_2_Expired!H28:H42))/15</f>
        <v>2.036</v>
      </c>
      <c r="J20" s="49" t="n">
        <f aca="false">+M20/K20</f>
        <v>-0.0328993435448579</v>
      </c>
      <c r="K20" s="51" t="n">
        <f aca="false">-[2]Avista_2_Expired!F43</f>
        <v>-1142500</v>
      </c>
      <c r="L20" s="51" t="n">
        <f aca="false">+K20/457</f>
        <v>-2500</v>
      </c>
      <c r="M20" s="52" t="n">
        <f aca="false">-[2]Avista_2_Expired!I43</f>
        <v>37587.5000000001</v>
      </c>
      <c r="N20" s="41" t="n">
        <f aca="false">-[2]Avista_2_Expired!J43</f>
        <v>37587.5000000001</v>
      </c>
      <c r="O20" s="41" t="n">
        <f aca="false">-[2]Avista_2_Expired!K43</f>
        <v>-0</v>
      </c>
      <c r="P20" s="42"/>
      <c r="Q20" s="43"/>
      <c r="V20" s="44"/>
    </row>
    <row r="21" customFormat="false" ht="11.25" hidden="true" customHeight="false" outlineLevel="0" collapsed="false">
      <c r="B21" s="45"/>
      <c r="C21" s="46"/>
      <c r="D21" s="45"/>
      <c r="E21" s="46"/>
      <c r="F21" s="46"/>
      <c r="G21" s="46"/>
      <c r="H21" s="46"/>
      <c r="I21" s="46"/>
      <c r="J21" s="47" t="n">
        <f aca="false">+J19+J20</f>
        <v>0.052363238512035</v>
      </c>
      <c r="K21" s="57" t="n">
        <f aca="false">+K20+K19</f>
        <v>0</v>
      </c>
      <c r="L21" s="57" t="n">
        <f aca="false">+L20+L19</f>
        <v>0</v>
      </c>
      <c r="M21" s="58" t="n">
        <f aca="false">+M20+M19</f>
        <v>-59825</v>
      </c>
      <c r="N21" s="58" t="n">
        <f aca="false">+N20+N19</f>
        <v>-59825</v>
      </c>
      <c r="O21" s="58" t="n">
        <f aca="false">+O20+O19</f>
        <v>-0</v>
      </c>
      <c r="P21" s="42"/>
      <c r="Q21" s="43"/>
      <c r="V21" s="59"/>
    </row>
    <row r="22" customFormat="false" ht="9.95" hidden="true" customHeight="true" outlineLevel="0" collapsed="false">
      <c r="B22" s="45"/>
      <c r="C22" s="46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60"/>
      <c r="O22" s="60"/>
      <c r="P22" s="42"/>
      <c r="Q22" s="43"/>
      <c r="V22" s="61"/>
    </row>
    <row r="23" customFormat="false" ht="11.25" hidden="true" customHeight="false" outlineLevel="0" collapsed="false">
      <c r="B23" s="45" t="s">
        <v>31</v>
      </c>
      <c r="C23" s="45" t="s">
        <v>39</v>
      </c>
      <c r="D23" s="45"/>
      <c r="E23" s="45" t="s">
        <v>35</v>
      </c>
      <c r="F23" s="35" t="s">
        <v>41</v>
      </c>
      <c r="G23" s="46"/>
      <c r="H23" s="38" t="n">
        <f aca="false">+[2]Sempra_2_Expired!D9</f>
        <v>2.1</v>
      </c>
      <c r="I23" s="38" t="n">
        <f aca="false">(SUM([2]Sempra_2_Expired!G9:G23)+SUM([2]Sempra_2_Expired!H9:H23))/15</f>
        <v>2.08933333333333</v>
      </c>
      <c r="J23" s="47" t="n">
        <f aca="false">-M23/K23</f>
        <v>-0.00973741794310731</v>
      </c>
      <c r="K23" s="51" t="n">
        <f aca="false">-[2]Sempra_2_Expired!F24</f>
        <v>1142500</v>
      </c>
      <c r="L23" s="51" t="n">
        <f aca="false">+K23/457</f>
        <v>2500</v>
      </c>
      <c r="M23" s="52" t="n">
        <f aca="false">-[2]Sempra_2_Expired!I24</f>
        <v>11125.0000000001</v>
      </c>
      <c r="N23" s="41" t="n">
        <f aca="false">-[2]Sempra_2_Expired!J24</f>
        <v>11125.0000000001</v>
      </c>
      <c r="O23" s="41" t="n">
        <f aca="false">-[2]Sempra_2_Expired!K24</f>
        <v>-0</v>
      </c>
      <c r="P23" s="42"/>
      <c r="Q23" s="43"/>
      <c r="V23" s="44"/>
    </row>
    <row r="24" customFormat="false" ht="11.25" hidden="true" customHeight="false" outlineLevel="0" collapsed="false">
      <c r="B24" s="45" t="s">
        <v>31</v>
      </c>
      <c r="C24" s="45" t="s">
        <v>42</v>
      </c>
      <c r="D24" s="45"/>
      <c r="E24" s="45" t="s">
        <v>38</v>
      </c>
      <c r="F24" s="35" t="s">
        <v>41</v>
      </c>
      <c r="G24" s="46"/>
      <c r="H24" s="38" t="n">
        <f aca="false">+[2]Sempra_2_Expired!D28</f>
        <v>2.1</v>
      </c>
      <c r="I24" s="38" t="n">
        <f aca="false">(SUM([2]Sempra_2_Expired!G28:G42)+SUM([2]Sempra_2_Expired!H28:H42))/15</f>
        <v>2.036</v>
      </c>
      <c r="J24" s="49" t="n">
        <f aca="false">+M24/K24</f>
        <v>0.0621006564551424</v>
      </c>
      <c r="K24" s="62" t="n">
        <f aca="false">-[2]Sempra_2_Expired!F43</f>
        <v>-1142500</v>
      </c>
      <c r="L24" s="62" t="n">
        <f aca="false">+K24/457</f>
        <v>-2500</v>
      </c>
      <c r="M24" s="63" t="n">
        <f aca="false">-[2]Sempra_2_Expired!I43</f>
        <v>-70950.0000000002</v>
      </c>
      <c r="N24" s="64" t="n">
        <f aca="false">-[2]Sempra_2_Expired!J43</f>
        <v>-70950.0000000002</v>
      </c>
      <c r="O24" s="64" t="n">
        <f aca="false">-[2]Sempra_2_Expired!K43</f>
        <v>-0</v>
      </c>
      <c r="P24" s="42"/>
      <c r="Q24" s="43"/>
      <c r="V24" s="44"/>
    </row>
    <row r="25" customFormat="false" ht="11.25" hidden="true" customHeight="false" outlineLevel="0" collapsed="false">
      <c r="B25" s="45"/>
      <c r="C25" s="45"/>
      <c r="D25" s="45"/>
      <c r="E25" s="45"/>
      <c r="F25" s="46"/>
      <c r="G25" s="46"/>
      <c r="H25" s="38"/>
      <c r="I25" s="38"/>
      <c r="J25" s="47" t="n">
        <f aca="false">+J23+J24</f>
        <v>0.0523632385120351</v>
      </c>
      <c r="K25" s="51" t="n">
        <f aca="false">+K24+K23</f>
        <v>0</v>
      </c>
      <c r="L25" s="51" t="n">
        <f aca="false">+L24+L23</f>
        <v>0</v>
      </c>
      <c r="M25" s="65" t="n">
        <f aca="false">+M24+M23</f>
        <v>-59825.0000000001</v>
      </c>
      <c r="N25" s="65" t="n">
        <f aca="false">+N24+N23</f>
        <v>-59825.0000000001</v>
      </c>
      <c r="O25" s="65" t="n">
        <f aca="false">+O24+O23</f>
        <v>-0</v>
      </c>
      <c r="P25" s="42"/>
      <c r="Q25" s="43"/>
      <c r="V25" s="59"/>
    </row>
    <row r="26" customFormat="false" ht="9.95" hidden="true" customHeight="true" outlineLevel="0" collapsed="false">
      <c r="B26" s="45"/>
      <c r="C26" s="45"/>
      <c r="D26" s="45"/>
      <c r="E26" s="45"/>
      <c r="F26" s="46"/>
      <c r="G26" s="46"/>
      <c r="H26" s="38"/>
      <c r="I26" s="38"/>
      <c r="J26" s="38"/>
      <c r="K26" s="51"/>
      <c r="L26" s="51"/>
      <c r="M26" s="52"/>
      <c r="N26" s="41"/>
      <c r="O26" s="41"/>
      <c r="P26" s="42"/>
      <c r="Q26" s="43"/>
      <c r="V26" s="44"/>
    </row>
    <row r="27" customFormat="false" ht="11.25" hidden="true" customHeight="false" outlineLevel="0" collapsed="false">
      <c r="B27" s="45" t="s">
        <v>31</v>
      </c>
      <c r="C27" s="45" t="s">
        <v>39</v>
      </c>
      <c r="D27" s="45"/>
      <c r="E27" s="45" t="s">
        <v>35</v>
      </c>
      <c r="F27" s="35" t="s">
        <v>43</v>
      </c>
      <c r="G27" s="46"/>
      <c r="H27" s="38" t="n">
        <v>2.01</v>
      </c>
      <c r="I27" s="38" t="n">
        <f aca="false">(SUM('[2]Sempra_2.1_Expired'!G9:G16)+SUM('[2]Sempra_2.1_Expired'!H9:H19))/8</f>
        <v>2.3775</v>
      </c>
      <c r="J27" s="47" t="n">
        <f aca="false">-M27/K27</f>
        <v>0.365061224489796</v>
      </c>
      <c r="K27" s="51" t="n">
        <f aca="false">-'[2]Sempra_2.1_Expired'!F17</f>
        <v>2450000</v>
      </c>
      <c r="L27" s="51" t="n">
        <f aca="false">+K27/245</f>
        <v>10000</v>
      </c>
      <c r="M27" s="52" t="n">
        <f aca="false">-'[2]Sempra_2.1_Expired'!I17</f>
        <v>-894400.000000001</v>
      </c>
      <c r="N27" s="41" t="n">
        <f aca="false">-'[2]Sempra_2.1_Expired'!J17</f>
        <v>-894400.000000001</v>
      </c>
      <c r="O27" s="41" t="n">
        <f aca="false">-'[2]Sempra_2.1_Expired'!K17</f>
        <v>-0</v>
      </c>
      <c r="P27" s="42"/>
      <c r="Q27" s="43"/>
      <c r="V27" s="44"/>
    </row>
    <row r="28" customFormat="false" ht="11.25" hidden="true" customHeight="false" outlineLevel="0" collapsed="false">
      <c r="B28" s="45" t="s">
        <v>31</v>
      </c>
      <c r="C28" s="45" t="s">
        <v>42</v>
      </c>
      <c r="D28" s="45"/>
      <c r="E28" s="45" t="s">
        <v>38</v>
      </c>
      <c r="F28" s="35" t="s">
        <v>43</v>
      </c>
      <c r="G28" s="46"/>
      <c r="H28" s="38" t="n">
        <v>2.01</v>
      </c>
      <c r="I28" s="38" t="n">
        <f aca="false">(SUM('[2]Sempra_2.1_Expired'!G21:G28)+SUM('[2]Sempra_2.1_Expired'!H21:H28))/8</f>
        <v>2.2675</v>
      </c>
      <c r="J28" s="49" t="n">
        <f aca="false">+M28/K28</f>
        <v>-0.258326530612245</v>
      </c>
      <c r="K28" s="51" t="n">
        <f aca="false">-'[2]Sempra_2.1_Expired'!F29</f>
        <v>-2450000</v>
      </c>
      <c r="L28" s="51" t="n">
        <f aca="false">+K28/245</f>
        <v>-10000</v>
      </c>
      <c r="M28" s="52" t="n">
        <f aca="false">-'[2]Sempra_2.1_Expired'!I29</f>
        <v>632900</v>
      </c>
      <c r="N28" s="41" t="n">
        <f aca="false">-'[2]Sempra_2.1_Expired'!J29</f>
        <v>632900</v>
      </c>
      <c r="O28" s="41" t="n">
        <f aca="false">-'[2]Sempra_2.1_Expired'!K29</f>
        <v>-0</v>
      </c>
      <c r="P28" s="42"/>
      <c r="Q28" s="43"/>
      <c r="V28" s="44"/>
    </row>
    <row r="29" customFormat="false" ht="11.25" hidden="true" customHeight="false" outlineLevel="0" collapsed="false">
      <c r="B29" s="45"/>
      <c r="C29" s="46"/>
      <c r="D29" s="45"/>
      <c r="E29" s="46"/>
      <c r="F29" s="46"/>
      <c r="G29" s="46"/>
      <c r="H29" s="46"/>
      <c r="I29" s="46"/>
      <c r="J29" s="47" t="n">
        <f aca="false">+J27+J28</f>
        <v>0.106734693877551</v>
      </c>
      <c r="K29" s="57" t="n">
        <f aca="false">+K27+K28</f>
        <v>0</v>
      </c>
      <c r="L29" s="57" t="n">
        <f aca="false">+L27+L28</f>
        <v>0</v>
      </c>
      <c r="M29" s="58" t="n">
        <f aca="false">+M27+M28</f>
        <v>-261500</v>
      </c>
      <c r="N29" s="58" t="n">
        <f aca="false">+N27+N28</f>
        <v>-261500</v>
      </c>
      <c r="O29" s="58" t="n">
        <f aca="false">+O27+O28</f>
        <v>-0</v>
      </c>
      <c r="P29" s="42"/>
      <c r="Q29" s="43"/>
      <c r="V29" s="59"/>
    </row>
    <row r="30" customFormat="false" ht="9.95" hidden="true" customHeight="true" outlineLevel="0" collapsed="false">
      <c r="B30" s="45"/>
      <c r="C30" s="46"/>
      <c r="D30" s="45"/>
      <c r="E30" s="46"/>
      <c r="F30" s="46"/>
      <c r="G30" s="46"/>
      <c r="H30" s="46" t="n">
        <f aca="false">+'[3]ELpaso SJ &amp; Prm'!$G48</f>
        <v>3.7775</v>
      </c>
      <c r="I30" s="46"/>
      <c r="J30" s="46"/>
      <c r="K30" s="56"/>
      <c r="L30" s="56"/>
      <c r="M30" s="65"/>
      <c r="N30" s="66"/>
      <c r="O30" s="66"/>
      <c r="P30" s="42"/>
      <c r="Q30" s="43"/>
      <c r="V30" s="67"/>
    </row>
    <row r="31" customFormat="false" ht="11.25" hidden="true" customHeight="false" outlineLevel="0" collapsed="false">
      <c r="B31" s="45" t="s">
        <v>31</v>
      </c>
      <c r="C31" s="45" t="s">
        <v>44</v>
      </c>
      <c r="D31" s="45"/>
      <c r="E31" s="45" t="s">
        <v>45</v>
      </c>
      <c r="F31" s="35" t="s">
        <v>46</v>
      </c>
      <c r="G31" s="45"/>
      <c r="H31" s="46" t="n">
        <f aca="false">+'[3]ELpaso SJ &amp; Prm'!$G49</f>
        <v>3.8815</v>
      </c>
      <c r="I31" s="38" t="n">
        <f aca="false">(SUM('[2]RMTC_2-expired'!G9:G20)+SUM('[2]RMTC_2-expired'!H9:H20))/12</f>
        <v>3.7775</v>
      </c>
      <c r="J31" s="47" t="n">
        <f aca="false">-M31/K31</f>
        <v>1.4177868852459</v>
      </c>
      <c r="K31" s="68" t="n">
        <f aca="false">-'[2]RMTC_2-expired'!F22</f>
        <v>5490000</v>
      </c>
      <c r="L31" s="68" t="n">
        <f aca="false">+K31/366</f>
        <v>15000</v>
      </c>
      <c r="M31" s="52" t="n">
        <f aca="false">-'[2]RMTC_2-expired'!I22</f>
        <v>-7783650</v>
      </c>
      <c r="N31" s="41" t="n">
        <f aca="false">-'[2]RMTC_2-expired'!J22</f>
        <v>-7783650</v>
      </c>
      <c r="O31" s="41" t="n">
        <f aca="false">-'[2]RMTC_2-expired'!K22</f>
        <v>-0</v>
      </c>
      <c r="P31" s="42"/>
      <c r="Q31" s="43"/>
      <c r="V31" s="44"/>
    </row>
    <row r="32" customFormat="false" ht="11.25" hidden="true" customHeight="false" outlineLevel="0" collapsed="false">
      <c r="B32" s="45" t="s">
        <v>31</v>
      </c>
      <c r="C32" s="45" t="s">
        <v>42</v>
      </c>
      <c r="D32" s="45"/>
      <c r="E32" s="45" t="s">
        <v>47</v>
      </c>
      <c r="F32" s="35" t="s">
        <v>46</v>
      </c>
      <c r="G32" s="45"/>
      <c r="H32" s="46" t="n">
        <f aca="false">+'[3]ELpaso SJ &amp; Prm'!$G50</f>
        <v>3.9925</v>
      </c>
      <c r="I32" s="38" t="n">
        <f aca="false">(SUM('[2]RMTC_2-expired'!G26:G37)+SUM('[2]RMTC_2-expired'!H26:H37))/12</f>
        <v>3.7775</v>
      </c>
      <c r="J32" s="49" t="n">
        <f aca="false">+M32/K32</f>
        <v>-1.4177868852459</v>
      </c>
      <c r="K32" s="69" t="n">
        <f aca="false">-'[2]RMTC_2-expired'!F39</f>
        <v>-5490000</v>
      </c>
      <c r="L32" s="69" t="n">
        <f aca="false">+K32/366</f>
        <v>-15000</v>
      </c>
      <c r="M32" s="63" t="n">
        <f aca="false">-'[2]RMTC_2-expired'!I39</f>
        <v>7783650</v>
      </c>
      <c r="N32" s="64" t="n">
        <f aca="false">-'[2]RMTC_2-expired'!J39</f>
        <v>7783650</v>
      </c>
      <c r="O32" s="64" t="n">
        <f aca="false">-'[2]RMTC_2-expired'!K39</f>
        <v>-0</v>
      </c>
      <c r="P32" s="42"/>
      <c r="Q32" s="43"/>
      <c r="V32" s="44"/>
    </row>
    <row r="33" customFormat="false" ht="11.25" hidden="true" customHeight="false" outlineLevel="0" collapsed="false">
      <c r="B33" s="45"/>
      <c r="C33" s="46"/>
      <c r="D33" s="45"/>
      <c r="E33" s="46"/>
      <c r="F33" s="46"/>
      <c r="G33" s="45"/>
      <c r="H33" s="46" t="n">
        <f aca="false">+'[3]ELpaso SJ &amp; Prm'!$G51</f>
        <v>4.0195</v>
      </c>
      <c r="I33" s="46"/>
      <c r="J33" s="70" t="n">
        <f aca="false">+J31+J32</f>
        <v>0</v>
      </c>
      <c r="K33" s="56" t="n">
        <f aca="false">+K31+K32</f>
        <v>0</v>
      </c>
      <c r="L33" s="56" t="n">
        <f aca="false">+L31+L32</f>
        <v>0</v>
      </c>
      <c r="M33" s="65" t="n">
        <f aca="false">+M31+M32</f>
        <v>0</v>
      </c>
      <c r="N33" s="65" t="n">
        <f aca="false">+N31+N32</f>
        <v>0</v>
      </c>
      <c r="O33" s="65" t="n">
        <f aca="false">+O31+O32</f>
        <v>-0</v>
      </c>
      <c r="P33" s="42"/>
      <c r="Q33" s="43"/>
      <c r="V33" s="59"/>
    </row>
    <row r="34" customFormat="false" ht="9.95" hidden="false" customHeight="true" outlineLevel="0" collapsed="false">
      <c r="B34" s="45"/>
      <c r="C34" s="46"/>
      <c r="D34" s="45"/>
      <c r="E34" s="46"/>
      <c r="F34" s="46"/>
      <c r="G34" s="45"/>
      <c r="H34" s="46"/>
      <c r="I34" s="46"/>
      <c r="J34" s="46"/>
      <c r="K34" s="46"/>
      <c r="L34" s="46"/>
      <c r="M34" s="46"/>
      <c r="N34" s="46"/>
      <c r="O34" s="46"/>
      <c r="P34" s="71"/>
      <c r="Q34" s="72"/>
      <c r="R34" s="73"/>
      <c r="S34" s="72"/>
      <c r="V34" s="71"/>
      <c r="Y34" s="45"/>
    </row>
    <row r="35" customFormat="false" ht="11.25" hidden="true" customHeight="false" outlineLevel="0" collapsed="false">
      <c r="B35" s="45" t="s">
        <v>30</v>
      </c>
      <c r="C35" s="45" t="s">
        <v>48</v>
      </c>
      <c r="D35" s="45" t="n">
        <v>25834</v>
      </c>
      <c r="E35" s="45" t="s">
        <v>38</v>
      </c>
      <c r="F35" s="35" t="s">
        <v>49</v>
      </c>
      <c r="G35" s="45"/>
      <c r="H35" s="46" t="n">
        <f aca="false">+'[3]ELpaso SJ &amp; Prm'!$G53</f>
        <v>4.2125</v>
      </c>
      <c r="I35" s="38" t="n">
        <f aca="false">SUM(Elpaso_6!G9:H13)/5</f>
        <v>3.7602</v>
      </c>
      <c r="J35" s="47" t="n">
        <f aca="false">M35/K35</f>
        <v>-0.466133333333334</v>
      </c>
      <c r="K35" s="51" t="n">
        <f aca="false">-Elpaso_6!F15</f>
        <v>15000000</v>
      </c>
      <c r="L35" s="74" t="n">
        <f aca="false">+K35/153</f>
        <v>98039.2156862745</v>
      </c>
      <c r="M35" s="52" t="n">
        <f aca="false">-Elpaso_6!I15</f>
        <v>-6992000.00000001</v>
      </c>
      <c r="N35" s="75" t="n">
        <f aca="false">-Elpaso_6!J15</f>
        <v>-0</v>
      </c>
      <c r="O35" s="52" t="n">
        <f aca="false">-Elpaso_6!K15</f>
        <v>-6992000.00000001</v>
      </c>
      <c r="P35" s="71"/>
      <c r="Q35" s="43"/>
      <c r="R35" s="42"/>
      <c r="S35" s="43"/>
      <c r="V35" s="76"/>
      <c r="Y35" s="45" t="s">
        <v>30</v>
      </c>
    </row>
    <row r="36" customFormat="false" ht="11.25" hidden="true" customHeight="false" outlineLevel="0" collapsed="false">
      <c r="B36" s="45" t="s">
        <v>30</v>
      </c>
      <c r="C36" s="45" t="s">
        <v>48</v>
      </c>
      <c r="D36" s="45"/>
      <c r="E36" s="45" t="s">
        <v>35</v>
      </c>
      <c r="F36" s="35" t="s">
        <v>49</v>
      </c>
      <c r="G36" s="45"/>
      <c r="H36" s="46" t="n">
        <f aca="false">+'[3]ELpaso SJ &amp; Prm'!$G54</f>
        <v>4.3755</v>
      </c>
      <c r="I36" s="38" t="n">
        <f aca="false">SUM(Elpaso_6!G9:H13)/5</f>
        <v>3.7602</v>
      </c>
      <c r="J36" s="77" t="n">
        <f aca="false">M36/K36</f>
        <v>0.466133333333334</v>
      </c>
      <c r="K36" s="62" t="n">
        <f aca="false">-Elpaso_6!F23</f>
        <v>15000000</v>
      </c>
      <c r="L36" s="78" t="n">
        <f aca="false">+K36/153</f>
        <v>98039.2156862745</v>
      </c>
      <c r="M36" s="63" t="n">
        <f aca="false">Elpaso_6!I15</f>
        <v>6992000.00000001</v>
      </c>
      <c r="N36" s="79" t="n">
        <f aca="false">-Elpaso_6!J26</f>
        <v>-0</v>
      </c>
      <c r="O36" s="63" t="n">
        <f aca="false">Elpaso_6!K15</f>
        <v>6992000.00000001</v>
      </c>
      <c r="P36" s="71"/>
      <c r="Q36" s="43"/>
      <c r="R36" s="42"/>
      <c r="S36" s="43"/>
      <c r="V36" s="80"/>
      <c r="Y36" s="45" t="s">
        <v>30</v>
      </c>
    </row>
    <row r="37" customFormat="false" ht="11.25" hidden="true" customHeight="false" outlineLevel="0" collapsed="false">
      <c r="B37" s="45"/>
      <c r="C37" s="45"/>
      <c r="D37" s="45"/>
      <c r="E37" s="45"/>
      <c r="F37" s="35"/>
      <c r="G37" s="45"/>
      <c r="H37" s="46" t="n">
        <f aca="false">+'[3]ELpaso SJ &amp; Prm'!$G55</f>
        <v>4.4435</v>
      </c>
      <c r="I37" s="38"/>
      <c r="J37" s="47" t="n">
        <f aca="false">+J35-J36</f>
        <v>-0.932266666666668</v>
      </c>
      <c r="K37" s="51" t="n">
        <f aca="false">+K36+K35</f>
        <v>30000000</v>
      </c>
      <c r="L37" s="51" t="n">
        <f aca="false">+L36+L35</f>
        <v>196078.431372549</v>
      </c>
      <c r="M37" s="81" t="n">
        <f aca="false">+M36+M35</f>
        <v>0</v>
      </c>
      <c r="N37" s="82" t="n">
        <f aca="false">+N36+N35</f>
        <v>-0</v>
      </c>
      <c r="O37" s="81" t="n">
        <f aca="false">+O36+O35</f>
        <v>0</v>
      </c>
      <c r="P37" s="71"/>
      <c r="Q37" s="43"/>
      <c r="R37" s="42"/>
      <c r="S37" s="43"/>
      <c r="V37" s="83"/>
      <c r="Y37" s="45"/>
    </row>
    <row r="38" customFormat="false" ht="11.25" hidden="true" customHeight="false" outlineLevel="0" collapsed="false">
      <c r="B38" s="45"/>
      <c r="C38" s="45"/>
      <c r="D38" s="45"/>
      <c r="E38" s="45"/>
      <c r="F38" s="35"/>
      <c r="G38" s="45"/>
      <c r="H38" s="38"/>
      <c r="I38" s="38"/>
      <c r="J38" s="47"/>
      <c r="K38" s="51"/>
      <c r="L38" s="74"/>
      <c r="M38" s="81"/>
      <c r="N38" s="82"/>
      <c r="O38" s="81"/>
      <c r="P38" s="71"/>
      <c r="Q38" s="43"/>
      <c r="R38" s="42"/>
      <c r="S38" s="43"/>
      <c r="V38" s="83"/>
      <c r="Y38" s="45"/>
    </row>
    <row r="39" customFormat="false" ht="11.25" hidden="true" customHeight="false" outlineLevel="0" collapsed="false">
      <c r="B39" s="45" t="s">
        <v>30</v>
      </c>
      <c r="C39" s="45" t="s">
        <v>50</v>
      </c>
      <c r="D39" s="45" t="n">
        <v>105706</v>
      </c>
      <c r="E39" s="45" t="s">
        <v>38</v>
      </c>
      <c r="F39" s="35" t="s">
        <v>51</v>
      </c>
      <c r="G39" s="35"/>
      <c r="H39" s="38"/>
      <c r="I39" s="47" t="n">
        <f aca="false">SUM([2]MEC_8_Expired!H9:H14)/6</f>
        <v>0</v>
      </c>
      <c r="J39" s="47" t="n">
        <f aca="false">M39/K39</f>
        <v>2.55826086956522</v>
      </c>
      <c r="K39" s="51" t="n">
        <f aca="false">-[2]MEC_8_Expired!F15</f>
        <v>-230000</v>
      </c>
      <c r="L39" s="74" t="n">
        <f aca="false">+K39/182</f>
        <v>-1263.73626373626</v>
      </c>
      <c r="M39" s="52" t="n">
        <f aca="false">-[2]MEC_8_Expired!I15</f>
        <v>-588400</v>
      </c>
      <c r="N39" s="75" t="n">
        <f aca="false">-[2]MEC_8_Expired!J15</f>
        <v>-588400</v>
      </c>
      <c r="O39" s="52" t="n">
        <f aca="false">-[2]MEC_8_Expired!K15</f>
        <v>-0</v>
      </c>
      <c r="P39" s="71"/>
      <c r="Q39" s="43"/>
      <c r="R39" s="42"/>
      <c r="S39" s="43"/>
      <c r="V39" s="76"/>
      <c r="Y39" s="45" t="s">
        <v>30</v>
      </c>
    </row>
    <row r="40" customFormat="false" ht="11.25" hidden="true" customHeight="false" outlineLevel="0" collapsed="false">
      <c r="B40" s="45" t="s">
        <v>30</v>
      </c>
      <c r="C40" s="45" t="s">
        <v>50</v>
      </c>
      <c r="D40" s="45" t="n">
        <v>105706</v>
      </c>
      <c r="E40" s="45" t="s">
        <v>38</v>
      </c>
      <c r="F40" s="35" t="s">
        <v>51</v>
      </c>
      <c r="G40" s="35"/>
      <c r="H40" s="38"/>
      <c r="I40" s="38" t="n">
        <f aca="false">SUM([2]MEC_8_Expired!H20:H25)/6</f>
        <v>0</v>
      </c>
      <c r="J40" s="77" t="n">
        <f aca="false">M40/K40</f>
        <v>2.63973913043478</v>
      </c>
      <c r="K40" s="62" t="n">
        <f aca="false">-[2]MEC_8_Expired!F26</f>
        <v>230000</v>
      </c>
      <c r="L40" s="62" t="n">
        <f aca="false">+K40/182</f>
        <v>1263.73626373626</v>
      </c>
      <c r="M40" s="63" t="n">
        <f aca="false">-[2]MEC_8_Expired!I26</f>
        <v>607140</v>
      </c>
      <c r="N40" s="79" t="n">
        <f aca="false">-[2]MEC_8_Expired!J26</f>
        <v>607140</v>
      </c>
      <c r="O40" s="63" t="n">
        <f aca="false">-[2]MEC_8_Expired!K26</f>
        <v>-0</v>
      </c>
      <c r="P40" s="71"/>
      <c r="Q40" s="43"/>
      <c r="R40" s="42"/>
      <c r="S40" s="43"/>
      <c r="V40" s="80"/>
      <c r="Y40" s="45" t="s">
        <v>30</v>
      </c>
    </row>
    <row r="41" customFormat="false" ht="11.25" hidden="true" customHeight="false" outlineLevel="0" collapsed="false">
      <c r="B41" s="45"/>
      <c r="C41" s="45"/>
      <c r="D41" s="45"/>
      <c r="E41" s="45"/>
      <c r="F41" s="35"/>
      <c r="G41" s="35"/>
      <c r="H41" s="38"/>
      <c r="I41" s="38"/>
      <c r="J41" s="47" t="n">
        <f aca="false">+J39-J40</f>
        <v>-0.0814782608695652</v>
      </c>
      <c r="K41" s="51" t="n">
        <f aca="false">+K40+K39</f>
        <v>0</v>
      </c>
      <c r="L41" s="51" t="n">
        <f aca="false">+L40+L39</f>
        <v>0</v>
      </c>
      <c r="M41" s="52" t="n">
        <f aca="false">+M40+M39</f>
        <v>18740</v>
      </c>
      <c r="N41" s="75" t="n">
        <f aca="false">+N40+N39</f>
        <v>18740</v>
      </c>
      <c r="O41" s="52" t="n">
        <f aca="false">+O40+O39</f>
        <v>-0</v>
      </c>
      <c r="P41" s="71"/>
      <c r="Q41" s="43"/>
      <c r="R41" s="42"/>
      <c r="S41" s="43"/>
      <c r="V41" s="76"/>
      <c r="Y41" s="45"/>
    </row>
    <row r="42" customFormat="false" ht="11.25" hidden="true" customHeight="false" outlineLevel="0" collapsed="false">
      <c r="B42" s="45"/>
      <c r="C42" s="45"/>
      <c r="D42" s="45"/>
      <c r="E42" s="45"/>
      <c r="F42" s="35"/>
      <c r="G42" s="35"/>
      <c r="H42" s="38"/>
      <c r="I42" s="38"/>
      <c r="J42" s="47"/>
      <c r="K42" s="51"/>
      <c r="L42" s="74"/>
      <c r="M42" s="52"/>
      <c r="N42" s="75"/>
      <c r="O42" s="52"/>
      <c r="P42" s="71"/>
      <c r="Q42" s="43"/>
      <c r="R42" s="42"/>
      <c r="S42" s="43"/>
      <c r="V42" s="76"/>
      <c r="Y42" s="45"/>
    </row>
    <row r="43" customFormat="false" ht="12.75" hidden="false" customHeight="false" outlineLevel="0" collapsed="false">
      <c r="B43" s="45" t="s">
        <v>31</v>
      </c>
      <c r="C43" s="45" t="s">
        <v>52</v>
      </c>
      <c r="D43" s="45" t="s">
        <v>53</v>
      </c>
      <c r="E43" s="45" t="s">
        <v>45</v>
      </c>
      <c r="F43" s="84" t="s">
        <v>54</v>
      </c>
      <c r="G43" s="85" t="n">
        <v>36664</v>
      </c>
      <c r="H43" s="38" t="n">
        <v>3.23</v>
      </c>
      <c r="I43" s="38" t="n">
        <f aca="false">(SUM(ENA_9!G9:G20)+SUM(ENA_9!H9:H20))/12</f>
        <v>5.00516666666667</v>
      </c>
      <c r="J43" s="47" t="n">
        <f aca="false">-M43/K43</f>
        <v>1.76899315068493</v>
      </c>
      <c r="K43" s="68" t="n">
        <f aca="false">-ENA_9!F22</f>
        <v>1825000</v>
      </c>
      <c r="L43" s="68" t="n">
        <f aca="false">+K43/365</f>
        <v>5000</v>
      </c>
      <c r="M43" s="52" t="n">
        <f aca="false">-ENA_9!I22</f>
        <v>-3228412.5</v>
      </c>
      <c r="N43" s="41" t="n">
        <f aca="false">-ENA_9!J22</f>
        <v>-2364050</v>
      </c>
      <c r="O43" s="41" t="n">
        <f aca="false">-ENA_9!K22</f>
        <v>-864362.5</v>
      </c>
      <c r="P43" s="76"/>
      <c r="Q43" s="86" t="n">
        <f aca="false">-O43</f>
        <v>864362.5</v>
      </c>
      <c r="R43" s="87" t="n">
        <f aca="false">+[4]Summary!$Q43</f>
        <v>2836735</v>
      </c>
      <c r="S43" s="86" t="n">
        <f aca="false">+Q43-R43</f>
        <v>-1972372.5</v>
      </c>
      <c r="T43" s="88" t="str">
        <f aca="false">IF(Y43="NNG",+S43,"")</f>
        <v/>
      </c>
      <c r="U43" s="88" t="n">
        <f aca="false">IF(Y43="TW",+S43,"")</f>
        <v>-1972372.5</v>
      </c>
      <c r="V43" s="86" t="n">
        <f aca="false">-ENA_9!L22</f>
        <v>-864362.5</v>
      </c>
      <c r="W43" s="88" t="str">
        <f aca="false">IF($Y43="NNG",-V43,"")</f>
        <v/>
      </c>
      <c r="X43" s="88" t="n">
        <f aca="false">IF(Y43="TW",-V43,"")</f>
        <v>864362.5</v>
      </c>
      <c r="Y43" s="45" t="s">
        <v>31</v>
      </c>
      <c r="Z43" s="89" t="n">
        <f aca="false">+Q43+Q47+Q51+Q55+Q63+Q64</f>
        <v>3225480</v>
      </c>
      <c r="AA43" s="90"/>
    </row>
    <row r="44" customFormat="false" ht="11.25" hidden="false" customHeight="false" outlineLevel="0" collapsed="false">
      <c r="B44" s="45" t="s">
        <v>31</v>
      </c>
      <c r="C44" s="45" t="s">
        <v>39</v>
      </c>
      <c r="D44" s="45"/>
      <c r="E44" s="45" t="s">
        <v>55</v>
      </c>
      <c r="F44" s="84" t="s">
        <v>54</v>
      </c>
      <c r="G44" s="45"/>
      <c r="H44" s="91" t="n">
        <v>3.23</v>
      </c>
      <c r="I44" s="91" t="n">
        <f aca="false">(SUM(ENA_9!G26:G37)+SUM(ENA_9!H26:H37))/12</f>
        <v>5.01016666666667</v>
      </c>
      <c r="J44" s="49" t="n">
        <f aca="false">+M44/K44</f>
        <v>-1.77402739726027</v>
      </c>
      <c r="K44" s="69" t="n">
        <f aca="false">-ENA_9!F39</f>
        <v>-1825000</v>
      </c>
      <c r="L44" s="69" t="n">
        <f aca="false">+K44/365</f>
        <v>-5000</v>
      </c>
      <c r="M44" s="63" t="n">
        <f aca="false">-ENA_9!I39</f>
        <v>3237600</v>
      </c>
      <c r="N44" s="64" t="n">
        <f aca="false">-ENA_9!J39</f>
        <v>2364050</v>
      </c>
      <c r="O44" s="64" t="n">
        <f aca="false">-ENA_9!K39</f>
        <v>873550</v>
      </c>
      <c r="P44" s="71"/>
      <c r="Q44" s="43"/>
      <c r="R44" s="42"/>
      <c r="S44" s="43"/>
      <c r="T44" s="88"/>
      <c r="U44" s="88"/>
      <c r="V44" s="92"/>
      <c r="W44" s="88"/>
      <c r="X44" s="88"/>
      <c r="Y44" s="45" t="s">
        <v>31</v>
      </c>
      <c r="Z44" s="93"/>
      <c r="AA44" s="43"/>
    </row>
    <row r="45" customFormat="false" ht="12.75" hidden="false" customHeight="false" outlineLevel="0" collapsed="false">
      <c r="B45" s="45"/>
      <c r="C45" s="45"/>
      <c r="D45" s="45"/>
      <c r="E45" s="45"/>
      <c r="F45" s="84"/>
      <c r="G45" s="85"/>
      <c r="H45" s="38"/>
      <c r="I45" s="38"/>
      <c r="J45" s="47" t="n">
        <f aca="false">+J43+J44</f>
        <v>-0.00503424657534257</v>
      </c>
      <c r="K45" s="68"/>
      <c r="L45" s="68"/>
      <c r="M45" s="81"/>
      <c r="N45" s="81"/>
      <c r="O45" s="81" t="n">
        <f aca="false">+O43+O44</f>
        <v>9187.5</v>
      </c>
      <c r="P45" s="76"/>
      <c r="Q45" s="86"/>
      <c r="R45" s="87"/>
      <c r="S45" s="86"/>
      <c r="T45" s="88"/>
      <c r="U45" s="88"/>
      <c r="V45" s="83" t="n">
        <f aca="false">+V43+V44</f>
        <v>-864362.5</v>
      </c>
      <c r="W45" s="88"/>
      <c r="X45" s="88"/>
      <c r="Y45" s="45"/>
      <c r="Z45" s="89" t="n">
        <f aca="false">+Z43</f>
        <v>3225480</v>
      </c>
      <c r="AA45" s="86"/>
    </row>
    <row r="46" customFormat="false" ht="8.1" hidden="false" customHeight="true" outlineLevel="0" collapsed="false">
      <c r="B46" s="45"/>
      <c r="C46" s="46"/>
      <c r="D46" s="45"/>
      <c r="E46" s="46"/>
      <c r="F46" s="94"/>
      <c r="G46" s="45"/>
      <c r="H46" s="46"/>
      <c r="I46" s="46"/>
      <c r="J46" s="47"/>
      <c r="K46" s="56"/>
      <c r="L46" s="95"/>
      <c r="M46" s="65"/>
      <c r="N46" s="65"/>
      <c r="O46" s="65"/>
      <c r="P46" s="71"/>
      <c r="Q46" s="43"/>
      <c r="R46" s="42"/>
      <c r="S46" s="43"/>
      <c r="T46" s="88"/>
      <c r="U46" s="88"/>
      <c r="V46" s="96"/>
      <c r="W46" s="88"/>
      <c r="X46" s="88"/>
      <c r="Y46" s="45"/>
      <c r="Z46" s="93"/>
      <c r="AA46" s="43"/>
    </row>
    <row r="47" customFormat="false" ht="11.25" hidden="false" customHeight="false" outlineLevel="0" collapsed="false">
      <c r="B47" s="45" t="s">
        <v>31</v>
      </c>
      <c r="C47" s="45" t="s">
        <v>52</v>
      </c>
      <c r="D47" s="45" t="s">
        <v>56</v>
      </c>
      <c r="E47" s="45" t="s">
        <v>45</v>
      </c>
      <c r="F47" s="84" t="s">
        <v>54</v>
      </c>
      <c r="G47" s="85" t="n">
        <v>36676</v>
      </c>
      <c r="H47" s="38" t="n">
        <v>3.74</v>
      </c>
      <c r="I47" s="38" t="n">
        <f aca="false">(SUM(ENA_11!G9:G20)+SUM(ENA_11!H9:H20))/12</f>
        <v>5.00516666666667</v>
      </c>
      <c r="J47" s="47" t="n">
        <v>0.1</v>
      </c>
      <c r="K47" s="68" t="n">
        <f aca="false">-ENA_11!F22</f>
        <v>1825000</v>
      </c>
      <c r="L47" s="68" t="n">
        <f aca="false">+K47/365</f>
        <v>5000</v>
      </c>
      <c r="M47" s="52" t="n">
        <f aca="false">-ENA_11!I22</f>
        <v>-2297662.5</v>
      </c>
      <c r="N47" s="41" t="n">
        <f aca="false">-ENA_11!J22</f>
        <v>-1979000</v>
      </c>
      <c r="O47" s="41" t="n">
        <f aca="false">-ENA_11!K22</f>
        <v>-318662.5</v>
      </c>
      <c r="P47" s="76"/>
      <c r="Q47" s="86" t="n">
        <f aca="false">-O47</f>
        <v>318662.5</v>
      </c>
      <c r="R47" s="87" t="n">
        <f aca="false">+[4]Summary!$Q47</f>
        <v>2135485</v>
      </c>
      <c r="S47" s="86" t="n">
        <f aca="false">+Q47-R47</f>
        <v>-1816822.5</v>
      </c>
      <c r="T47" s="88" t="str">
        <f aca="false">IF(Y47="NNG",+S47,"")</f>
        <v/>
      </c>
      <c r="U47" s="88" t="n">
        <f aca="false">IF(Y47="TW",+S47,"")</f>
        <v>-1816822.5</v>
      </c>
      <c r="V47" s="86" t="n">
        <f aca="false">-ENA_11!L22</f>
        <v>-318662.5</v>
      </c>
      <c r="W47" s="88" t="str">
        <f aca="false">IF($Y47="NNG",-V47,"")</f>
        <v/>
      </c>
      <c r="X47" s="88" t="n">
        <f aca="false">IF(Y47="TW",-V47,"")</f>
        <v>318662.5</v>
      </c>
      <c r="Y47" s="45" t="s">
        <v>31</v>
      </c>
      <c r="Z47" s="93"/>
      <c r="AA47" s="90"/>
    </row>
    <row r="48" customFormat="false" ht="11.25" hidden="false" customHeight="false" outlineLevel="0" collapsed="false">
      <c r="B48" s="45" t="s">
        <v>31</v>
      </c>
      <c r="C48" s="45" t="s">
        <v>57</v>
      </c>
      <c r="D48" s="45"/>
      <c r="E48" s="45" t="s">
        <v>55</v>
      </c>
      <c r="F48" s="84" t="s">
        <v>54</v>
      </c>
      <c r="G48" s="45"/>
      <c r="H48" s="91" t="n">
        <v>3.74</v>
      </c>
      <c r="I48" s="91" t="n">
        <f aca="false">(SUM(ENA_11!G26:G37)+SUM(ENA_11!H26:H37))/12</f>
        <v>5.01016666666667</v>
      </c>
      <c r="J48" s="49" t="n">
        <f aca="false">+M48/K48</f>
        <v>-1.26402739726027</v>
      </c>
      <c r="K48" s="69" t="n">
        <f aca="false">-ENA_11!F39</f>
        <v>-1825000</v>
      </c>
      <c r="L48" s="69" t="n">
        <f aca="false">+K48/365</f>
        <v>-5000</v>
      </c>
      <c r="M48" s="63" t="n">
        <f aca="false">-ENA_11!I39</f>
        <v>2306850</v>
      </c>
      <c r="N48" s="64" t="n">
        <f aca="false">-ENA_11!J39</f>
        <v>1979000</v>
      </c>
      <c r="O48" s="64" t="n">
        <f aca="false">-ENA_11!K39</f>
        <v>327850</v>
      </c>
      <c r="P48" s="71"/>
      <c r="Q48" s="43"/>
      <c r="R48" s="42"/>
      <c r="S48" s="43"/>
      <c r="T48" s="88" t="str">
        <f aca="false">IF(Y48="NNG",+S48,"")</f>
        <v/>
      </c>
      <c r="U48" s="88" t="n">
        <f aca="false">IF(Y48="TW",+S48,"")</f>
        <v>0</v>
      </c>
      <c r="V48" s="92"/>
      <c r="W48" s="88" t="str">
        <f aca="false">IF($Y48="NNG",-V48,"")</f>
        <v/>
      </c>
      <c r="X48" s="88" t="n">
        <f aca="false">IF(Y48="TW",-V48,"")</f>
        <v>-0</v>
      </c>
      <c r="Y48" s="45" t="s">
        <v>31</v>
      </c>
      <c r="Z48" s="93"/>
      <c r="AA48" s="43"/>
    </row>
    <row r="49" customFormat="false" ht="11.25" hidden="false" customHeight="false" outlineLevel="0" collapsed="false">
      <c r="B49" s="45"/>
      <c r="C49" s="46"/>
      <c r="D49" s="45"/>
      <c r="E49" s="46"/>
      <c r="F49" s="94"/>
      <c r="G49" s="45"/>
      <c r="H49" s="46"/>
      <c r="I49" s="46"/>
      <c r="J49" s="47" t="n">
        <f aca="false">+J47+J48</f>
        <v>-1.16402739726027</v>
      </c>
      <c r="K49" s="56" t="n">
        <f aca="false">+K47+K48</f>
        <v>0</v>
      </c>
      <c r="L49" s="56" t="n">
        <f aca="false">+L47+L48</f>
        <v>0</v>
      </c>
      <c r="M49" s="81" t="n">
        <f aca="false">+M47+M48</f>
        <v>9187.5</v>
      </c>
      <c r="N49" s="81" t="n">
        <f aca="false">+N47+N48</f>
        <v>0</v>
      </c>
      <c r="O49" s="81" t="n">
        <f aca="false">+O47+O48</f>
        <v>9187.49999999988</v>
      </c>
      <c r="P49" s="71"/>
      <c r="Q49" s="43"/>
      <c r="R49" s="42"/>
      <c r="S49" s="43"/>
      <c r="T49" s="88" t="str">
        <f aca="false">IF(Y49="NNG",+S49,"")</f>
        <v/>
      </c>
      <c r="U49" s="88" t="str">
        <f aca="false">IF(Y49="TW",+S49,"")</f>
        <v/>
      </c>
      <c r="V49" s="83" t="n">
        <f aca="false">+V47+V48</f>
        <v>-318662.5</v>
      </c>
      <c r="W49" s="88" t="str">
        <f aca="false">IF($Y49="NNG",-V49,"")</f>
        <v/>
      </c>
      <c r="X49" s="88" t="str">
        <f aca="false">IF(Y49="TW",-V49,"")</f>
        <v/>
      </c>
      <c r="Y49" s="45"/>
      <c r="Z49" s="93"/>
      <c r="AA49" s="43"/>
    </row>
    <row r="50" customFormat="false" ht="8.1" hidden="false" customHeight="true" outlineLevel="0" collapsed="false">
      <c r="B50" s="45"/>
      <c r="C50" s="46"/>
      <c r="D50" s="45"/>
      <c r="E50" s="46"/>
      <c r="F50" s="94"/>
      <c r="G50" s="45"/>
      <c r="H50" s="46"/>
      <c r="I50" s="46"/>
      <c r="J50" s="47"/>
      <c r="K50" s="56"/>
      <c r="L50" s="95"/>
      <c r="M50" s="81"/>
      <c r="N50" s="81"/>
      <c r="O50" s="81"/>
      <c r="P50" s="71"/>
      <c r="Q50" s="43"/>
      <c r="R50" s="42"/>
      <c r="S50" s="43"/>
      <c r="T50" s="88" t="str">
        <f aca="false">IF(Y50="NNG",+S50,"")</f>
        <v/>
      </c>
      <c r="U50" s="88" t="str">
        <f aca="false">IF(Y50="TW",+S50,"")</f>
        <v/>
      </c>
      <c r="V50" s="83"/>
      <c r="W50" s="88" t="str">
        <f aca="false">IF($Y50="NNG",-V50,"")</f>
        <v/>
      </c>
      <c r="X50" s="88" t="str">
        <f aca="false">IF(Y50="TW",-V50,"")</f>
        <v/>
      </c>
      <c r="Y50" s="45"/>
      <c r="Z50" s="93"/>
      <c r="AA50" s="43"/>
    </row>
    <row r="51" customFormat="false" ht="11.25" hidden="false" customHeight="false" outlineLevel="0" collapsed="false">
      <c r="B51" s="45" t="s">
        <v>31</v>
      </c>
      <c r="C51" s="45" t="s">
        <v>52</v>
      </c>
      <c r="D51" s="45" t="s">
        <v>58</v>
      </c>
      <c r="E51" s="45" t="s">
        <v>45</v>
      </c>
      <c r="F51" s="84" t="s">
        <v>54</v>
      </c>
      <c r="G51" s="85" t="n">
        <v>36740</v>
      </c>
      <c r="H51" s="38" t="n">
        <v>3.63</v>
      </c>
      <c r="I51" s="38" t="n">
        <f aca="false">(SUM(ENA_12!G26:G37)+SUM(ENA_12!H26:H37))/12</f>
        <v>5.01016666666667</v>
      </c>
      <c r="J51" s="47" t="n">
        <v>0.1</v>
      </c>
      <c r="K51" s="68" t="n">
        <f aca="false">-ENA_12!F22</f>
        <v>1825000</v>
      </c>
      <c r="L51" s="68" t="n">
        <f aca="false">+K51/365</f>
        <v>5000</v>
      </c>
      <c r="M51" s="52" t="n">
        <f aca="false">-ENA_12!I22</f>
        <v>-2498412.5</v>
      </c>
      <c r="N51" s="41" t="n">
        <f aca="false">-ENA_12!J22</f>
        <v>-2062050</v>
      </c>
      <c r="O51" s="41" t="n">
        <f aca="false">-ENA_12!K22</f>
        <v>-436362.5</v>
      </c>
      <c r="P51" s="76"/>
      <c r="Q51" s="86" t="n">
        <f aca="false">-O51</f>
        <v>436362.5</v>
      </c>
      <c r="R51" s="87" t="n">
        <f aca="false">+[4]Summary!$Q51</f>
        <v>2286735</v>
      </c>
      <c r="S51" s="86" t="n">
        <f aca="false">+Q51-R51</f>
        <v>-1850372.5</v>
      </c>
      <c r="T51" s="88" t="str">
        <f aca="false">IF(Y51="NNG",+S51,"")</f>
        <v/>
      </c>
      <c r="U51" s="88" t="n">
        <f aca="false">IF(Y51="TW",+S51,"")</f>
        <v>-1850372.5</v>
      </c>
      <c r="V51" s="86" t="n">
        <f aca="false">-ENA_12!L22</f>
        <v>-436362.5</v>
      </c>
      <c r="W51" s="88" t="str">
        <f aca="false">IF($Y51="NNG",-V51,"")</f>
        <v/>
      </c>
      <c r="X51" s="88" t="n">
        <f aca="false">IF(Y51="TW",-V51,"")</f>
        <v>436362.5</v>
      </c>
      <c r="Y51" s="45" t="s">
        <v>31</v>
      </c>
      <c r="Z51" s="93"/>
      <c r="AA51" s="90"/>
    </row>
    <row r="52" customFormat="false" ht="11.25" hidden="false" customHeight="false" outlineLevel="0" collapsed="false">
      <c r="B52" s="45" t="s">
        <v>31</v>
      </c>
      <c r="C52" s="45" t="s">
        <v>57</v>
      </c>
      <c r="D52" s="45"/>
      <c r="E52" s="45" t="s">
        <v>55</v>
      </c>
      <c r="F52" s="84" t="s">
        <v>54</v>
      </c>
      <c r="G52" s="45"/>
      <c r="H52" s="91" t="n">
        <v>3.63</v>
      </c>
      <c r="I52" s="91" t="n">
        <f aca="false">(SUM(ENA_12!G26:G37)+SUM(ENA_12!H26:H37))/12</f>
        <v>5.01016666666667</v>
      </c>
      <c r="J52" s="49" t="n">
        <f aca="false">+M52/K52</f>
        <v>-1.37402739726027</v>
      </c>
      <c r="K52" s="69" t="n">
        <f aca="false">-ENA_12!F39</f>
        <v>-1825000</v>
      </c>
      <c r="L52" s="69" t="n">
        <f aca="false">+K52/365</f>
        <v>-5000</v>
      </c>
      <c r="M52" s="63" t="n">
        <f aca="false">-ENA_12!I39</f>
        <v>2507600</v>
      </c>
      <c r="N52" s="64" t="n">
        <f aca="false">-ENA_12!J39</f>
        <v>2062050</v>
      </c>
      <c r="O52" s="64" t="n">
        <f aca="false">-ENA_12!K39</f>
        <v>445550</v>
      </c>
      <c r="P52" s="71"/>
      <c r="Q52" s="43"/>
      <c r="R52" s="42"/>
      <c r="S52" s="43"/>
      <c r="T52" s="88" t="str">
        <f aca="false">IF(Y52="NNG",+S52,"")</f>
        <v/>
      </c>
      <c r="U52" s="88" t="n">
        <f aca="false">IF(Y52="TW",+S52,"")</f>
        <v>0</v>
      </c>
      <c r="V52" s="92"/>
      <c r="W52" s="88" t="str">
        <f aca="false">IF($Y52="NNG",-V52,"")</f>
        <v/>
      </c>
      <c r="X52" s="88" t="n">
        <f aca="false">IF(Y52="TW",-V52,"")</f>
        <v>-0</v>
      </c>
      <c r="Y52" s="45" t="s">
        <v>31</v>
      </c>
      <c r="Z52" s="93"/>
      <c r="AA52" s="43"/>
    </row>
    <row r="53" customFormat="false" ht="11.25" hidden="false" customHeight="false" outlineLevel="0" collapsed="false">
      <c r="B53" s="45"/>
      <c r="C53" s="46"/>
      <c r="D53" s="45"/>
      <c r="E53" s="46"/>
      <c r="F53" s="94"/>
      <c r="G53" s="45"/>
      <c r="H53" s="46"/>
      <c r="I53" s="46"/>
      <c r="J53" s="47" t="n">
        <f aca="false">+J51+J52</f>
        <v>-1.27402739726027</v>
      </c>
      <c r="K53" s="56" t="n">
        <f aca="false">+K51+K52</f>
        <v>0</v>
      </c>
      <c r="L53" s="56" t="n">
        <f aca="false">+L51+L52</f>
        <v>0</v>
      </c>
      <c r="M53" s="81" t="n">
        <f aca="false">+M51+M52</f>
        <v>9187.5</v>
      </c>
      <c r="N53" s="81" t="n">
        <f aca="false">+N51+N52</f>
        <v>0</v>
      </c>
      <c r="O53" s="81" t="n">
        <f aca="false">+O51+O52</f>
        <v>9187.49999999988</v>
      </c>
      <c r="P53" s="71"/>
      <c r="Q53" s="43"/>
      <c r="R53" s="42"/>
      <c r="S53" s="43"/>
      <c r="T53" s="88" t="str">
        <f aca="false">IF(Y53="NNG",+S53,"")</f>
        <v/>
      </c>
      <c r="U53" s="88" t="str">
        <f aca="false">IF(Y53="TW",+S53,"")</f>
        <v/>
      </c>
      <c r="V53" s="83" t="n">
        <f aca="false">+V51+V52</f>
        <v>-436362.5</v>
      </c>
      <c r="W53" s="88" t="str">
        <f aca="false">IF($Y53="NNG",-V53,"")</f>
        <v/>
      </c>
      <c r="X53" s="88" t="str">
        <f aca="false">IF(Y53="TW",-V53,"")</f>
        <v/>
      </c>
      <c r="Y53" s="45"/>
      <c r="Z53" s="93"/>
      <c r="AA53" s="43"/>
    </row>
    <row r="54" customFormat="false" ht="8.1" hidden="false" customHeight="true" outlineLevel="0" collapsed="false">
      <c r="B54" s="45"/>
      <c r="C54" s="46"/>
      <c r="D54" s="45"/>
      <c r="E54" s="46"/>
      <c r="F54" s="94"/>
      <c r="G54" s="45"/>
      <c r="H54" s="46"/>
      <c r="I54" s="46"/>
      <c r="J54" s="47"/>
      <c r="K54" s="56"/>
      <c r="L54" s="95"/>
      <c r="M54" s="81"/>
      <c r="N54" s="81"/>
      <c r="O54" s="81"/>
      <c r="P54" s="71"/>
      <c r="Q54" s="43"/>
      <c r="R54" s="42"/>
      <c r="S54" s="43"/>
      <c r="T54" s="88" t="str">
        <f aca="false">IF(Y54="NNG",+S54,"")</f>
        <v/>
      </c>
      <c r="U54" s="88" t="str">
        <f aca="false">IF(Y54="TW",+S54,"")</f>
        <v/>
      </c>
      <c r="V54" s="83"/>
      <c r="W54" s="88" t="str">
        <f aca="false">IF($Y54="NNG",-V54,"")</f>
        <v/>
      </c>
      <c r="X54" s="88" t="str">
        <f aca="false">IF(Y54="TW",-V54,"")</f>
        <v/>
      </c>
      <c r="Y54" s="45"/>
      <c r="Z54" s="93"/>
      <c r="AA54" s="43"/>
    </row>
    <row r="55" customFormat="false" ht="11.25" hidden="false" customHeight="false" outlineLevel="0" collapsed="false">
      <c r="B55" s="45" t="s">
        <v>31</v>
      </c>
      <c r="C55" s="45" t="s">
        <v>52</v>
      </c>
      <c r="D55" s="45" t="s">
        <v>59</v>
      </c>
      <c r="E55" s="45" t="s">
        <v>45</v>
      </c>
      <c r="F55" s="84" t="s">
        <v>54</v>
      </c>
      <c r="G55" s="85" t="n">
        <v>36754</v>
      </c>
      <c r="H55" s="38" t="n">
        <v>3.585</v>
      </c>
      <c r="I55" s="38" t="n">
        <f aca="false">(SUM(ENA_13!G26:G37)+SUM(ENA_13!H26:H37))/12</f>
        <v>5.01016666666667</v>
      </c>
      <c r="J55" s="47" t="n">
        <v>0.1</v>
      </c>
      <c r="K55" s="68" t="n">
        <f aca="false">-ENA_13!F22</f>
        <v>1825000</v>
      </c>
      <c r="L55" s="68" t="n">
        <f aca="false">+K55/365</f>
        <v>5000</v>
      </c>
      <c r="M55" s="52" t="n">
        <f aca="false">-ENA_13!I22</f>
        <v>-2580537.5</v>
      </c>
      <c r="N55" s="41" t="n">
        <f aca="false">-ENA_13!J22</f>
        <v>-2096025</v>
      </c>
      <c r="O55" s="41" t="n">
        <f aca="false">-ENA_13!K22</f>
        <v>-484512.5</v>
      </c>
      <c r="P55" s="76"/>
      <c r="Q55" s="86" t="n">
        <f aca="false">-O55</f>
        <v>484512.5</v>
      </c>
      <c r="R55" s="87" t="n">
        <f aca="false">+[4]Summary!$Q55</f>
        <v>2348610</v>
      </c>
      <c r="S55" s="86" t="n">
        <f aca="false">+Q55-R55</f>
        <v>-1864097.5</v>
      </c>
      <c r="T55" s="88" t="str">
        <f aca="false">IF(Y55="NNG",+S55,"")</f>
        <v/>
      </c>
      <c r="U55" s="88" t="n">
        <f aca="false">IF(Y55="TW",+S55,"")</f>
        <v>-1864097.5</v>
      </c>
      <c r="V55" s="86" t="n">
        <f aca="false">-ENA_13!L22</f>
        <v>-484512.5</v>
      </c>
      <c r="W55" s="88" t="str">
        <f aca="false">IF($Y55="NNG",-V55,"")</f>
        <v/>
      </c>
      <c r="X55" s="88" t="n">
        <f aca="false">IF(Y55="TW",-V55,"")</f>
        <v>484512.5</v>
      </c>
      <c r="Y55" s="45" t="s">
        <v>31</v>
      </c>
      <c r="Z55" s="93"/>
      <c r="AA55" s="90"/>
    </row>
    <row r="56" customFormat="false" ht="11.25" hidden="false" customHeight="false" outlineLevel="0" collapsed="false">
      <c r="B56" s="45" t="s">
        <v>31</v>
      </c>
      <c r="C56" s="45" t="s">
        <v>57</v>
      </c>
      <c r="D56" s="45"/>
      <c r="E56" s="45" t="s">
        <v>55</v>
      </c>
      <c r="F56" s="84" t="s">
        <v>54</v>
      </c>
      <c r="G56" s="45"/>
      <c r="H56" s="91" t="n">
        <v>3.585</v>
      </c>
      <c r="I56" s="91" t="n">
        <f aca="false">(SUM(ENA_13!G26:G37)+SUM(ENA_13!H26:H37))/12</f>
        <v>5.01016666666667</v>
      </c>
      <c r="J56" s="49" t="n">
        <f aca="false">+M56/K56</f>
        <v>-1.41902739726027</v>
      </c>
      <c r="K56" s="69" t="n">
        <f aca="false">-ENA_13!F39</f>
        <v>-1825000</v>
      </c>
      <c r="L56" s="69" t="n">
        <f aca="false">+K56/365</f>
        <v>-5000</v>
      </c>
      <c r="M56" s="63" t="n">
        <f aca="false">-ENA_13!I39</f>
        <v>2589725</v>
      </c>
      <c r="N56" s="64" t="n">
        <f aca="false">-ENA_13!J39</f>
        <v>2096025</v>
      </c>
      <c r="O56" s="64" t="n">
        <f aca="false">-ENA_13!K39</f>
        <v>493700</v>
      </c>
      <c r="P56" s="71"/>
      <c r="Q56" s="43"/>
      <c r="R56" s="42"/>
      <c r="S56" s="43"/>
      <c r="T56" s="88" t="str">
        <f aca="false">IF(Y56="NNG",+S56,"")</f>
        <v/>
      </c>
      <c r="U56" s="88" t="n">
        <f aca="false">IF(Y56="TW",+S56,"")</f>
        <v>0</v>
      </c>
      <c r="V56" s="92"/>
      <c r="W56" s="88" t="str">
        <f aca="false">IF($Y56="NNG",-V56,"")</f>
        <v/>
      </c>
      <c r="X56" s="88" t="n">
        <f aca="false">IF(Y56="TW",-V56,"")</f>
        <v>-0</v>
      </c>
      <c r="Y56" s="45" t="s">
        <v>31</v>
      </c>
      <c r="Z56" s="93"/>
      <c r="AA56" s="43"/>
    </row>
    <row r="57" customFormat="false" ht="11.25" hidden="false" customHeight="false" outlineLevel="0" collapsed="false">
      <c r="B57" s="45"/>
      <c r="C57" s="46"/>
      <c r="D57" s="45"/>
      <c r="E57" s="46"/>
      <c r="F57" s="35"/>
      <c r="G57" s="45"/>
      <c r="H57" s="46"/>
      <c r="I57" s="46"/>
      <c r="J57" s="47" t="n">
        <f aca="false">+J55+J56</f>
        <v>-1.31902739726027</v>
      </c>
      <c r="K57" s="56" t="n">
        <f aca="false">+K55+K56</f>
        <v>0</v>
      </c>
      <c r="L57" s="56" t="n">
        <f aca="false">+L55+L56</f>
        <v>0</v>
      </c>
      <c r="M57" s="81" t="n">
        <f aca="false">+M55+M56</f>
        <v>9187.5</v>
      </c>
      <c r="N57" s="81" t="n">
        <f aca="false">+N55+N56</f>
        <v>0</v>
      </c>
      <c r="O57" s="81" t="n">
        <f aca="false">+O55+O56</f>
        <v>9187.49999999988</v>
      </c>
      <c r="P57" s="71"/>
      <c r="Q57" s="43"/>
      <c r="R57" s="42"/>
      <c r="S57" s="43"/>
      <c r="T57" s="88" t="str">
        <f aca="false">IF(Y57="NNG",+S57,"")</f>
        <v/>
      </c>
      <c r="U57" s="88" t="str">
        <f aca="false">IF(Y57="TW",+S57,"")</f>
        <v/>
      </c>
      <c r="V57" s="83" t="n">
        <f aca="false">+V55+V56</f>
        <v>-484512.5</v>
      </c>
      <c r="W57" s="88" t="str">
        <f aca="false">IF($Y57="NNG",-V57,"")</f>
        <v/>
      </c>
      <c r="X57" s="88" t="str">
        <f aca="false">IF(Y57="TW",-V57,"")</f>
        <v/>
      </c>
      <c r="Y57" s="45"/>
      <c r="Z57" s="93"/>
      <c r="AA57" s="43"/>
    </row>
    <row r="58" customFormat="false" ht="8.1" hidden="false" customHeight="true" outlineLevel="0" collapsed="false">
      <c r="B58" s="45"/>
      <c r="C58" s="46"/>
      <c r="D58" s="45"/>
      <c r="E58" s="46"/>
      <c r="F58" s="35"/>
      <c r="G58" s="45"/>
      <c r="H58" s="46"/>
      <c r="I58" s="46"/>
      <c r="J58" s="47"/>
      <c r="K58" s="56"/>
      <c r="L58" s="95"/>
      <c r="M58" s="81"/>
      <c r="N58" s="81"/>
      <c r="O58" s="81"/>
      <c r="P58" s="71"/>
      <c r="Q58" s="43"/>
      <c r="R58" s="42"/>
      <c r="S58" s="43"/>
      <c r="T58" s="88" t="str">
        <f aca="false">IF(Y58="NNG",+S58,"")</f>
        <v/>
      </c>
      <c r="U58" s="88" t="str">
        <f aca="false">IF(Y58="TW",+S58,"")</f>
        <v/>
      </c>
      <c r="V58" s="83"/>
      <c r="W58" s="88" t="str">
        <f aca="false">IF($Y58="NNG",-V58,"")</f>
        <v/>
      </c>
      <c r="X58" s="88" t="str">
        <f aca="false">IF(Y58="TW",-V58,"")</f>
        <v/>
      </c>
      <c r="Y58" s="45"/>
      <c r="Z58" s="93"/>
      <c r="AA58" s="43"/>
    </row>
    <row r="59" customFormat="false" ht="11.25" hidden="false" customHeight="false" outlineLevel="0" collapsed="false">
      <c r="A59" s="97"/>
      <c r="B59" s="98" t="s">
        <v>31</v>
      </c>
      <c r="C59" s="94" t="s">
        <v>44</v>
      </c>
      <c r="D59" s="98" t="s">
        <v>60</v>
      </c>
      <c r="E59" s="98" t="s">
        <v>45</v>
      </c>
      <c r="F59" s="35" t="s">
        <v>61</v>
      </c>
      <c r="G59" s="99" t="n">
        <v>36957</v>
      </c>
      <c r="H59" s="38" t="n">
        <v>5.05</v>
      </c>
      <c r="I59" s="38" t="n">
        <f aca="false">(SUM('QV8401.1'!G9:G20)+SUM('QV8401.1'!H9:H20))/12</f>
        <v>3.968875</v>
      </c>
      <c r="J59" s="100" t="n">
        <f aca="false">+H59-I59</f>
        <v>1.081125</v>
      </c>
      <c r="K59" s="101" t="n">
        <f aca="false">-'QV8401.1'!F22</f>
        <v>1825000</v>
      </c>
      <c r="L59" s="102" t="n">
        <f aca="false">+K59/365</f>
        <v>5000</v>
      </c>
      <c r="M59" s="103" t="n">
        <f aca="false">-'QV8401.1'!I22</f>
        <v>1975845</v>
      </c>
      <c r="N59" s="103" t="n">
        <f aca="false">-'QV8401.1'!J22</f>
        <v>-0</v>
      </c>
      <c r="O59" s="103" t="n">
        <f aca="false">-'QV8401.1'!K22</f>
        <v>1975845</v>
      </c>
      <c r="P59" s="76"/>
      <c r="Q59" s="86" t="n">
        <f aca="false">-O59</f>
        <v>-1975845</v>
      </c>
      <c r="R59" s="87" t="n">
        <f aca="false">+[4]Summary!$Q$59</f>
        <v>-503015</v>
      </c>
      <c r="S59" s="86" t="n">
        <f aca="false">+Q59-R59</f>
        <v>-1472830</v>
      </c>
      <c r="T59" s="88" t="str">
        <f aca="false">IF(Y59="NNG",+S59,"")</f>
        <v/>
      </c>
      <c r="U59" s="88" t="n">
        <f aca="false">IF(Y59="TW",+S59,"")</f>
        <v>-1472830</v>
      </c>
      <c r="V59" s="104" t="n">
        <f aca="false">-'QV8401.1'!L22</f>
        <v>733260</v>
      </c>
      <c r="W59" s="88" t="str">
        <f aca="false">IF($Y59="NNG",-V59,"")</f>
        <v/>
      </c>
      <c r="X59" s="88" t="n">
        <f aca="false">IF(Y59="TW",-V59,"")</f>
        <v>-733260</v>
      </c>
      <c r="Y59" s="98" t="s">
        <v>31</v>
      </c>
      <c r="Z59" s="105" t="n">
        <f aca="false">+Q59+Q68+Q69+Q73+Q74</f>
        <v>1698360</v>
      </c>
      <c r="AA59" s="106"/>
    </row>
    <row r="60" customFormat="false" ht="11.25" hidden="false" customHeight="false" outlineLevel="0" collapsed="false">
      <c r="A60" s="97"/>
      <c r="B60" s="45" t="s">
        <v>31</v>
      </c>
      <c r="C60" s="71" t="s">
        <v>62</v>
      </c>
      <c r="D60" s="45" t="n">
        <v>22948</v>
      </c>
      <c r="E60" s="98" t="s">
        <v>55</v>
      </c>
      <c r="F60" s="35" t="s">
        <v>61</v>
      </c>
      <c r="G60" s="45"/>
      <c r="H60" s="91" t="n">
        <f aca="false">(SUM('QV8401.1'!G26:G37)+SUM('QV8401.1'!H26:H37))/12</f>
        <v>3.98095833333333</v>
      </c>
      <c r="I60" s="91" t="n">
        <v>5.05</v>
      </c>
      <c r="J60" s="91" t="n">
        <f aca="false">+H60-I60</f>
        <v>-1.06904166666667</v>
      </c>
      <c r="K60" s="69" t="n">
        <f aca="false">-'QV8401.1'!F39</f>
        <v>-1825000</v>
      </c>
      <c r="L60" s="69" t="n">
        <f aca="false">+K60/365</f>
        <v>-5000</v>
      </c>
      <c r="M60" s="63" t="n">
        <f aca="false">-'QV8401.1'!I39</f>
        <v>-1953820</v>
      </c>
      <c r="N60" s="64" t="n">
        <f aca="false">-'QV8401.1'!J39</f>
        <v>-0</v>
      </c>
      <c r="O60" s="64" t="n">
        <f aca="false">-'QV8401.1'!K39</f>
        <v>-1953820</v>
      </c>
      <c r="P60" s="71"/>
      <c r="Q60" s="86"/>
      <c r="R60" s="42"/>
      <c r="S60" s="43"/>
      <c r="T60" s="88" t="str">
        <f aca="false">IF(Y60="NNG",+S60,"")</f>
        <v/>
      </c>
      <c r="U60" s="88" t="n">
        <f aca="false">IF(Y60="TW",+S60,"")</f>
        <v>0</v>
      </c>
      <c r="V60" s="92"/>
      <c r="W60" s="88" t="str">
        <f aca="false">IF($Y60="NNG",-V60,"")</f>
        <v/>
      </c>
      <c r="X60" s="88" t="n">
        <f aca="false">IF(Y60="TW",-V60,"")</f>
        <v>-0</v>
      </c>
      <c r="Y60" s="45" t="s">
        <v>31</v>
      </c>
      <c r="Z60" s="93"/>
      <c r="AA60" s="86"/>
      <c r="AD60" s="107" t="n">
        <f aca="false">SUM(Q34:Q59)</f>
        <v>128055.000000001</v>
      </c>
    </row>
    <row r="61" customFormat="false" ht="11.25" hidden="false" customHeight="false" outlineLevel="0" collapsed="false">
      <c r="B61" s="45"/>
      <c r="C61" s="46"/>
      <c r="D61" s="45"/>
      <c r="E61" s="46"/>
      <c r="F61" s="35"/>
      <c r="G61" s="45"/>
      <c r="H61" s="46"/>
      <c r="I61" s="46"/>
      <c r="J61" s="47" t="n">
        <f aca="false">+J59+J60</f>
        <v>0.0120833333333334</v>
      </c>
      <c r="K61" s="56" t="n">
        <f aca="false">+K59+K60</f>
        <v>0</v>
      </c>
      <c r="L61" s="56" t="n">
        <f aca="false">+L59+L60</f>
        <v>0</v>
      </c>
      <c r="M61" s="81" t="n">
        <f aca="false">+M59+M60</f>
        <v>22024.9999999998</v>
      </c>
      <c r="N61" s="81" t="n">
        <f aca="false">+N59+N60</f>
        <v>-0</v>
      </c>
      <c r="O61" s="81" t="n">
        <f aca="false">+O59+O60</f>
        <v>22024.9999999998</v>
      </c>
      <c r="P61" s="71"/>
      <c r="Q61" s="86"/>
      <c r="R61" s="42"/>
      <c r="S61" s="43"/>
      <c r="T61" s="88" t="str">
        <f aca="false">IF(Y61="NNG",+S61,"")</f>
        <v/>
      </c>
      <c r="U61" s="88" t="str">
        <f aca="false">IF(Y61="TW",+S61,"")</f>
        <v/>
      </c>
      <c r="V61" s="83" t="n">
        <f aca="false">+V59+V60</f>
        <v>733260</v>
      </c>
      <c r="W61" s="88" t="str">
        <f aca="false">IF($Y61="NNG",-V61,"")</f>
        <v/>
      </c>
      <c r="X61" s="88" t="str">
        <f aca="false">IF(Y61="TW",-V61,"")</f>
        <v/>
      </c>
      <c r="Y61" s="45"/>
      <c r="Z61" s="105" t="n">
        <f aca="false">+Z59+Q121+Q122+Q123+Q124</f>
        <v>1570610</v>
      </c>
      <c r="AA61" s="86"/>
    </row>
    <row r="62" customFormat="false" ht="8.1" hidden="false" customHeight="true" outlineLevel="0" collapsed="false">
      <c r="B62" s="45"/>
      <c r="C62" s="46"/>
      <c r="D62" s="45"/>
      <c r="E62" s="46"/>
      <c r="F62" s="35"/>
      <c r="G62" s="45"/>
      <c r="H62" s="46"/>
      <c r="I62" s="46"/>
      <c r="J62" s="47"/>
      <c r="K62" s="56"/>
      <c r="L62" s="95"/>
      <c r="M62" s="81"/>
      <c r="N62" s="81"/>
      <c r="O62" s="81"/>
      <c r="P62" s="71"/>
      <c r="Q62" s="43"/>
      <c r="R62" s="42"/>
      <c r="S62" s="43"/>
      <c r="T62" s="88" t="str">
        <f aca="false">IF(Y62="NNG",+S62,"")</f>
        <v/>
      </c>
      <c r="U62" s="88" t="str">
        <f aca="false">IF(Y62="TW",+S62,"")</f>
        <v/>
      </c>
      <c r="V62" s="83"/>
      <c r="W62" s="88" t="str">
        <f aca="false">IF($Y62="NNG",-V62,"")</f>
        <v/>
      </c>
      <c r="X62" s="88" t="str">
        <f aca="false">IF(Y62="TW",-V62,"")</f>
        <v/>
      </c>
      <c r="Y62" s="45"/>
      <c r="Z62" s="93"/>
      <c r="AA62" s="43"/>
    </row>
    <row r="63" customFormat="false" ht="11.25" hidden="false" customHeight="false" outlineLevel="0" collapsed="false">
      <c r="B63" s="98" t="s">
        <v>31</v>
      </c>
      <c r="C63" s="94" t="s">
        <v>63</v>
      </c>
      <c r="D63" s="45" t="s">
        <v>64</v>
      </c>
      <c r="E63" s="98" t="s">
        <v>45</v>
      </c>
      <c r="F63" s="84" t="s">
        <v>65</v>
      </c>
      <c r="G63" s="85" t="n">
        <v>36902</v>
      </c>
      <c r="H63" s="38" t="n">
        <f aca="false">+'QL5363.1'!D10</f>
        <v>4.163</v>
      </c>
      <c r="I63" s="38" t="n">
        <f aca="false">+'QL5363.1'!H10</f>
        <v>4.133</v>
      </c>
      <c r="J63" s="38" t="n">
        <f aca="false">+H63-I63</f>
        <v>0.0300000000000003</v>
      </c>
      <c r="K63" s="68" t="n">
        <f aca="false">+'QL5363.1'!F15</f>
        <v>-418500</v>
      </c>
      <c r="L63" s="108" t="n">
        <f aca="false">+K63/31</f>
        <v>-13500</v>
      </c>
      <c r="M63" s="52" t="n">
        <f aca="false">-'QL5363.1'!I12</f>
        <v>-12555.0000000001</v>
      </c>
      <c r="N63" s="52" t="n">
        <f aca="false">-'QL5363.1'!J12</f>
        <v>-0</v>
      </c>
      <c r="O63" s="52" t="n">
        <f aca="false">-'QL5363.1'!K12</f>
        <v>-12555.0000000001</v>
      </c>
      <c r="P63" s="76"/>
      <c r="Q63" s="86" t="n">
        <f aca="false">-O63</f>
        <v>12555.0000000001</v>
      </c>
      <c r="R63" s="87" t="n">
        <f aca="false">+[4]Summary!$Q73</f>
        <v>-22180.5</v>
      </c>
      <c r="S63" s="86" t="n">
        <f aca="false">+Q63-R63</f>
        <v>34735.5000000001</v>
      </c>
      <c r="T63" s="88" t="str">
        <f aca="false">IF(Y63="NNG",+S63,"")</f>
        <v/>
      </c>
      <c r="U63" s="88" t="n">
        <f aca="false">IF(Y63="TW",+S63,"")</f>
        <v>34735.5000000001</v>
      </c>
      <c r="V63" s="76" t="n">
        <f aca="false">-'QL5363.1'!L12</f>
        <v>-12555.0000000001</v>
      </c>
      <c r="W63" s="88" t="str">
        <f aca="false">IF($Y63="NNG",-V63,"")</f>
        <v/>
      </c>
      <c r="X63" s="88" t="n">
        <f aca="false">IF(Y63="TW",-V63,"")</f>
        <v>12555.0000000001</v>
      </c>
      <c r="Y63" s="98" t="s">
        <v>31</v>
      </c>
      <c r="Z63" s="93"/>
      <c r="AA63" s="90"/>
      <c r="AD63" s="107" t="n">
        <f aca="false">SUM(Q63:Q84)</f>
        <v>-5100235</v>
      </c>
    </row>
    <row r="64" customFormat="false" ht="11.25" hidden="false" customHeight="false" outlineLevel="0" collapsed="false">
      <c r="B64" s="98" t="s">
        <v>31</v>
      </c>
      <c r="C64" s="94" t="s">
        <v>63</v>
      </c>
      <c r="D64" s="45" t="s">
        <v>66</v>
      </c>
      <c r="E64" s="98" t="s">
        <v>45</v>
      </c>
      <c r="F64" s="84" t="s">
        <v>65</v>
      </c>
      <c r="G64" s="109" t="n">
        <v>36902</v>
      </c>
      <c r="H64" s="48" t="n">
        <f aca="false">+'QL5365.1'!D10</f>
        <v>5.273</v>
      </c>
      <c r="I64" s="48" t="n">
        <f aca="false">+'QL5365.1'!H10</f>
        <v>7.923</v>
      </c>
      <c r="J64" s="48" t="n">
        <f aca="false">+H64-I64</f>
        <v>-2.65</v>
      </c>
      <c r="K64" s="68" t="n">
        <f aca="false">+'QL5365.1'!F15</f>
        <v>418500</v>
      </c>
      <c r="L64" s="108" t="n">
        <f aca="false">+K64/31</f>
        <v>13500</v>
      </c>
      <c r="M64" s="110" t="n">
        <f aca="false">-'QL5365.1'!I12</f>
        <v>-1109025</v>
      </c>
      <c r="N64" s="110" t="n">
        <f aca="false">-'QL5365.1'!J12</f>
        <v>-0</v>
      </c>
      <c r="O64" s="110" t="n">
        <f aca="false">-'QL5365.1'!K12</f>
        <v>-1109025</v>
      </c>
      <c r="P64" s="76"/>
      <c r="Q64" s="86" t="n">
        <f aca="false">-O64</f>
        <v>1109025</v>
      </c>
      <c r="R64" s="87" t="n">
        <f aca="false">+[4]Summary!$Q74</f>
        <v>2538202.5</v>
      </c>
      <c r="S64" s="86" t="n">
        <f aca="false">+Q64-R64</f>
        <v>-1429177.5</v>
      </c>
      <c r="T64" s="88" t="str">
        <f aca="false">IF(Y64="NNG",+S64,"")</f>
        <v/>
      </c>
      <c r="U64" s="88" t="n">
        <f aca="false">IF(Y64="TW",+S64,"")</f>
        <v>-1429177.5</v>
      </c>
      <c r="V64" s="87" t="n">
        <f aca="false">-'QL5365.1'!L12</f>
        <v>-1109025</v>
      </c>
      <c r="W64" s="88" t="str">
        <f aca="false">IF($Y64="NNG",-V64,"")</f>
        <v/>
      </c>
      <c r="X64" s="88" t="n">
        <f aca="false">IF(Y64="TW",-V64,"")</f>
        <v>1109025</v>
      </c>
      <c r="Y64" s="98" t="s">
        <v>31</v>
      </c>
      <c r="Z64" s="93"/>
      <c r="AA64" s="90"/>
    </row>
    <row r="65" customFormat="false" ht="11.25" hidden="false" customHeight="false" outlineLevel="0" collapsed="false">
      <c r="B65" s="98" t="s">
        <v>31</v>
      </c>
      <c r="C65" s="94" t="s">
        <v>67</v>
      </c>
      <c r="D65" s="45" t="n">
        <v>27457</v>
      </c>
      <c r="E65" s="98" t="s">
        <v>68</v>
      </c>
      <c r="F65" s="84" t="s">
        <v>65</v>
      </c>
      <c r="G65" s="85" t="n">
        <v>36902</v>
      </c>
      <c r="H65" s="111"/>
      <c r="I65" s="111"/>
      <c r="J65" s="111"/>
      <c r="K65" s="112"/>
      <c r="L65" s="113"/>
      <c r="M65" s="114" t="n">
        <f aca="false">-M63-M64</f>
        <v>1121580</v>
      </c>
      <c r="N65" s="114" t="n">
        <f aca="false">-N63-N64</f>
        <v>0</v>
      </c>
      <c r="O65" s="114" t="n">
        <f aca="false">-O63-O64</f>
        <v>1121580</v>
      </c>
      <c r="P65" s="71"/>
      <c r="Q65" s="43"/>
      <c r="R65" s="42"/>
      <c r="S65" s="43"/>
      <c r="T65" s="88" t="str">
        <f aca="false">IF(Y65="NNG",+S65,"")</f>
        <v/>
      </c>
      <c r="U65" s="88" t="n">
        <f aca="false">IF(Y65="TW",+S65,"")</f>
        <v>0</v>
      </c>
      <c r="V65" s="115"/>
      <c r="W65" s="88" t="str">
        <f aca="false">IF($Y65="NNG",-V65,"")</f>
        <v/>
      </c>
      <c r="X65" s="88" t="n">
        <f aca="false">IF(Y65="TW",-V65,"")</f>
        <v>-0</v>
      </c>
      <c r="Y65" s="98" t="s">
        <v>31</v>
      </c>
      <c r="Z65" s="93"/>
      <c r="AA65" s="43"/>
    </row>
    <row r="66" customFormat="false" ht="11.25" hidden="false" customHeight="false" outlineLevel="0" collapsed="false">
      <c r="B66" s="98"/>
      <c r="C66" s="94"/>
      <c r="D66" s="45"/>
      <c r="E66" s="98"/>
      <c r="F66" s="35"/>
      <c r="G66" s="85"/>
      <c r="H66" s="46"/>
      <c r="I66" s="46"/>
      <c r="J66" s="47"/>
      <c r="K66" s="68"/>
      <c r="L66" s="108"/>
      <c r="M66" s="52" t="n">
        <f aca="false">SUM(M63:M65)</f>
        <v>0</v>
      </c>
      <c r="N66" s="52" t="n">
        <f aca="false">SUM(N63:N65)</f>
        <v>0</v>
      </c>
      <c r="O66" s="52" t="n">
        <f aca="false">SUM(O63:O65)</f>
        <v>0</v>
      </c>
      <c r="P66" s="71"/>
      <c r="Q66" s="43"/>
      <c r="R66" s="42"/>
      <c r="S66" s="43"/>
      <c r="T66" s="88" t="str">
        <f aca="false">IF(Y66="NNG",+S66,"")</f>
        <v/>
      </c>
      <c r="U66" s="88" t="str">
        <f aca="false">IF(Y66="TW",+S66,"")</f>
        <v/>
      </c>
      <c r="V66" s="76" t="n">
        <f aca="false">SUM(V63:V65)</f>
        <v>-1121580</v>
      </c>
      <c r="W66" s="88" t="str">
        <f aca="false">IF($Y66="NNG",-V66,"")</f>
        <v/>
      </c>
      <c r="X66" s="88" t="str">
        <f aca="false">IF(Y66="TW",-V66,"")</f>
        <v/>
      </c>
      <c r="Y66" s="98"/>
      <c r="Z66" s="93"/>
      <c r="AA66" s="43"/>
    </row>
    <row r="67" customFormat="false" ht="8.1" hidden="false" customHeight="true" outlineLevel="0" collapsed="false">
      <c r="B67" s="98"/>
      <c r="C67" s="46"/>
      <c r="D67" s="45"/>
      <c r="E67" s="46"/>
      <c r="F67" s="35"/>
      <c r="G67" s="45"/>
      <c r="H67" s="46"/>
      <c r="I67" s="46"/>
      <c r="J67" s="47"/>
      <c r="K67" s="56"/>
      <c r="L67" s="95"/>
      <c r="M67" s="81"/>
      <c r="N67" s="81"/>
      <c r="O67" s="81"/>
      <c r="P67" s="71"/>
      <c r="Q67" s="43"/>
      <c r="R67" s="42"/>
      <c r="S67" s="43"/>
      <c r="T67" s="88" t="str">
        <f aca="false">IF(Y67="NNG",+S67,"")</f>
        <v/>
      </c>
      <c r="U67" s="88" t="str">
        <f aca="false">IF(Y67="TW",+S67,"")</f>
        <v/>
      </c>
      <c r="V67" s="83"/>
      <c r="W67" s="88" t="str">
        <f aca="false">IF($Y67="NNG",-V67,"")</f>
        <v/>
      </c>
      <c r="X67" s="88" t="str">
        <f aca="false">IF(Y67="TW",-V67,"")</f>
        <v/>
      </c>
      <c r="Y67" s="98"/>
      <c r="Z67" s="93"/>
      <c r="AA67" s="43"/>
    </row>
    <row r="68" customFormat="false" ht="11.25" hidden="false" customHeight="false" outlineLevel="0" collapsed="false">
      <c r="B68" s="98" t="s">
        <v>31</v>
      </c>
      <c r="C68" s="94" t="s">
        <v>63</v>
      </c>
      <c r="D68" s="98" t="s">
        <v>69</v>
      </c>
      <c r="E68" s="98" t="s">
        <v>45</v>
      </c>
      <c r="F68" s="35" t="s">
        <v>61</v>
      </c>
      <c r="G68" s="99" t="n">
        <v>36903</v>
      </c>
      <c r="H68" s="38" t="n">
        <f aca="false">SUM('QL2915.1'!D10:D21)/12</f>
        <v>3.70616666666667</v>
      </c>
      <c r="I68" s="38" t="n">
        <f aca="false">SUM('QL2915.1'!H10:H21)/12</f>
        <v>3.66283333333333</v>
      </c>
      <c r="J68" s="100" t="n">
        <f aca="false">+H68-I68</f>
        <v>0.0433333333333334</v>
      </c>
      <c r="K68" s="101" t="n">
        <f aca="false">-'QL2915.1'!F22</f>
        <v>-10037500</v>
      </c>
      <c r="L68" s="102" t="n">
        <f aca="false">+K68/365</f>
        <v>-27500</v>
      </c>
      <c r="M68" s="103" t="n">
        <f aca="false">-'QL2915.1'!I25</f>
        <v>-438900</v>
      </c>
      <c r="N68" s="103" t="n">
        <f aca="false">-'QL2915.1'!J25</f>
        <v>-0</v>
      </c>
      <c r="O68" s="103" t="n">
        <f aca="false">-'QL2915.1'!K25</f>
        <v>-438900</v>
      </c>
      <c r="P68" s="76"/>
      <c r="Q68" s="86" t="n">
        <f aca="false">-O68</f>
        <v>438900</v>
      </c>
      <c r="R68" s="87" t="n">
        <f aca="false">+[4]Summary!$Q78</f>
        <v>-1498970</v>
      </c>
      <c r="S68" s="86" t="n">
        <f aca="false">+Q68-R68</f>
        <v>1937870</v>
      </c>
      <c r="T68" s="88" t="str">
        <f aca="false">IF(Y68="NNG",+S68,"")</f>
        <v/>
      </c>
      <c r="U68" s="88" t="n">
        <f aca="false">IF(Y68="TW",+S68,"")</f>
        <v>1937870</v>
      </c>
      <c r="V68" s="104" t="n">
        <f aca="false">-'QL2915.1'!L25</f>
        <v>-110275</v>
      </c>
      <c r="W68" s="88" t="str">
        <f aca="false">IF($Y68="NNG",-V68,"")</f>
        <v/>
      </c>
      <c r="X68" s="88" t="n">
        <f aca="false">IF(Y68="TW",-V68,"")</f>
        <v>110275</v>
      </c>
      <c r="Y68" s="98" t="s">
        <v>31</v>
      </c>
      <c r="Z68" s="93"/>
      <c r="AA68" s="106"/>
    </row>
    <row r="69" customFormat="false" ht="11.25" hidden="false" customHeight="false" outlineLevel="0" collapsed="false">
      <c r="B69" s="98" t="s">
        <v>31</v>
      </c>
      <c r="C69" s="94" t="s">
        <v>63</v>
      </c>
      <c r="D69" s="98" t="s">
        <v>70</v>
      </c>
      <c r="E69" s="98" t="s">
        <v>45</v>
      </c>
      <c r="F69" s="35" t="s">
        <v>61</v>
      </c>
      <c r="G69" s="99" t="n">
        <v>36903</v>
      </c>
      <c r="H69" s="38" t="n">
        <f aca="false">SUM('QL2918.1'!D10:D21)/12</f>
        <v>5.02616666666667</v>
      </c>
      <c r="I69" s="48" t="n">
        <f aca="false">SUM('QL2918.1'!H10:H21)/12</f>
        <v>5.33575</v>
      </c>
      <c r="J69" s="116" t="n">
        <f aca="false">+H69-I69</f>
        <v>-0.309583333333333</v>
      </c>
      <c r="K69" s="117" t="n">
        <f aca="false">-'QL2918.1'!F25</f>
        <v>-10037500</v>
      </c>
      <c r="L69" s="117" t="n">
        <f aca="false">+K69/365</f>
        <v>-27500</v>
      </c>
      <c r="M69" s="118" t="n">
        <f aca="false">-'QL2918.1'!I25</f>
        <v>-3012350</v>
      </c>
      <c r="N69" s="103" t="n">
        <f aca="false">-'QL2918.1'!J25</f>
        <v>-0</v>
      </c>
      <c r="O69" s="118" t="n">
        <f aca="false">-'QL2918.1'!K25</f>
        <v>-3012350</v>
      </c>
      <c r="P69" s="76"/>
      <c r="Q69" s="86" t="n">
        <f aca="false">-O69</f>
        <v>3012350</v>
      </c>
      <c r="R69" s="87" t="n">
        <f aca="false">+[4]Summary!$Q79</f>
        <v>21839262.5</v>
      </c>
      <c r="S69" s="86" t="n">
        <f aca="false">+Q69-R69</f>
        <v>-18826912.5</v>
      </c>
      <c r="T69" s="88" t="str">
        <f aca="false">IF(Y69="NNG",+S69,"")</f>
        <v/>
      </c>
      <c r="U69" s="88" t="n">
        <f aca="false">IF(Y69="TW",+S69,"")</f>
        <v>-18826912.5</v>
      </c>
      <c r="V69" s="119" t="n">
        <f aca="false">-'QL2918.1'!L25</f>
        <v>-3337537.5</v>
      </c>
      <c r="W69" s="88" t="str">
        <f aca="false">IF($Y69="NNG",-V69,"")</f>
        <v/>
      </c>
      <c r="X69" s="88" t="n">
        <f aca="false">IF(Y69="TW",-V69,"")</f>
        <v>3337537.5</v>
      </c>
      <c r="Y69" s="98" t="s">
        <v>31</v>
      </c>
      <c r="Z69" s="93"/>
      <c r="AA69" s="106"/>
    </row>
    <row r="70" customFormat="false" ht="11.25" hidden="false" customHeight="false" outlineLevel="0" collapsed="false">
      <c r="B70" s="98" t="s">
        <v>31</v>
      </c>
      <c r="C70" s="94" t="s">
        <v>71</v>
      </c>
      <c r="D70" s="98" t="n">
        <v>27454</v>
      </c>
      <c r="E70" s="98" t="s">
        <v>68</v>
      </c>
      <c r="F70" s="35" t="s">
        <v>61</v>
      </c>
      <c r="G70" s="99" t="n">
        <v>36901</v>
      </c>
      <c r="H70" s="91"/>
      <c r="I70" s="91"/>
      <c r="J70" s="111"/>
      <c r="K70" s="112"/>
      <c r="L70" s="113"/>
      <c r="M70" s="114" t="n">
        <f aca="false">+N70+O70</f>
        <v>3451250</v>
      </c>
      <c r="N70" s="114" t="n">
        <v>0</v>
      </c>
      <c r="O70" s="114" t="n">
        <f aca="false">-O68-O69</f>
        <v>3451250</v>
      </c>
      <c r="P70" s="71"/>
      <c r="Q70" s="43"/>
      <c r="R70" s="42"/>
      <c r="S70" s="43"/>
      <c r="T70" s="88" t="str">
        <f aca="false">IF(Y70="NNG",+S70,"")</f>
        <v/>
      </c>
      <c r="U70" s="88" t="n">
        <f aca="false">IF(Y70="TW",+S70,"")</f>
        <v>0</v>
      </c>
      <c r="V70" s="115"/>
      <c r="W70" s="88" t="str">
        <f aca="false">IF($Y70="NNG",-V70,"")</f>
        <v/>
      </c>
      <c r="X70" s="88" t="n">
        <f aca="false">IF(Y70="TW",-V70,"")</f>
        <v>-0</v>
      </c>
      <c r="Y70" s="98" t="s">
        <v>31</v>
      </c>
      <c r="Z70" s="93"/>
      <c r="AA70" s="120"/>
    </row>
    <row r="71" customFormat="false" ht="11.25" hidden="false" customHeight="false" outlineLevel="0" collapsed="false">
      <c r="B71" s="98"/>
      <c r="C71" s="94"/>
      <c r="D71" s="98"/>
      <c r="E71" s="94"/>
      <c r="F71" s="35"/>
      <c r="G71" s="98"/>
      <c r="H71" s="94"/>
      <c r="I71" s="94"/>
      <c r="J71" s="100"/>
      <c r="K71" s="121"/>
      <c r="L71" s="122"/>
      <c r="M71" s="123" t="n">
        <f aca="false">+M68+M69+M70</f>
        <v>0</v>
      </c>
      <c r="N71" s="123" t="n">
        <f aca="false">+N68+N69+N70</f>
        <v>0</v>
      </c>
      <c r="O71" s="123" t="n">
        <f aca="false">+O68+O69+O70</f>
        <v>0</v>
      </c>
      <c r="P71" s="71"/>
      <c r="Q71" s="43"/>
      <c r="R71" s="42"/>
      <c r="S71" s="43"/>
      <c r="T71" s="88" t="str">
        <f aca="false">IF(Y71="NNG",+S71,"")</f>
        <v/>
      </c>
      <c r="U71" s="88" t="str">
        <f aca="false">IF(Y71="TW",+S71,"")</f>
        <v/>
      </c>
      <c r="V71" s="124" t="n">
        <f aca="false">+V68+V69+V70</f>
        <v>-3447812.5</v>
      </c>
      <c r="W71" s="88" t="str">
        <f aca="false">IF($Y71="NNG",-V71,"")</f>
        <v/>
      </c>
      <c r="X71" s="88" t="str">
        <f aca="false">IF(Y71="TW",-V71,"")</f>
        <v/>
      </c>
      <c r="Y71" s="98"/>
      <c r="Z71" s="93"/>
      <c r="AA71" s="120"/>
    </row>
    <row r="72" customFormat="false" ht="8.1" hidden="false" customHeight="true" outlineLevel="0" collapsed="false">
      <c r="B72" s="98"/>
      <c r="C72" s="94"/>
      <c r="D72" s="98"/>
      <c r="E72" s="94"/>
      <c r="F72" s="35"/>
      <c r="G72" s="98"/>
      <c r="H72" s="94"/>
      <c r="I72" s="94"/>
      <c r="J72" s="100"/>
      <c r="K72" s="121"/>
      <c r="L72" s="122"/>
      <c r="M72" s="123"/>
      <c r="N72" s="123"/>
      <c r="O72" s="123"/>
      <c r="P72" s="71"/>
      <c r="Q72" s="43"/>
      <c r="R72" s="42"/>
      <c r="S72" s="43"/>
      <c r="T72" s="88" t="str">
        <f aca="false">IF(Y72="NNG",+S72,"")</f>
        <v/>
      </c>
      <c r="U72" s="88" t="str">
        <f aca="false">IF(Y72="TW",+S72,"")</f>
        <v/>
      </c>
      <c r="V72" s="124"/>
      <c r="W72" s="88" t="str">
        <f aca="false">IF($Y72="NNG",-V72,"")</f>
        <v/>
      </c>
      <c r="X72" s="88" t="str">
        <f aca="false">IF(Y72="TW",-V72,"")</f>
        <v/>
      </c>
      <c r="Y72" s="98"/>
      <c r="Z72" s="93"/>
      <c r="AA72" s="120"/>
    </row>
    <row r="73" customFormat="false" ht="11.25" hidden="false" customHeight="false" outlineLevel="0" collapsed="false">
      <c r="B73" s="98" t="s">
        <v>31</v>
      </c>
      <c r="C73" s="94" t="s">
        <v>63</v>
      </c>
      <c r="D73" s="98" t="s">
        <v>72</v>
      </c>
      <c r="E73" s="98" t="s">
        <v>45</v>
      </c>
      <c r="F73" s="35" t="s">
        <v>73</v>
      </c>
      <c r="G73" s="99" t="n">
        <v>36907</v>
      </c>
      <c r="H73" s="38" t="n">
        <f aca="false">SUM('QL5424.1'!D10:D11)/2</f>
        <v>4.899</v>
      </c>
      <c r="I73" s="38" t="n">
        <f aca="false">SUM('QL5424.1'!H10:H11)/2</f>
        <v>5.029</v>
      </c>
      <c r="J73" s="38" t="n">
        <f aca="false">+H73-I73</f>
        <v>-0.130000000000001</v>
      </c>
      <c r="K73" s="101" t="n">
        <f aca="false">+'QL5424.1'!F16</f>
        <v>1311500</v>
      </c>
      <c r="L73" s="102" t="n">
        <f aca="false">+K73/61</f>
        <v>21500</v>
      </c>
      <c r="M73" s="103" t="n">
        <f aca="false">-'QL5424.1'!I16</f>
        <v>-170495</v>
      </c>
      <c r="N73" s="103" t="n">
        <f aca="false">-'QL5424.1'!J16</f>
        <v>-0</v>
      </c>
      <c r="O73" s="103" t="n">
        <f aca="false">-'QL5424.1'!K16</f>
        <v>-170495</v>
      </c>
      <c r="P73" s="76"/>
      <c r="Q73" s="86" t="n">
        <f aca="false">-O73</f>
        <v>170495</v>
      </c>
      <c r="R73" s="87" t="n">
        <f aca="false">+[4]Summary!$Q83</f>
        <v>1311500</v>
      </c>
      <c r="S73" s="86" t="n">
        <f aca="false">+Q73-R73</f>
        <v>-1141005</v>
      </c>
      <c r="T73" s="88" t="str">
        <f aca="false">IF(Y73="NNG",+S73,"")</f>
        <v/>
      </c>
      <c r="U73" s="88" t="n">
        <f aca="false">IF(Y73="TW",+S73,"")</f>
        <v>-1141005</v>
      </c>
      <c r="V73" s="104" t="n">
        <f aca="false">-'QL5424.1'!L16</f>
        <v>-0</v>
      </c>
      <c r="W73" s="88" t="str">
        <f aca="false">IF($Y73="NNG",-V73,"")</f>
        <v/>
      </c>
      <c r="X73" s="88" t="n">
        <f aca="false">IF(Y73="TW",-V73,"")</f>
        <v>0</v>
      </c>
      <c r="Y73" s="98" t="s">
        <v>31</v>
      </c>
      <c r="Z73" s="93"/>
      <c r="AA73" s="106"/>
    </row>
    <row r="74" customFormat="false" ht="11.25" hidden="false" customHeight="false" outlineLevel="0" collapsed="false">
      <c r="B74" s="98" t="s">
        <v>31</v>
      </c>
      <c r="C74" s="94" t="s">
        <v>63</v>
      </c>
      <c r="D74" s="98" t="s">
        <v>74</v>
      </c>
      <c r="E74" s="98" t="s">
        <v>45</v>
      </c>
      <c r="F74" s="35" t="s">
        <v>73</v>
      </c>
      <c r="G74" s="99" t="n">
        <v>36907</v>
      </c>
      <c r="H74" s="38" t="n">
        <f aca="false">SUM('QL5424.1'!D10:D11)/2</f>
        <v>4.899</v>
      </c>
      <c r="I74" s="38" t="n">
        <f aca="false">SUM('QL5444.1'!H10:H11)/2</f>
        <v>3.859</v>
      </c>
      <c r="J74" s="38" t="n">
        <f aca="false">+H74-I74</f>
        <v>1.04</v>
      </c>
      <c r="K74" s="101" t="n">
        <f aca="false">+'QL5444.1'!F16</f>
        <v>-1311500</v>
      </c>
      <c r="L74" s="102" t="n">
        <f aca="false">+K74/61</f>
        <v>-21500</v>
      </c>
      <c r="M74" s="103" t="n">
        <f aca="false">-'QL5444.1'!I16</f>
        <v>-52460</v>
      </c>
      <c r="N74" s="103" t="n">
        <f aca="false">-'QL5444.1'!J16</f>
        <v>-0</v>
      </c>
      <c r="O74" s="103" t="n">
        <f aca="false">-'QL5444.1'!K16</f>
        <v>-52460</v>
      </c>
      <c r="P74" s="76"/>
      <c r="Q74" s="86" t="n">
        <f aca="false">-O74</f>
        <v>52460</v>
      </c>
      <c r="R74" s="87" t="n">
        <f aca="false">+[4]Summary!$Q84</f>
        <v>-36722.0000000006</v>
      </c>
      <c r="S74" s="86" t="n">
        <f aca="false">+Q74-R74</f>
        <v>89182.0000000007</v>
      </c>
      <c r="T74" s="88" t="str">
        <f aca="false">IF(Y74="NNG",+S74,"")</f>
        <v/>
      </c>
      <c r="U74" s="88" t="n">
        <f aca="false">IF(Y74="TW",+S74,"")</f>
        <v>89182.0000000007</v>
      </c>
      <c r="V74" s="104" t="n">
        <f aca="false">-'QL5444.1'!L16</f>
        <v>-0</v>
      </c>
      <c r="W74" s="88" t="str">
        <f aca="false">IF($Y74="NNG",-V74,"")</f>
        <v/>
      </c>
      <c r="X74" s="88" t="n">
        <f aca="false">IF(Y74="TW",-V74,"")</f>
        <v>0</v>
      </c>
      <c r="Y74" s="98" t="s">
        <v>31</v>
      </c>
      <c r="Z74" s="93"/>
      <c r="AA74" s="106"/>
    </row>
    <row r="75" customFormat="false" ht="11.25" hidden="false" customHeight="false" outlineLevel="0" collapsed="false">
      <c r="B75" s="98" t="s">
        <v>31</v>
      </c>
      <c r="C75" s="94" t="s">
        <v>67</v>
      </c>
      <c r="D75" s="98" t="n">
        <v>27456</v>
      </c>
      <c r="E75" s="98" t="s">
        <v>68</v>
      </c>
      <c r="F75" s="35" t="s">
        <v>73</v>
      </c>
      <c r="G75" s="99" t="n">
        <v>36902</v>
      </c>
      <c r="H75" s="91"/>
      <c r="I75" s="91"/>
      <c r="J75" s="91"/>
      <c r="K75" s="112"/>
      <c r="L75" s="113"/>
      <c r="M75" s="114" t="n">
        <f aca="false">-M73-M74</f>
        <v>222955</v>
      </c>
      <c r="N75" s="114" t="n">
        <f aca="false">-N73-N74</f>
        <v>0</v>
      </c>
      <c r="O75" s="114" t="n">
        <f aca="false">-O73-O74</f>
        <v>222955</v>
      </c>
      <c r="P75" s="71"/>
      <c r="Q75" s="43"/>
      <c r="R75" s="42"/>
      <c r="S75" s="43"/>
      <c r="T75" s="88" t="str">
        <f aca="false">IF(Y75="NNG",+S75,"")</f>
        <v/>
      </c>
      <c r="U75" s="88" t="n">
        <f aca="false">IF(Y75="TW",+S75,"")</f>
        <v>0</v>
      </c>
      <c r="V75" s="115"/>
      <c r="W75" s="88" t="str">
        <f aca="false">IF($Y75="NNG",-V75,"")</f>
        <v/>
      </c>
      <c r="X75" s="88" t="n">
        <f aca="false">IF(Y75="TW",-V75,"")</f>
        <v>-0</v>
      </c>
      <c r="Y75" s="98" t="s">
        <v>31</v>
      </c>
      <c r="Z75" s="93"/>
      <c r="AA75" s="120"/>
    </row>
    <row r="76" customFormat="false" ht="11.25" hidden="false" customHeight="false" outlineLevel="0" collapsed="false">
      <c r="B76" s="98"/>
      <c r="C76" s="94"/>
      <c r="D76" s="98"/>
      <c r="E76" s="94"/>
      <c r="F76" s="35"/>
      <c r="G76" s="98"/>
      <c r="H76" s="38"/>
      <c r="I76" s="38"/>
      <c r="J76" s="38"/>
      <c r="K76" s="101"/>
      <c r="L76" s="102"/>
      <c r="M76" s="103" t="n">
        <f aca="false">SUM(M73:M75)</f>
        <v>0</v>
      </c>
      <c r="N76" s="103" t="n">
        <f aca="false">SUM(N73:N75)</f>
        <v>0</v>
      </c>
      <c r="O76" s="103" t="n">
        <f aca="false">SUM(O73:O75)</f>
        <v>0</v>
      </c>
      <c r="P76" s="71"/>
      <c r="Q76" s="43"/>
      <c r="R76" s="42"/>
      <c r="S76" s="43"/>
      <c r="T76" s="88" t="str">
        <f aca="false">IF(Y76="NNG",+S76,"")</f>
        <v/>
      </c>
      <c r="U76" s="88" t="str">
        <f aca="false">IF(Y76="TW",+S76,"")</f>
        <v/>
      </c>
      <c r="V76" s="104" t="n">
        <f aca="false">SUM(V73:V75)</f>
        <v>0</v>
      </c>
      <c r="W76" s="88" t="str">
        <f aca="false">IF($Y76="NNG",-V76,"")</f>
        <v/>
      </c>
      <c r="X76" s="88" t="str">
        <f aca="false">IF(Y76="TW",-V76,"")</f>
        <v/>
      </c>
      <c r="Y76" s="98"/>
      <c r="Z76" s="93"/>
      <c r="AA76" s="43"/>
    </row>
    <row r="77" customFormat="false" ht="8.1" hidden="false" customHeight="true" outlineLevel="0" collapsed="false">
      <c r="B77" s="98"/>
      <c r="C77" s="94"/>
      <c r="D77" s="98"/>
      <c r="E77" s="94"/>
      <c r="F77" s="35"/>
      <c r="G77" s="98"/>
      <c r="H77" s="94"/>
      <c r="I77" s="94"/>
      <c r="J77" s="100"/>
      <c r="K77" s="121"/>
      <c r="L77" s="122"/>
      <c r="M77" s="123"/>
      <c r="N77" s="123"/>
      <c r="O77" s="123"/>
      <c r="P77" s="71"/>
      <c r="Q77" s="43"/>
      <c r="R77" s="42"/>
      <c r="S77" s="43"/>
      <c r="T77" s="88" t="str">
        <f aca="false">IF(Y77="NNG",+S77,"")</f>
        <v/>
      </c>
      <c r="U77" s="88" t="str">
        <f aca="false">IF(Y77="TW",+S77,"")</f>
        <v/>
      </c>
      <c r="V77" s="124"/>
      <c r="W77" s="88" t="str">
        <f aca="false">IF($Y77="NNG",-V77,"")</f>
        <v/>
      </c>
      <c r="X77" s="88" t="str">
        <f aca="false">IF(Y77="TW",-V77,"")</f>
        <v/>
      </c>
      <c r="Y77" s="98"/>
      <c r="Z77" s="93"/>
      <c r="AA77" s="43"/>
    </row>
    <row r="78" customFormat="false" ht="11.25" hidden="false" customHeight="false" outlineLevel="0" collapsed="false">
      <c r="B78" s="98" t="s">
        <v>31</v>
      </c>
      <c r="C78" s="94" t="s">
        <v>63</v>
      </c>
      <c r="D78" s="98" t="s">
        <v>75</v>
      </c>
      <c r="E78" s="98" t="s">
        <v>45</v>
      </c>
      <c r="F78" s="35" t="s">
        <v>76</v>
      </c>
      <c r="G78" s="99" t="n">
        <v>36907</v>
      </c>
      <c r="H78" s="38" t="n">
        <f aca="false">SUM('QL5357.1'!D10:D21)/12</f>
        <v>4.8715</v>
      </c>
      <c r="I78" s="38" t="n">
        <f aca="false">SUM('QL5357.1'!H10:H21)/12</f>
        <v>4.33983333333333</v>
      </c>
      <c r="J78" s="100" t="n">
        <f aca="false">+H78-I78</f>
        <v>0.531666666666666</v>
      </c>
      <c r="K78" s="101" t="n">
        <f aca="false">'QL5357.1'!F25</f>
        <v>13687500</v>
      </c>
      <c r="L78" s="102" t="n">
        <f aca="false">+K78/365</f>
        <v>37500</v>
      </c>
      <c r="M78" s="103" t="n">
        <f aca="false">-'QL5357.1'!I22</f>
        <v>7294500</v>
      </c>
      <c r="N78" s="103" t="n">
        <f aca="false">-'QL5357.1'!J22</f>
        <v>-0</v>
      </c>
      <c r="O78" s="103" t="n">
        <f aca="false">-'QL5357.1'!K22</f>
        <v>7294500</v>
      </c>
      <c r="P78" s="76"/>
      <c r="Q78" s="86" t="n">
        <f aca="false">-O78</f>
        <v>-7294500</v>
      </c>
      <c r="R78" s="87" t="n">
        <f aca="false">+[4]Summary!$Q88</f>
        <v>2745000</v>
      </c>
      <c r="S78" s="86" t="n">
        <f aca="false">+Q78-R78</f>
        <v>-10039500</v>
      </c>
      <c r="T78" s="88" t="str">
        <f aca="false">IF(Y78="NNG",+S78,"")</f>
        <v/>
      </c>
      <c r="U78" s="88" t="n">
        <f aca="false">IF(Y78="TW",+S78,"")</f>
        <v>-10039500</v>
      </c>
      <c r="V78" s="104" t="n">
        <f aca="false">-'QL5357.1'!L22</f>
        <v>-0</v>
      </c>
      <c r="W78" s="88" t="str">
        <f aca="false">IF($Y78="NNG",-V78,"")</f>
        <v/>
      </c>
      <c r="X78" s="88" t="n">
        <f aca="false">IF(Y78="TW",-V78,"")</f>
        <v>0</v>
      </c>
      <c r="Y78" s="98" t="s">
        <v>31</v>
      </c>
      <c r="Z78" s="125" t="n">
        <f aca="false">+Q78+Q79+Q83+Q84</f>
        <v>-9896020</v>
      </c>
      <c r="AA78" s="126"/>
    </row>
    <row r="79" customFormat="false" ht="11.25" hidden="false" customHeight="false" outlineLevel="0" collapsed="false">
      <c r="B79" s="98" t="s">
        <v>31</v>
      </c>
      <c r="C79" s="94" t="s">
        <v>63</v>
      </c>
      <c r="D79" s="98" t="s">
        <v>77</v>
      </c>
      <c r="E79" s="98" t="s">
        <v>45</v>
      </c>
      <c r="F79" s="35" t="s">
        <v>76</v>
      </c>
      <c r="G79" s="99" t="n">
        <v>36907</v>
      </c>
      <c r="H79" s="38" t="n">
        <f aca="false">SUM('QL5358.1'!D10:D21)/12</f>
        <v>3.6915</v>
      </c>
      <c r="I79" s="38" t="n">
        <f aca="false">SUM('QL5358.1'!H10:H21)/12</f>
        <v>3.68358333333333</v>
      </c>
      <c r="J79" s="100" t="n">
        <f aca="false">+H79-I79</f>
        <v>0.00791666666666657</v>
      </c>
      <c r="K79" s="101" t="n">
        <f aca="false">+'QL5358.1'!F25</f>
        <v>-13687500</v>
      </c>
      <c r="L79" s="102" t="n">
        <f aca="false">+K79/365</f>
        <v>-37500</v>
      </c>
      <c r="M79" s="103" t="n">
        <f aca="false">-'QL5358.1'!I22</f>
        <v>-106499.999999999</v>
      </c>
      <c r="N79" s="103" t="n">
        <f aca="false">-'QL5358.1'!J22</f>
        <v>-0</v>
      </c>
      <c r="O79" s="103" t="n">
        <f aca="false">-'QL5358.1'!K22</f>
        <v>-106499.999999999</v>
      </c>
      <c r="P79" s="76"/>
      <c r="Q79" s="86" t="n">
        <f aca="false">-O79</f>
        <v>106499.999999999</v>
      </c>
      <c r="R79" s="87" t="n">
        <f aca="false">+[4]Summary!$Q89</f>
        <v>-181612.5</v>
      </c>
      <c r="S79" s="86" t="n">
        <f aca="false">+Q79-R79</f>
        <v>288112.499999999</v>
      </c>
      <c r="T79" s="88" t="str">
        <f aca="false">IF(Y79="NNG",+S79,"")</f>
        <v/>
      </c>
      <c r="U79" s="88" t="n">
        <f aca="false">IF(Y79="TW",+S79,"")</f>
        <v>288112.499999999</v>
      </c>
      <c r="V79" s="104" t="n">
        <f aca="false">-'QL5358.1'!L22</f>
        <v>-0</v>
      </c>
      <c r="W79" s="88" t="str">
        <f aca="false">IF($Y79="NNG",-V79,"")</f>
        <v/>
      </c>
      <c r="X79" s="88" t="n">
        <f aca="false">IF(Y79="TW",-V79,"")</f>
        <v>0</v>
      </c>
      <c r="Y79" s="98" t="s">
        <v>31</v>
      </c>
      <c r="Z79" s="93"/>
      <c r="AA79" s="126"/>
    </row>
    <row r="80" customFormat="false" ht="11.25" hidden="false" customHeight="false" outlineLevel="0" collapsed="false">
      <c r="B80" s="98" t="s">
        <v>31</v>
      </c>
      <c r="C80" s="94" t="s">
        <v>67</v>
      </c>
      <c r="D80" s="98" t="n">
        <v>27453</v>
      </c>
      <c r="E80" s="98" t="s">
        <v>68</v>
      </c>
      <c r="F80" s="35" t="s">
        <v>76</v>
      </c>
      <c r="G80" s="99" t="n">
        <v>36902</v>
      </c>
      <c r="H80" s="127"/>
      <c r="I80" s="127"/>
      <c r="J80" s="128"/>
      <c r="K80" s="129"/>
      <c r="L80" s="130"/>
      <c r="M80" s="114" t="n">
        <f aca="false">-M78-M79</f>
        <v>-7188000</v>
      </c>
      <c r="N80" s="114" t="n">
        <f aca="false">-N78-N79</f>
        <v>0</v>
      </c>
      <c r="O80" s="114" t="n">
        <f aca="false">-O78-O79</f>
        <v>-7188000</v>
      </c>
      <c r="P80" s="71"/>
      <c r="Q80" s="43"/>
      <c r="R80" s="42"/>
      <c r="S80" s="43"/>
      <c r="T80" s="88" t="str">
        <f aca="false">IF(Y80="NNG",+S80,"")</f>
        <v/>
      </c>
      <c r="U80" s="88" t="n">
        <f aca="false">IF(Y80="TW",+S80,"")</f>
        <v>0</v>
      </c>
      <c r="V80" s="115"/>
      <c r="W80" s="88" t="str">
        <f aca="false">IF($Y80="NNG",-V80,"")</f>
        <v/>
      </c>
      <c r="X80" s="88" t="n">
        <f aca="false">IF(Y80="TW",-V80,"")</f>
        <v>-0</v>
      </c>
      <c r="Y80" s="98" t="s">
        <v>31</v>
      </c>
      <c r="Z80" s="93"/>
      <c r="AA80" s="131"/>
    </row>
    <row r="81" customFormat="false" ht="11.25" hidden="false" customHeight="false" outlineLevel="0" collapsed="false">
      <c r="B81" s="98"/>
      <c r="C81" s="94"/>
      <c r="D81" s="98"/>
      <c r="E81" s="94"/>
      <c r="F81" s="35"/>
      <c r="G81" s="98"/>
      <c r="H81" s="132"/>
      <c r="I81" s="132"/>
      <c r="J81" s="133"/>
      <c r="K81" s="121" t="n">
        <f aca="false">+K80+K79+K78</f>
        <v>0</v>
      </c>
      <c r="L81" s="121" t="n">
        <f aca="false">+L80+L79+L78</f>
        <v>0</v>
      </c>
      <c r="M81" s="123" t="n">
        <f aca="false">+M80+M79+M78</f>
        <v>0</v>
      </c>
      <c r="N81" s="123" t="n">
        <f aca="false">+N80+N79+N78</f>
        <v>0</v>
      </c>
      <c r="O81" s="123" t="n">
        <f aca="false">+O80+O79+O78</f>
        <v>0</v>
      </c>
      <c r="P81" s="71"/>
      <c r="Q81" s="43"/>
      <c r="R81" s="42"/>
      <c r="S81" s="43"/>
      <c r="T81" s="88" t="str">
        <f aca="false">IF(Y81="NNG",+S81,"")</f>
        <v/>
      </c>
      <c r="U81" s="88" t="str">
        <f aca="false">IF(Y81="TW",+S81,"")</f>
        <v/>
      </c>
      <c r="V81" s="124" t="n">
        <f aca="false">+V80+V79+V78</f>
        <v>0</v>
      </c>
      <c r="W81" s="88" t="str">
        <f aca="false">IF($Y81="NNG",-V81,"")</f>
        <v/>
      </c>
      <c r="X81" s="88" t="str">
        <f aca="false">IF(Y81="TW",-V81,"")</f>
        <v/>
      </c>
      <c r="Y81" s="98"/>
      <c r="Z81" s="93"/>
      <c r="AA81" s="131"/>
    </row>
    <row r="82" customFormat="false" ht="11.25" hidden="false" customHeight="false" outlineLevel="0" collapsed="false">
      <c r="B82" s="98"/>
      <c r="C82" s="94"/>
      <c r="D82" s="98"/>
      <c r="E82" s="98"/>
      <c r="F82" s="35"/>
      <c r="G82" s="99"/>
      <c r="H82" s="38"/>
      <c r="I82" s="38"/>
      <c r="J82" s="100"/>
      <c r="K82" s="101"/>
      <c r="L82" s="102"/>
      <c r="M82" s="103"/>
      <c r="N82" s="103"/>
      <c r="O82" s="103"/>
      <c r="P82" s="76"/>
      <c r="Q82" s="86"/>
      <c r="R82" s="87"/>
      <c r="S82" s="86"/>
      <c r="T82" s="88" t="str">
        <f aca="false">IF(Y82="NNG",+S82,"")</f>
        <v/>
      </c>
      <c r="U82" s="88" t="str">
        <f aca="false">IF(Y82="TW",+S82,"")</f>
        <v/>
      </c>
      <c r="V82" s="104"/>
      <c r="W82" s="88" t="str">
        <f aca="false">IF($Y82="NNG",-V82,"")</f>
        <v/>
      </c>
      <c r="X82" s="88" t="str">
        <f aca="false">IF(Y82="TW",-V82,"")</f>
        <v/>
      </c>
      <c r="Y82" s="98"/>
      <c r="Z82" s="93"/>
      <c r="AA82" s="126"/>
    </row>
    <row r="83" customFormat="false" ht="11.25" hidden="false" customHeight="false" outlineLevel="0" collapsed="false">
      <c r="B83" s="98" t="s">
        <v>31</v>
      </c>
      <c r="C83" s="94" t="s">
        <v>63</v>
      </c>
      <c r="D83" s="98" t="s">
        <v>78</v>
      </c>
      <c r="E83" s="98" t="s">
        <v>45</v>
      </c>
      <c r="F83" s="35" t="s">
        <v>76</v>
      </c>
      <c r="G83" s="99" t="n">
        <v>36908</v>
      </c>
      <c r="H83" s="38" t="n">
        <f aca="false">SUM('QL9270.1'!D10:D21)/12</f>
        <v>5.0015</v>
      </c>
      <c r="I83" s="38" t="n">
        <f aca="false">SUM('QL9270.1'!H10:H21)/12</f>
        <v>4.33983333333333</v>
      </c>
      <c r="J83" s="100" t="n">
        <f aca="false">+H83-I83</f>
        <v>0.661666666666666</v>
      </c>
      <c r="K83" s="101" t="n">
        <f aca="false">+'QL9270.1'!F22</f>
        <v>4197500</v>
      </c>
      <c r="L83" s="102" t="n">
        <f aca="false">+K83/365</f>
        <v>11500</v>
      </c>
      <c r="M83" s="103" t="n">
        <f aca="false">-'QL9270.1'!I22</f>
        <v>2782655</v>
      </c>
      <c r="N83" s="103" t="n">
        <f aca="false">-'QL9270.1'!J22</f>
        <v>-0</v>
      </c>
      <c r="O83" s="103" t="n">
        <f aca="false">-'QL9270.1'!K22</f>
        <v>2782655</v>
      </c>
      <c r="P83" s="76"/>
      <c r="Q83" s="86" t="n">
        <f aca="false">-O83</f>
        <v>-2782655</v>
      </c>
      <c r="R83" s="87" t="n">
        <f aca="false">+[4]Summary!$Q93</f>
        <v>296124.999999999</v>
      </c>
      <c r="S83" s="86" t="n">
        <f aca="false">+Q83-R83</f>
        <v>-3078780</v>
      </c>
      <c r="T83" s="88" t="str">
        <f aca="false">IF(Y83="NNG",+S83,"")</f>
        <v/>
      </c>
      <c r="U83" s="88" t="n">
        <f aca="false">IF(Y83="TW",+S83,"")</f>
        <v>-3078780</v>
      </c>
      <c r="V83" s="104" t="n">
        <f aca="false">-'QL9270.1'!L22</f>
        <v>-0</v>
      </c>
      <c r="W83" s="88" t="str">
        <f aca="false">IF($Y83="NNG",-V83,"")</f>
        <v/>
      </c>
      <c r="X83" s="88" t="n">
        <f aca="false">IF(Y83="TW",-V83,"")</f>
        <v>0</v>
      </c>
      <c r="Y83" s="98" t="s">
        <v>31</v>
      </c>
      <c r="Z83" s="93"/>
      <c r="AA83" s="126"/>
    </row>
    <row r="84" customFormat="false" ht="11.25" hidden="false" customHeight="false" outlineLevel="0" collapsed="false">
      <c r="B84" s="98" t="s">
        <v>31</v>
      </c>
      <c r="C84" s="94" t="s">
        <v>63</v>
      </c>
      <c r="D84" s="98" t="s">
        <v>79</v>
      </c>
      <c r="E84" s="98" t="s">
        <v>45</v>
      </c>
      <c r="F84" s="35" t="s">
        <v>76</v>
      </c>
      <c r="G84" s="99" t="n">
        <v>36908</v>
      </c>
      <c r="H84" s="38" t="n">
        <f aca="false">SUM('QL9273.1'!D10:D21)/12</f>
        <v>3.7015</v>
      </c>
      <c r="I84" s="38" t="n">
        <f aca="false">SUM('QL9273.1'!H11:H21)/12</f>
        <v>3.35158333333333</v>
      </c>
      <c r="J84" s="100" t="n">
        <f aca="false">+H84-I84</f>
        <v>0.349916666666666</v>
      </c>
      <c r="K84" s="101" t="n">
        <f aca="false">+'QL9273.1'!F22</f>
        <v>-4197500</v>
      </c>
      <c r="L84" s="102" t="n">
        <f aca="false">+K84/365</f>
        <v>-11500</v>
      </c>
      <c r="M84" s="103" t="n">
        <f aca="false">-'QL9273.1'!I22</f>
        <v>-74634.9999999992</v>
      </c>
      <c r="N84" s="103" t="n">
        <f aca="false">-'QL9273.1'!J22</f>
        <v>-0</v>
      </c>
      <c r="O84" s="103" t="n">
        <f aca="false">-'QL9273.1'!K22</f>
        <v>-74634.9999999992</v>
      </c>
      <c r="P84" s="76"/>
      <c r="Q84" s="86" t="n">
        <f aca="false">-O84</f>
        <v>74634.9999999992</v>
      </c>
      <c r="R84" s="87" t="n">
        <f aca="false">+[4]Summary!$Q94</f>
        <v>-13719.4999999994</v>
      </c>
      <c r="S84" s="86" t="n">
        <f aca="false">+Q84-R84</f>
        <v>88354.4999999986</v>
      </c>
      <c r="T84" s="88" t="str">
        <f aca="false">IF(Y84="NNG",+S84,"")</f>
        <v/>
      </c>
      <c r="U84" s="88" t="n">
        <f aca="false">IF(Y84="TW",+S84,"")</f>
        <v>88354.4999999986</v>
      </c>
      <c r="V84" s="104" t="n">
        <f aca="false">-'QL9273.1'!L22</f>
        <v>-0</v>
      </c>
      <c r="W84" s="88" t="str">
        <f aca="false">IF($Y84="NNG",-V84,"")</f>
        <v/>
      </c>
      <c r="X84" s="88" t="n">
        <f aca="false">IF(Y84="TW",-V84,"")</f>
        <v>0</v>
      </c>
      <c r="Y84" s="98" t="s">
        <v>31</v>
      </c>
      <c r="Z84" s="93"/>
      <c r="AA84" s="126"/>
    </row>
    <row r="85" customFormat="false" ht="11.25" hidden="false" customHeight="false" outlineLevel="0" collapsed="false">
      <c r="B85" s="98" t="s">
        <v>31</v>
      </c>
      <c r="C85" s="94" t="s">
        <v>80</v>
      </c>
      <c r="D85" s="98" t="n">
        <v>27458</v>
      </c>
      <c r="E85" s="98" t="s">
        <v>68</v>
      </c>
      <c r="F85" s="35" t="s">
        <v>76</v>
      </c>
      <c r="G85" s="99" t="n">
        <v>36902</v>
      </c>
      <c r="H85" s="127"/>
      <c r="I85" s="127"/>
      <c r="J85" s="128"/>
      <c r="K85" s="129"/>
      <c r="L85" s="134"/>
      <c r="M85" s="114" t="n">
        <f aca="false">-M83-M84</f>
        <v>-2708020</v>
      </c>
      <c r="N85" s="114" t="n">
        <f aca="false">-N83-N84</f>
        <v>0</v>
      </c>
      <c r="O85" s="114" t="n">
        <f aca="false">-O83-O84</f>
        <v>-2708020</v>
      </c>
      <c r="P85" s="71"/>
      <c r="Q85" s="86"/>
      <c r="R85" s="42"/>
      <c r="S85" s="43"/>
      <c r="T85" s="88" t="str">
        <f aca="false">IF(Y85="NNG",+S85,"")</f>
        <v/>
      </c>
      <c r="U85" s="88" t="n">
        <f aca="false">IF(Y85="TW",+S85,"")</f>
        <v>0</v>
      </c>
      <c r="V85" s="115"/>
      <c r="W85" s="88" t="str">
        <f aca="false">IF($Y85="NNG",-V85,"")</f>
        <v/>
      </c>
      <c r="X85" s="88" t="n">
        <f aca="false">IF(Y85="TW",-V85,"")</f>
        <v>-0</v>
      </c>
      <c r="Y85" s="98" t="s">
        <v>31</v>
      </c>
      <c r="Z85" s="93"/>
      <c r="AA85" s="86"/>
    </row>
    <row r="86" customFormat="false" ht="11.25" hidden="false" customHeight="false" outlineLevel="0" collapsed="false">
      <c r="B86" s="98"/>
      <c r="C86" s="94"/>
      <c r="D86" s="98"/>
      <c r="E86" s="94"/>
      <c r="F86" s="135"/>
      <c r="G86" s="98"/>
      <c r="H86" s="132"/>
      <c r="I86" s="132"/>
      <c r="J86" s="133"/>
      <c r="K86" s="121"/>
      <c r="L86" s="122"/>
      <c r="M86" s="123" t="n">
        <f aca="false">SUM(M83:M85)</f>
        <v>0</v>
      </c>
      <c r="N86" s="123" t="n">
        <f aca="false">SUM(N83:N85)</f>
        <v>0</v>
      </c>
      <c r="O86" s="123" t="n">
        <f aca="false">SUM(O83:O85)</f>
        <v>0</v>
      </c>
      <c r="P86" s="71"/>
      <c r="Q86" s="86"/>
      <c r="R86" s="42"/>
      <c r="S86" s="43"/>
      <c r="T86" s="88" t="str">
        <f aca="false">IF(Y86="NNG",+S86,"")</f>
        <v/>
      </c>
      <c r="U86" s="88" t="str">
        <f aca="false">IF(Y86="TW",+S86,"")</f>
        <v/>
      </c>
      <c r="V86" s="124" t="n">
        <f aca="false">SUM(V83:V85)</f>
        <v>0</v>
      </c>
      <c r="W86" s="88" t="str">
        <f aca="false">IF($Y86="NNG",-V86,"")</f>
        <v/>
      </c>
      <c r="X86" s="88" t="str">
        <f aca="false">IF(Y86="TW",-V86,"")</f>
        <v/>
      </c>
      <c r="Y86" s="98"/>
      <c r="Z86" s="93"/>
    </row>
    <row r="87" customFormat="false" ht="8.1" hidden="false" customHeight="true" outlineLevel="0" collapsed="false">
      <c r="B87" s="98"/>
      <c r="C87" s="94"/>
      <c r="D87" s="98"/>
      <c r="E87" s="94"/>
      <c r="F87" s="35"/>
      <c r="G87" s="98"/>
      <c r="H87" s="94"/>
      <c r="I87" s="94"/>
      <c r="J87" s="100"/>
      <c r="K87" s="121"/>
      <c r="L87" s="122"/>
      <c r="M87" s="123"/>
      <c r="N87" s="123"/>
      <c r="O87" s="123"/>
      <c r="P87" s="71"/>
      <c r="Q87" s="86"/>
      <c r="R87" s="42"/>
      <c r="S87" s="43"/>
      <c r="T87" s="88" t="str">
        <f aca="false">IF(Y87="NNG",+S87,"")</f>
        <v/>
      </c>
      <c r="U87" s="88" t="str">
        <f aca="false">IF(Y87="TW",+S87,"")</f>
        <v/>
      </c>
      <c r="V87" s="124"/>
      <c r="W87" s="88" t="str">
        <f aca="false">IF($Y87="NNG",-V87,"")</f>
        <v/>
      </c>
      <c r="X87" s="88" t="str">
        <f aca="false">IF(Y87="TW",-V87,"")</f>
        <v/>
      </c>
      <c r="Y87" s="98"/>
      <c r="Z87" s="93"/>
    </row>
    <row r="88" customFormat="false" ht="11.25" hidden="false" customHeight="false" outlineLevel="0" collapsed="false">
      <c r="B88" s="45"/>
      <c r="C88" s="45"/>
      <c r="D88" s="45"/>
      <c r="E88" s="45"/>
      <c r="F88" s="35"/>
      <c r="G88" s="85"/>
      <c r="H88" s="38"/>
      <c r="I88" s="38"/>
      <c r="J88" s="47"/>
      <c r="K88" s="68"/>
      <c r="L88" s="68"/>
      <c r="M88" s="52"/>
      <c r="N88" s="41"/>
      <c r="O88" s="41"/>
      <c r="P88" s="76"/>
      <c r="Q88" s="86"/>
      <c r="R88" s="87"/>
      <c r="S88" s="86"/>
      <c r="T88" s="88" t="str">
        <f aca="false">IF(Y88="NNG",+S88,"")</f>
        <v/>
      </c>
      <c r="U88" s="88" t="str">
        <f aca="false">IF(Y88="TW",+S88,"")</f>
        <v/>
      </c>
      <c r="V88" s="86"/>
      <c r="W88" s="88" t="str">
        <f aca="false">IF($Y88="NNG",-V88,"")</f>
        <v/>
      </c>
      <c r="X88" s="88" t="str">
        <f aca="false">IF(Y88="TW",-V88,"")</f>
        <v/>
      </c>
      <c r="Y88" s="45"/>
      <c r="Z88" s="93"/>
    </row>
    <row r="89" customFormat="false" ht="11.25" hidden="false" customHeight="false" outlineLevel="0" collapsed="false">
      <c r="B89" s="98"/>
      <c r="C89" s="94"/>
      <c r="D89" s="98"/>
      <c r="E89" s="94"/>
      <c r="F89" s="94"/>
      <c r="G89" s="98"/>
      <c r="H89" s="132"/>
      <c r="I89" s="132"/>
      <c r="J89" s="133"/>
      <c r="K89" s="121"/>
      <c r="L89" s="122"/>
      <c r="M89" s="123"/>
      <c r="N89" s="123"/>
      <c r="O89" s="123"/>
      <c r="P89" s="71"/>
      <c r="Q89" s="86"/>
      <c r="R89" s="42"/>
      <c r="S89" s="43"/>
      <c r="T89" s="88"/>
      <c r="U89" s="88"/>
      <c r="V89" s="124"/>
      <c r="W89" s="88"/>
      <c r="X89" s="88"/>
      <c r="Y89" s="98"/>
      <c r="Z89" s="93"/>
    </row>
    <row r="90" customFormat="false" ht="8.1" hidden="false" customHeight="true" outlineLevel="0" collapsed="false">
      <c r="B90" s="98"/>
      <c r="C90" s="94"/>
      <c r="D90" s="98"/>
      <c r="E90" s="94"/>
      <c r="F90" s="94"/>
      <c r="G90" s="98"/>
      <c r="H90" s="94"/>
      <c r="I90" s="94"/>
      <c r="J90" s="100"/>
      <c r="K90" s="121"/>
      <c r="L90" s="122"/>
      <c r="M90" s="123"/>
      <c r="N90" s="123"/>
      <c r="O90" s="123"/>
      <c r="P90" s="71"/>
      <c r="Q90" s="86"/>
      <c r="R90" s="42"/>
      <c r="S90" s="43"/>
      <c r="T90" s="88"/>
      <c r="U90" s="88"/>
      <c r="V90" s="124"/>
      <c r="W90" s="88"/>
      <c r="X90" s="88"/>
      <c r="Y90" s="45"/>
    </row>
    <row r="91" customFormat="false" ht="12" hidden="false" customHeight="false" outlineLevel="0" collapsed="false">
      <c r="B91" s="45"/>
      <c r="C91" s="45"/>
      <c r="D91" s="45"/>
      <c r="E91" s="45"/>
      <c r="F91" s="45"/>
      <c r="G91" s="45"/>
      <c r="H91" s="136"/>
      <c r="I91" s="46"/>
      <c r="J91" s="46"/>
      <c r="K91" s="137" t="n">
        <f aca="false">+K86+K81+K45+K76+K71+K66+K57+K53+K49+K88+K61</f>
        <v>0</v>
      </c>
      <c r="L91" s="137" t="n">
        <f aca="false">+L86+L81+L45+L76+L71+L66+L57+L53+L49+L88+L61</f>
        <v>0</v>
      </c>
      <c r="M91" s="137" t="n">
        <f aca="false">+M86+M81+M45+M76+M71+M66+M57+M53+M49+M88+M61</f>
        <v>49587.4999999998</v>
      </c>
      <c r="N91" s="137" t="n">
        <f aca="false">+N86+N81+N45+N76+N71+N66+N57+N53+N49+N88+N61</f>
        <v>0</v>
      </c>
      <c r="O91" s="137" t="n">
        <f aca="false">+O86+O81+O45+O76+O71+O66+O57+O53+O49+O88+O61</f>
        <v>58774.9999999994</v>
      </c>
      <c r="P91" s="138" t="n">
        <f aca="false">SUM(P43:P90)</f>
        <v>0</v>
      </c>
      <c r="Q91" s="138" t="n">
        <f aca="false">SUM(Q43:Q90)</f>
        <v>-4972180</v>
      </c>
      <c r="R91" s="138" t="n">
        <f aca="false">SUM(R43:R90)</f>
        <v>36081435.5</v>
      </c>
      <c r="S91" s="139" t="n">
        <f aca="false">+Q91-R91</f>
        <v>-41053615.5</v>
      </c>
      <c r="T91" s="138" t="n">
        <f aca="false">SUM(T43:T90)</f>
        <v>0</v>
      </c>
      <c r="U91" s="138" t="n">
        <f aca="false">SUM(U43:U90)</f>
        <v>-41053615.5</v>
      </c>
      <c r="V91" s="140" t="n">
        <f aca="false">+V86+V81+V45+V76+V71+V66+V57+V53+V49+V88+V61</f>
        <v>-5940032.5</v>
      </c>
      <c r="W91" s="138" t="n">
        <f aca="false">SUM(W34:W58)</f>
        <v>0</v>
      </c>
      <c r="X91" s="138" t="n">
        <f aca="false">SUM(X43:X90)</f>
        <v>5940032.5</v>
      </c>
      <c r="Y91" s="141"/>
    </row>
    <row r="92" customFormat="false" ht="11.1" hidden="false" customHeight="true" outlineLevel="0" collapsed="false">
      <c r="B92" s="141"/>
      <c r="C92" s="142"/>
      <c r="D92" s="141"/>
      <c r="E92" s="142"/>
      <c r="F92" s="142"/>
      <c r="G92" s="141"/>
      <c r="H92" s="142"/>
      <c r="I92" s="142"/>
      <c r="J92" s="142"/>
      <c r="K92" s="142"/>
      <c r="L92" s="142"/>
      <c r="M92" s="142"/>
      <c r="N92" s="143"/>
      <c r="O92" s="144" t="s">
        <v>81</v>
      </c>
      <c r="V92" s="5"/>
    </row>
    <row r="93" customFormat="false" ht="11.25" hidden="false" customHeight="false" outlineLevel="0" collapsed="false">
      <c r="B93" s="145"/>
      <c r="C93" s="146"/>
      <c r="D93" s="145"/>
      <c r="E93" s="146"/>
      <c r="F93" s="146"/>
      <c r="G93" s="145"/>
      <c r="H93" s="146"/>
      <c r="I93" s="146"/>
      <c r="J93" s="146"/>
      <c r="K93" s="146"/>
      <c r="L93" s="146"/>
      <c r="M93" s="146"/>
      <c r="N93" s="146"/>
      <c r="O93" s="147"/>
      <c r="P93" s="148" t="s">
        <v>82</v>
      </c>
      <c r="Q93" s="149" t="n">
        <f aca="false">+Q91+P91</f>
        <v>-4972180</v>
      </c>
      <c r="V93" s="44"/>
    </row>
    <row r="94" customFormat="false" ht="9" hidden="false" customHeight="true" outlineLevel="0" collapsed="false">
      <c r="B94" s="150" t="s">
        <v>83</v>
      </c>
      <c r="C94" s="146"/>
      <c r="D94" s="145"/>
      <c r="E94" s="146"/>
      <c r="F94" s="146"/>
      <c r="G94" s="145"/>
      <c r="H94" s="146"/>
      <c r="I94" s="146"/>
      <c r="J94" s="146"/>
      <c r="K94" s="146"/>
      <c r="L94" s="146"/>
      <c r="M94" s="146"/>
      <c r="N94" s="146"/>
      <c r="O94" s="147"/>
      <c r="V94" s="44"/>
    </row>
    <row r="95" customFormat="false" ht="9" hidden="false" customHeight="true" outlineLevel="0" collapsed="false">
      <c r="B95" s="145"/>
      <c r="C95" s="146"/>
      <c r="D95" s="145"/>
      <c r="E95" s="146"/>
      <c r="F95" s="146"/>
      <c r="G95" s="145"/>
      <c r="H95" s="146"/>
      <c r="I95" s="146"/>
      <c r="J95" s="146"/>
      <c r="K95" s="146"/>
      <c r="L95" s="146"/>
      <c r="M95" s="146"/>
      <c r="N95" s="146"/>
      <c r="O95" s="147"/>
      <c r="V95" s="44"/>
    </row>
    <row r="96" customFormat="false" ht="9" hidden="false" customHeight="true" outlineLevel="0" collapsed="false">
      <c r="B96" s="145"/>
      <c r="C96" s="146"/>
      <c r="D96" s="145"/>
      <c r="E96" s="146"/>
      <c r="F96" s="146"/>
      <c r="G96" s="145"/>
      <c r="H96" s="146"/>
      <c r="I96" s="146"/>
      <c r="J96" s="146"/>
      <c r="K96" s="146"/>
      <c r="L96" s="146"/>
      <c r="M96" s="146"/>
      <c r="N96" s="146"/>
      <c r="O96" s="147"/>
      <c r="V96" s="44"/>
    </row>
    <row r="97" customFormat="false" ht="9" hidden="false" customHeight="true" outlineLevel="0" collapsed="false">
      <c r="B97" s="145"/>
      <c r="C97" s="146"/>
      <c r="D97" s="145"/>
      <c r="E97" s="146"/>
      <c r="F97" s="146"/>
      <c r="G97" s="145"/>
      <c r="H97" s="146"/>
      <c r="I97" s="146"/>
      <c r="J97" s="146"/>
      <c r="K97" s="146"/>
      <c r="L97" s="146"/>
      <c r="M97" s="146"/>
      <c r="N97" s="146"/>
      <c r="O97" s="147"/>
      <c r="V97" s="44"/>
    </row>
    <row r="98" customFormat="false" ht="11.25" hidden="false" customHeight="false" outlineLevel="0" collapsed="false">
      <c r="B98" s="151" t="s">
        <v>84</v>
      </c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V98" s="152"/>
    </row>
    <row r="99" customFormat="false" ht="12.75" hidden="false" customHeight="false" outlineLevel="0" collapsed="false">
      <c r="B99" s="6" t="s">
        <v>85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R99" s="0"/>
      <c r="S99" s="0"/>
      <c r="V99" s="7"/>
    </row>
    <row r="100" customFormat="false" ht="12.75" hidden="false" customHeight="false" outlineLevel="0" collapsed="false">
      <c r="B100" s="2"/>
      <c r="L100" s="146"/>
      <c r="P100" s="61"/>
      <c r="Q100" s="61"/>
      <c r="R100" s="0"/>
      <c r="S100" s="0"/>
      <c r="Y100" s="7"/>
    </row>
    <row r="101" customFormat="false" ht="12.75" hidden="false" customHeight="false" outlineLevel="0" collapsed="false">
      <c r="A101" s="7"/>
      <c r="B101" s="19" t="s">
        <v>4</v>
      </c>
      <c r="C101" s="153" t="s">
        <v>5</v>
      </c>
      <c r="D101" s="153" t="s">
        <v>5</v>
      </c>
      <c r="E101" s="153" t="s">
        <v>5</v>
      </c>
      <c r="F101" s="153" t="s">
        <v>6</v>
      </c>
      <c r="G101" s="153" t="s">
        <v>7</v>
      </c>
      <c r="H101" s="153" t="s">
        <v>5</v>
      </c>
      <c r="I101" s="153" t="s">
        <v>8</v>
      </c>
      <c r="J101" s="153" t="s">
        <v>9</v>
      </c>
      <c r="K101" s="153" t="s">
        <v>5</v>
      </c>
      <c r="L101" s="153" t="s">
        <v>10</v>
      </c>
      <c r="M101" s="153"/>
      <c r="N101" s="153"/>
      <c r="O101" s="153"/>
      <c r="P101" s="153"/>
      <c r="Q101" s="20"/>
      <c r="R101" s="0"/>
      <c r="S101" s="0"/>
      <c r="T101" s="7"/>
      <c r="U101" s="7"/>
      <c r="V101" s="153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</row>
    <row r="102" customFormat="false" ht="12.75" hidden="false" customHeight="false" outlineLevel="0" collapsed="false">
      <c r="A102" s="7"/>
      <c r="B102" s="24" t="s">
        <v>11</v>
      </c>
      <c r="C102" s="154" t="s">
        <v>11</v>
      </c>
      <c r="D102" s="154" t="s">
        <v>12</v>
      </c>
      <c r="E102" s="154" t="s">
        <v>13</v>
      </c>
      <c r="F102" s="154" t="s">
        <v>14</v>
      </c>
      <c r="G102" s="154" t="s">
        <v>15</v>
      </c>
      <c r="H102" s="154" t="s">
        <v>16</v>
      </c>
      <c r="I102" s="154" t="s">
        <v>17</v>
      </c>
      <c r="J102" s="154"/>
      <c r="K102" s="154" t="s">
        <v>18</v>
      </c>
      <c r="L102" s="154"/>
      <c r="M102" s="155" t="s">
        <v>86</v>
      </c>
      <c r="N102" s="155"/>
      <c r="O102" s="155"/>
      <c r="P102" s="155"/>
      <c r="Q102" s="25"/>
      <c r="R102" s="0"/>
      <c r="S102" s="0"/>
      <c r="T102" s="7"/>
      <c r="U102" s="7"/>
      <c r="V102" s="154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</row>
    <row r="103" customFormat="false" ht="12.75" hidden="false" customHeight="false" outlineLevel="0" collapsed="false">
      <c r="A103" s="7"/>
      <c r="B103" s="24"/>
      <c r="C103" s="154"/>
      <c r="D103" s="154"/>
      <c r="E103" s="154"/>
      <c r="F103" s="154"/>
      <c r="G103" s="154"/>
      <c r="H103" s="154"/>
      <c r="I103" s="154" t="s">
        <v>21</v>
      </c>
      <c r="J103" s="154"/>
      <c r="K103" s="154" t="s">
        <v>87</v>
      </c>
      <c r="L103" s="154"/>
      <c r="M103" s="154" t="s">
        <v>23</v>
      </c>
      <c r="N103" s="154" t="s">
        <v>88</v>
      </c>
      <c r="O103" s="154" t="s">
        <v>89</v>
      </c>
      <c r="P103" s="156" t="s">
        <v>90</v>
      </c>
      <c r="Q103" s="156"/>
      <c r="R103" s="0"/>
      <c r="S103" s="0"/>
      <c r="T103" s="7"/>
      <c r="U103" s="7"/>
      <c r="V103" s="26" t="s">
        <v>25</v>
      </c>
      <c r="W103" s="22" t="s">
        <v>91</v>
      </c>
      <c r="X103" s="22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</row>
    <row r="104" customFormat="false" ht="12.75" hidden="false" customHeight="false" outlineLevel="0" collapsed="false">
      <c r="A104" s="7"/>
      <c r="B104" s="157"/>
      <c r="C104" s="155"/>
      <c r="D104" s="155"/>
      <c r="E104" s="155"/>
      <c r="F104" s="155"/>
      <c r="G104" s="155"/>
      <c r="H104" s="155"/>
      <c r="I104" s="155" t="s">
        <v>27</v>
      </c>
      <c r="J104" s="155"/>
      <c r="K104" s="155" t="s">
        <v>92</v>
      </c>
      <c r="L104" s="158"/>
      <c r="M104" s="155" t="s">
        <v>29</v>
      </c>
      <c r="N104" s="155" t="s">
        <v>29</v>
      </c>
      <c r="O104" s="155" t="s">
        <v>29</v>
      </c>
      <c r="P104" s="155" t="s">
        <v>30</v>
      </c>
      <c r="Q104" s="159" t="s">
        <v>31</v>
      </c>
      <c r="R104" s="0"/>
      <c r="S104" s="0"/>
      <c r="T104" s="7"/>
      <c r="U104" s="7"/>
      <c r="V104" s="33" t="s">
        <v>33</v>
      </c>
      <c r="W104" s="30" t="s">
        <v>26</v>
      </c>
      <c r="X104" s="30"/>
      <c r="Y104" s="160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</row>
    <row r="105" customFormat="false" ht="22.5" hidden="true" customHeight="false" outlineLevel="0" collapsed="false">
      <c r="A105" s="160"/>
      <c r="B105" s="161" t="s">
        <v>30</v>
      </c>
      <c r="C105" s="161" t="s">
        <v>48</v>
      </c>
      <c r="D105" s="161" t="n">
        <v>25834</v>
      </c>
      <c r="E105" s="161" t="s">
        <v>35</v>
      </c>
      <c r="F105" s="162" t="s">
        <v>49</v>
      </c>
      <c r="G105" s="163"/>
      <c r="H105" s="164" t="s">
        <v>93</v>
      </c>
      <c r="I105" s="163"/>
      <c r="J105" s="163"/>
      <c r="K105" s="165" t="n">
        <f aca="false">-Elpaso_6!F15</f>
        <v>15000000</v>
      </c>
      <c r="L105" s="166"/>
      <c r="M105" s="167" t="n">
        <f aca="false">-Elpaso_6!I15</f>
        <v>-6992000.00000001</v>
      </c>
      <c r="N105" s="163"/>
      <c r="O105" s="168" t="n">
        <f aca="false">+M105</f>
        <v>-6992000.00000001</v>
      </c>
      <c r="P105" s="163"/>
      <c r="Q105" s="169"/>
      <c r="R105" s="0"/>
      <c r="S105" s="0"/>
      <c r="T105" s="160"/>
      <c r="U105" s="160"/>
      <c r="V105" s="167"/>
      <c r="W105" s="7" t="s">
        <v>30</v>
      </c>
      <c r="X105" s="7" t="s">
        <v>31</v>
      </c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0"/>
      <c r="CA105" s="160"/>
      <c r="CB105" s="160"/>
      <c r="CC105" s="160"/>
      <c r="CD105" s="160"/>
      <c r="CE105" s="160"/>
      <c r="CF105" s="160"/>
      <c r="CG105" s="160"/>
      <c r="CH105" s="160"/>
      <c r="CI105" s="160"/>
      <c r="CJ105" s="160"/>
      <c r="CK105" s="160"/>
      <c r="CL105" s="160"/>
      <c r="CM105" s="160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0"/>
      <c r="EC105" s="160"/>
      <c r="ED105" s="160"/>
      <c r="EE105" s="160"/>
      <c r="EF105" s="160"/>
      <c r="EG105" s="160"/>
      <c r="EH105" s="160"/>
      <c r="EI105" s="160"/>
      <c r="EJ105" s="160"/>
      <c r="EK105" s="160"/>
      <c r="EL105" s="160"/>
      <c r="EM105" s="160"/>
      <c r="EN105" s="160"/>
      <c r="EO105" s="160"/>
      <c r="EP105" s="160"/>
      <c r="EQ105" s="160"/>
      <c r="ER105" s="160"/>
      <c r="ES105" s="160"/>
      <c r="ET105" s="160"/>
      <c r="EU105" s="160"/>
      <c r="EV105" s="160"/>
      <c r="EW105" s="160"/>
      <c r="EX105" s="160"/>
      <c r="EY105" s="160"/>
      <c r="EZ105" s="160"/>
      <c r="FA105" s="160"/>
      <c r="FB105" s="160"/>
      <c r="FC105" s="160"/>
      <c r="FD105" s="160"/>
      <c r="FE105" s="160"/>
      <c r="FF105" s="160"/>
      <c r="FG105" s="160"/>
      <c r="FH105" s="160"/>
      <c r="FI105" s="160"/>
      <c r="FJ105" s="160"/>
      <c r="FK105" s="160"/>
      <c r="FL105" s="160"/>
      <c r="FM105" s="160"/>
      <c r="FN105" s="160"/>
      <c r="FO105" s="160"/>
      <c r="FP105" s="160"/>
      <c r="FQ105" s="160"/>
      <c r="FR105" s="160"/>
      <c r="FS105" s="160"/>
      <c r="FT105" s="160"/>
      <c r="FU105" s="160"/>
      <c r="FV105" s="160"/>
      <c r="FW105" s="160"/>
      <c r="FX105" s="160"/>
      <c r="FY105" s="160"/>
      <c r="FZ105" s="160"/>
      <c r="GA105" s="160"/>
      <c r="GB105" s="160"/>
      <c r="GC105" s="160"/>
      <c r="GD105" s="160"/>
      <c r="GE105" s="160"/>
      <c r="GF105" s="160"/>
      <c r="GG105" s="160"/>
      <c r="GH105" s="160"/>
      <c r="GI105" s="160"/>
      <c r="GJ105" s="160"/>
      <c r="GK105" s="160"/>
      <c r="GL105" s="160"/>
      <c r="GM105" s="160"/>
      <c r="GN105" s="160"/>
      <c r="GO105" s="160"/>
      <c r="GP105" s="160"/>
      <c r="GQ105" s="160"/>
      <c r="GR105" s="160"/>
      <c r="GS105" s="160"/>
      <c r="GT105" s="160"/>
      <c r="GU105" s="160"/>
      <c r="GV105" s="160"/>
      <c r="GW105" s="160"/>
      <c r="GX105" s="160"/>
      <c r="GY105" s="160"/>
      <c r="GZ105" s="160"/>
      <c r="HA105" s="160"/>
      <c r="HB105" s="160"/>
      <c r="HC105" s="160"/>
      <c r="HD105" s="160"/>
      <c r="HE105" s="160"/>
      <c r="HF105" s="160"/>
      <c r="HG105" s="160"/>
      <c r="HH105" s="160"/>
      <c r="HI105" s="160"/>
      <c r="HJ105" s="160"/>
      <c r="HK105" s="160"/>
      <c r="HL105" s="160"/>
      <c r="HM105" s="160"/>
      <c r="HN105" s="160"/>
      <c r="HO105" s="160"/>
      <c r="HP105" s="160"/>
      <c r="HQ105" s="160"/>
      <c r="HR105" s="160"/>
      <c r="HS105" s="160"/>
      <c r="HT105" s="160"/>
      <c r="HU105" s="160"/>
      <c r="HV105" s="160"/>
      <c r="HW105" s="160"/>
      <c r="HX105" s="160"/>
      <c r="HY105" s="160"/>
      <c r="HZ105" s="160"/>
      <c r="IA105" s="160"/>
      <c r="IB105" s="160"/>
      <c r="IC105" s="160"/>
      <c r="ID105" s="160"/>
      <c r="IE105" s="160"/>
      <c r="IF105" s="160"/>
      <c r="IG105" s="160"/>
      <c r="IH105" s="160"/>
      <c r="II105" s="160"/>
      <c r="IJ105" s="160"/>
      <c r="IK105" s="160"/>
      <c r="IL105" s="160"/>
      <c r="IM105" s="160"/>
      <c r="IN105" s="160"/>
      <c r="IO105" s="160"/>
      <c r="IP105" s="160"/>
      <c r="IQ105" s="160"/>
      <c r="IR105" s="160"/>
      <c r="IS105" s="160"/>
      <c r="IT105" s="160"/>
      <c r="IU105" s="160"/>
      <c r="IV105" s="160"/>
      <c r="IW105" s="160"/>
    </row>
    <row r="106" customFormat="false" ht="12.75" hidden="false" customHeight="false" outlineLevel="0" collapsed="false">
      <c r="A106" s="160"/>
      <c r="B106" s="34" t="s">
        <v>30</v>
      </c>
      <c r="C106" s="45" t="s">
        <v>52</v>
      </c>
      <c r="D106" s="161" t="s">
        <v>94</v>
      </c>
      <c r="E106" s="45" t="s">
        <v>45</v>
      </c>
      <c r="F106" s="162" t="s">
        <v>95</v>
      </c>
      <c r="G106" s="163"/>
      <c r="H106" s="170" t="n">
        <v>3.3</v>
      </c>
      <c r="I106" s="171" t="n">
        <f aca="false">SUM(Elpaso_6!G9:G13)+SUM(Elpaso_6!H9:H13)/5</f>
        <v>3.7602</v>
      </c>
      <c r="J106" s="171" t="n">
        <f aca="false">+H106-I106</f>
        <v>-0.4602</v>
      </c>
      <c r="K106" s="165" t="n">
        <v>15000000</v>
      </c>
      <c r="L106" s="165" t="n">
        <f aca="false">+K106/153</f>
        <v>98039.2156862745</v>
      </c>
      <c r="M106" s="167" t="n">
        <f aca="false">-Elpaso_6!I15</f>
        <v>-6992000.00000001</v>
      </c>
      <c r="N106" s="167" t="n">
        <f aca="false">-Elpaso_6!J15</f>
        <v>-0</v>
      </c>
      <c r="O106" s="168" t="n">
        <f aca="false">+M106</f>
        <v>-6992000.00000001</v>
      </c>
      <c r="P106" s="172" t="n">
        <f aca="false">-O106</f>
        <v>6992000.00000001</v>
      </c>
      <c r="Q106" s="173"/>
      <c r="R106" s="0"/>
      <c r="S106" s="0"/>
      <c r="T106" s="160"/>
      <c r="U106" s="160"/>
      <c r="V106" s="168" t="n">
        <f aca="false">+N106</f>
        <v>-0</v>
      </c>
      <c r="W106" s="88" t="n">
        <f aca="false">IF($Y106="NNG",-V106,"")</f>
        <v>0</v>
      </c>
      <c r="X106" s="88" t="str">
        <f aca="false">IF(Y106="TW",-V106,"")</f>
        <v/>
      </c>
      <c r="Y106" s="34" t="s">
        <v>30</v>
      </c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0"/>
      <c r="BF106" s="160"/>
      <c r="BG106" s="160"/>
      <c r="BH106" s="160"/>
      <c r="BI106" s="160"/>
      <c r="BJ106" s="160"/>
      <c r="BK106" s="160"/>
      <c r="BL106" s="160"/>
      <c r="BM106" s="160"/>
      <c r="BN106" s="160"/>
      <c r="BO106" s="160"/>
      <c r="BP106" s="160"/>
      <c r="BQ106" s="160"/>
      <c r="BR106" s="160"/>
      <c r="BS106" s="160"/>
      <c r="BT106" s="160"/>
      <c r="BU106" s="160"/>
      <c r="BV106" s="160"/>
      <c r="BW106" s="160"/>
      <c r="BX106" s="160"/>
      <c r="BY106" s="160"/>
      <c r="BZ106" s="160"/>
      <c r="CA106" s="160"/>
      <c r="CB106" s="160"/>
      <c r="CC106" s="160"/>
      <c r="CD106" s="160"/>
      <c r="CE106" s="160"/>
      <c r="CF106" s="160"/>
      <c r="CG106" s="160"/>
      <c r="CH106" s="160"/>
      <c r="CI106" s="160"/>
      <c r="CJ106" s="160"/>
      <c r="CK106" s="160"/>
      <c r="CL106" s="160"/>
      <c r="CM106" s="160"/>
      <c r="CN106" s="160"/>
      <c r="CO106" s="160"/>
      <c r="CP106" s="160"/>
      <c r="CQ106" s="160"/>
      <c r="CR106" s="160"/>
      <c r="CS106" s="160"/>
      <c r="CT106" s="160"/>
      <c r="CU106" s="160"/>
      <c r="CV106" s="160"/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  <c r="DO106" s="160"/>
      <c r="DP106" s="160"/>
      <c r="DQ106" s="160"/>
      <c r="DR106" s="160"/>
      <c r="DS106" s="160"/>
      <c r="DT106" s="160"/>
      <c r="DU106" s="160"/>
      <c r="DV106" s="160"/>
      <c r="DW106" s="160"/>
      <c r="DX106" s="160"/>
      <c r="DY106" s="160"/>
      <c r="DZ106" s="160"/>
      <c r="EA106" s="160"/>
      <c r="EB106" s="160"/>
      <c r="EC106" s="160"/>
      <c r="ED106" s="160"/>
      <c r="EE106" s="160"/>
      <c r="EF106" s="160"/>
      <c r="EG106" s="160"/>
      <c r="EH106" s="160"/>
      <c r="EI106" s="160"/>
      <c r="EJ106" s="160"/>
      <c r="EK106" s="160"/>
      <c r="EL106" s="160"/>
      <c r="EM106" s="160"/>
      <c r="EN106" s="160"/>
      <c r="EO106" s="160"/>
      <c r="EP106" s="160"/>
      <c r="EQ106" s="160"/>
      <c r="ER106" s="160"/>
      <c r="ES106" s="160"/>
      <c r="ET106" s="160"/>
      <c r="EU106" s="160"/>
      <c r="EV106" s="160"/>
      <c r="EW106" s="160"/>
      <c r="EX106" s="160"/>
      <c r="EY106" s="160"/>
      <c r="EZ106" s="160"/>
      <c r="FA106" s="160"/>
      <c r="FB106" s="160"/>
      <c r="FC106" s="160"/>
      <c r="FD106" s="160"/>
      <c r="FE106" s="160"/>
      <c r="FF106" s="160"/>
      <c r="FG106" s="160"/>
      <c r="FH106" s="160"/>
      <c r="FI106" s="160"/>
      <c r="FJ106" s="160"/>
      <c r="FK106" s="160"/>
      <c r="FL106" s="160"/>
      <c r="FM106" s="160"/>
      <c r="FN106" s="160"/>
      <c r="FO106" s="160"/>
      <c r="FP106" s="160"/>
      <c r="FQ106" s="160"/>
      <c r="FR106" s="160"/>
      <c r="FS106" s="160"/>
      <c r="FT106" s="160"/>
      <c r="FU106" s="160"/>
      <c r="FV106" s="160"/>
      <c r="FW106" s="160"/>
      <c r="FX106" s="160"/>
      <c r="FY106" s="160"/>
      <c r="FZ106" s="160"/>
      <c r="GA106" s="160"/>
      <c r="GB106" s="160"/>
      <c r="GC106" s="160"/>
      <c r="GD106" s="160"/>
      <c r="GE106" s="160"/>
      <c r="GF106" s="160"/>
      <c r="GG106" s="160"/>
      <c r="GH106" s="160"/>
      <c r="GI106" s="160"/>
      <c r="GJ106" s="160"/>
      <c r="GK106" s="160"/>
      <c r="GL106" s="160"/>
      <c r="GM106" s="160"/>
      <c r="GN106" s="160"/>
      <c r="GO106" s="160"/>
      <c r="GP106" s="160"/>
      <c r="GQ106" s="160"/>
      <c r="GR106" s="160"/>
      <c r="GS106" s="160"/>
      <c r="GT106" s="160"/>
      <c r="GU106" s="160"/>
      <c r="GV106" s="160"/>
      <c r="GW106" s="160"/>
      <c r="GX106" s="160"/>
      <c r="GY106" s="160"/>
      <c r="GZ106" s="160"/>
      <c r="HA106" s="160"/>
      <c r="HB106" s="160"/>
      <c r="HC106" s="160"/>
      <c r="HD106" s="160"/>
      <c r="HE106" s="160"/>
      <c r="HF106" s="160"/>
      <c r="HG106" s="160"/>
      <c r="HH106" s="160"/>
      <c r="HI106" s="160"/>
      <c r="HJ106" s="160"/>
      <c r="HK106" s="160"/>
      <c r="HL106" s="160"/>
      <c r="HM106" s="160"/>
      <c r="HN106" s="160"/>
      <c r="HO106" s="160"/>
      <c r="HP106" s="160"/>
      <c r="HQ106" s="160"/>
      <c r="HR106" s="160"/>
      <c r="HS106" s="160"/>
      <c r="HT106" s="160"/>
      <c r="HU106" s="160"/>
      <c r="HV106" s="160"/>
      <c r="HW106" s="160"/>
      <c r="HX106" s="160"/>
      <c r="HY106" s="160"/>
      <c r="HZ106" s="160"/>
      <c r="IA106" s="160"/>
      <c r="IB106" s="160"/>
      <c r="IC106" s="160"/>
      <c r="ID106" s="160"/>
      <c r="IE106" s="160"/>
      <c r="IF106" s="160"/>
      <c r="IG106" s="160"/>
      <c r="IH106" s="160"/>
      <c r="II106" s="160"/>
      <c r="IJ106" s="160"/>
      <c r="IK106" s="160"/>
      <c r="IL106" s="160"/>
      <c r="IM106" s="160"/>
      <c r="IN106" s="160"/>
      <c r="IO106" s="160"/>
      <c r="IP106" s="160"/>
      <c r="IQ106" s="160"/>
      <c r="IR106" s="160"/>
      <c r="IS106" s="160"/>
      <c r="IT106" s="160"/>
      <c r="IU106" s="160"/>
      <c r="IV106" s="160"/>
      <c r="IW106" s="160"/>
    </row>
    <row r="107" customFormat="false" ht="12.75" hidden="false" customHeight="false" outlineLevel="0" collapsed="false">
      <c r="A107" s="160"/>
      <c r="B107" s="45" t="s">
        <v>30</v>
      </c>
      <c r="C107" s="45" t="s">
        <v>48</v>
      </c>
      <c r="D107" s="161" t="n">
        <v>25834</v>
      </c>
      <c r="E107" s="45" t="s">
        <v>45</v>
      </c>
      <c r="F107" s="162" t="s">
        <v>95</v>
      </c>
      <c r="G107" s="163"/>
      <c r="H107" s="174" t="n">
        <v>2.32</v>
      </c>
      <c r="I107" s="175" t="n">
        <f aca="false">SUM(Elpaso_6!G17:G21)+SUM(Elpaso_6!H17:H21)/5</f>
        <v>3.7602</v>
      </c>
      <c r="J107" s="175" t="n">
        <f aca="false">+H107-I107</f>
        <v>-1.4402</v>
      </c>
      <c r="K107" s="176" t="n">
        <v>-15000000</v>
      </c>
      <c r="L107" s="176" t="n">
        <f aca="false">+K107/153</f>
        <v>-98039.2156862745</v>
      </c>
      <c r="M107" s="177" t="n">
        <f aca="false">-Elpaso_6!I23</f>
        <v>21692000</v>
      </c>
      <c r="N107" s="177" t="n">
        <f aca="false">-Elpaso_6!J23</f>
        <v>-0</v>
      </c>
      <c r="O107" s="177" t="n">
        <f aca="false">+M107</f>
        <v>21692000</v>
      </c>
      <c r="P107" s="104" t="n">
        <f aca="false">-O107</f>
        <v>-21692000</v>
      </c>
      <c r="Q107" s="98"/>
      <c r="R107" s="0"/>
      <c r="S107" s="0"/>
      <c r="T107" s="160"/>
      <c r="U107" s="160"/>
      <c r="V107" s="177" t="n">
        <f aca="false">+N107</f>
        <v>-0</v>
      </c>
      <c r="W107" s="88" t="n">
        <f aca="false">IF($Y107="NNG",-V107,"")</f>
        <v>0</v>
      </c>
      <c r="X107" s="88" t="str">
        <f aca="false">IF(Y107="TW",-V107,"")</f>
        <v/>
      </c>
      <c r="Y107" s="45" t="s">
        <v>30</v>
      </c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0"/>
      <c r="BB107" s="160"/>
      <c r="BC107" s="160"/>
      <c r="BD107" s="160"/>
      <c r="BE107" s="160"/>
      <c r="BF107" s="160"/>
      <c r="BG107" s="160"/>
      <c r="BH107" s="160"/>
      <c r="BI107" s="160"/>
      <c r="BJ107" s="160"/>
      <c r="BK107" s="160"/>
      <c r="BL107" s="160"/>
      <c r="BM107" s="160"/>
      <c r="BN107" s="160"/>
      <c r="BO107" s="160"/>
      <c r="BP107" s="160"/>
      <c r="BQ107" s="160"/>
      <c r="BR107" s="160"/>
      <c r="BS107" s="160"/>
      <c r="BT107" s="160"/>
      <c r="BU107" s="160"/>
      <c r="BV107" s="160"/>
      <c r="BW107" s="160"/>
      <c r="BX107" s="160"/>
      <c r="BY107" s="160"/>
      <c r="BZ107" s="160"/>
      <c r="CA107" s="160"/>
      <c r="CB107" s="160"/>
      <c r="CC107" s="160"/>
      <c r="CD107" s="160"/>
      <c r="CE107" s="160"/>
      <c r="CF107" s="160"/>
      <c r="CG107" s="160"/>
      <c r="CH107" s="160"/>
      <c r="CI107" s="160"/>
      <c r="CJ107" s="160"/>
      <c r="CK107" s="160"/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0"/>
      <c r="DY107" s="160"/>
      <c r="DZ107" s="160"/>
      <c r="EA107" s="160"/>
      <c r="EB107" s="160"/>
      <c r="EC107" s="160"/>
      <c r="ED107" s="160"/>
      <c r="EE107" s="160"/>
      <c r="EF107" s="160"/>
      <c r="EG107" s="160"/>
      <c r="EH107" s="160"/>
      <c r="EI107" s="160"/>
      <c r="EJ107" s="160"/>
      <c r="EK107" s="160"/>
      <c r="EL107" s="160"/>
      <c r="EM107" s="160"/>
      <c r="EN107" s="160"/>
      <c r="EO107" s="160"/>
      <c r="EP107" s="160"/>
      <c r="EQ107" s="160"/>
      <c r="ER107" s="160"/>
      <c r="ES107" s="160"/>
      <c r="ET107" s="160"/>
      <c r="EU107" s="160"/>
      <c r="EV107" s="160"/>
      <c r="EW107" s="160"/>
      <c r="EX107" s="160"/>
      <c r="EY107" s="160"/>
      <c r="EZ107" s="160"/>
      <c r="FA107" s="160"/>
      <c r="FB107" s="160"/>
      <c r="FC107" s="160"/>
      <c r="FD107" s="160"/>
      <c r="FE107" s="160"/>
      <c r="FF107" s="160"/>
      <c r="FG107" s="160"/>
      <c r="FH107" s="160"/>
      <c r="FI107" s="160"/>
      <c r="FJ107" s="160"/>
      <c r="FK107" s="160"/>
      <c r="FL107" s="160"/>
      <c r="FM107" s="160"/>
      <c r="FN107" s="160"/>
      <c r="FO107" s="160"/>
      <c r="FP107" s="160"/>
      <c r="FQ107" s="160"/>
      <c r="FR107" s="160"/>
      <c r="FS107" s="160"/>
      <c r="FT107" s="160"/>
      <c r="FU107" s="160"/>
      <c r="FV107" s="160"/>
      <c r="FW107" s="160"/>
      <c r="FX107" s="160"/>
      <c r="FY107" s="160"/>
      <c r="FZ107" s="160"/>
      <c r="GA107" s="160"/>
      <c r="GB107" s="160"/>
      <c r="GC107" s="160"/>
      <c r="GD107" s="160"/>
      <c r="GE107" s="160"/>
      <c r="GF107" s="160"/>
      <c r="GG107" s="160"/>
      <c r="GH107" s="160"/>
      <c r="GI107" s="160"/>
      <c r="GJ107" s="160"/>
      <c r="GK107" s="160"/>
      <c r="GL107" s="160"/>
      <c r="GM107" s="160"/>
      <c r="GN107" s="160"/>
      <c r="GO107" s="160"/>
      <c r="GP107" s="160"/>
      <c r="GQ107" s="160"/>
      <c r="GR107" s="160"/>
      <c r="GS107" s="160"/>
      <c r="GT107" s="160"/>
      <c r="GU107" s="160"/>
      <c r="GV107" s="160"/>
      <c r="GW107" s="160"/>
      <c r="GX107" s="160"/>
      <c r="GY107" s="160"/>
      <c r="GZ107" s="160"/>
      <c r="HA107" s="160"/>
      <c r="HB107" s="160"/>
      <c r="HC107" s="160"/>
      <c r="HD107" s="160"/>
      <c r="HE107" s="160"/>
      <c r="HF107" s="160"/>
      <c r="HG107" s="160"/>
      <c r="HH107" s="160"/>
      <c r="HI107" s="160"/>
      <c r="HJ107" s="160"/>
      <c r="HK107" s="160"/>
      <c r="HL107" s="160"/>
      <c r="HM107" s="160"/>
      <c r="HN107" s="160"/>
      <c r="HO107" s="160"/>
      <c r="HP107" s="160"/>
      <c r="HQ107" s="160"/>
      <c r="HR107" s="160"/>
      <c r="HS107" s="160"/>
      <c r="HT107" s="160"/>
      <c r="HU107" s="160"/>
      <c r="HV107" s="160"/>
      <c r="HW107" s="160"/>
      <c r="HX107" s="160"/>
      <c r="HY107" s="160"/>
      <c r="HZ107" s="160"/>
      <c r="IA107" s="160"/>
      <c r="IB107" s="160"/>
      <c r="IC107" s="160"/>
      <c r="ID107" s="160"/>
      <c r="IE107" s="160"/>
      <c r="IF107" s="160"/>
      <c r="IG107" s="160"/>
      <c r="IH107" s="160"/>
      <c r="II107" s="160"/>
      <c r="IJ107" s="160"/>
      <c r="IK107" s="160"/>
      <c r="IL107" s="160"/>
      <c r="IM107" s="160"/>
      <c r="IN107" s="160"/>
      <c r="IO107" s="160"/>
      <c r="IP107" s="160"/>
      <c r="IQ107" s="160"/>
      <c r="IR107" s="160"/>
      <c r="IS107" s="160"/>
      <c r="IT107" s="160"/>
      <c r="IU107" s="160"/>
      <c r="IV107" s="160"/>
      <c r="IW107" s="160"/>
    </row>
    <row r="108" customFormat="false" ht="12.75" hidden="false" customHeight="false" outlineLevel="0" collapsed="false">
      <c r="A108" s="160"/>
      <c r="B108" s="45"/>
      <c r="C108" s="45"/>
      <c r="D108" s="161"/>
      <c r="E108" s="161"/>
      <c r="F108" s="162"/>
      <c r="G108" s="163"/>
      <c r="H108" s="170"/>
      <c r="I108" s="171"/>
      <c r="J108" s="171"/>
      <c r="K108" s="165" t="n">
        <f aca="false">+K106+K107</f>
        <v>0</v>
      </c>
      <c r="L108" s="165" t="n">
        <f aca="false">+K108/153</f>
        <v>0</v>
      </c>
      <c r="M108" s="167" t="n">
        <f aca="false">+M107+M106</f>
        <v>14700000</v>
      </c>
      <c r="N108" s="167" t="n">
        <f aca="false">+N107+N106</f>
        <v>-0</v>
      </c>
      <c r="O108" s="168" t="n">
        <f aca="false">+O107+O106</f>
        <v>14700000</v>
      </c>
      <c r="P108" s="178"/>
      <c r="Q108" s="98"/>
      <c r="R108" s="0"/>
      <c r="S108" s="0"/>
      <c r="T108" s="160"/>
      <c r="U108" s="160"/>
      <c r="V108" s="168" t="n">
        <f aca="false">+V107+V106</f>
        <v>-0</v>
      </c>
      <c r="W108" s="88" t="str">
        <f aca="false">IF($Y108="NNG",-V108,"")</f>
        <v/>
      </c>
      <c r="X108" s="88" t="str">
        <f aca="false">IF(Y108="TW",-V108,"")</f>
        <v/>
      </c>
      <c r="Y108" s="45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/>
      <c r="BO108" s="160"/>
      <c r="BP108" s="160"/>
      <c r="BQ108" s="160"/>
      <c r="BR108" s="160"/>
      <c r="BS108" s="160"/>
      <c r="BT108" s="160"/>
      <c r="BU108" s="160"/>
      <c r="BV108" s="160"/>
      <c r="BW108" s="160"/>
      <c r="BX108" s="160"/>
      <c r="BY108" s="160"/>
      <c r="BZ108" s="160"/>
      <c r="CA108" s="160"/>
      <c r="CB108" s="160"/>
      <c r="CC108" s="160"/>
      <c r="CD108" s="160"/>
      <c r="CE108" s="160"/>
      <c r="CF108" s="160"/>
      <c r="CG108" s="160"/>
      <c r="CH108" s="160"/>
      <c r="CI108" s="160"/>
      <c r="CJ108" s="160"/>
      <c r="CK108" s="160"/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0"/>
      <c r="EC108" s="160"/>
      <c r="ED108" s="160"/>
      <c r="EE108" s="160"/>
      <c r="EF108" s="160"/>
      <c r="EG108" s="160"/>
      <c r="EH108" s="160"/>
      <c r="EI108" s="160"/>
      <c r="EJ108" s="160"/>
      <c r="EK108" s="160"/>
      <c r="EL108" s="160"/>
      <c r="EM108" s="160"/>
      <c r="EN108" s="160"/>
      <c r="EO108" s="160"/>
      <c r="EP108" s="160"/>
      <c r="EQ108" s="160"/>
      <c r="ER108" s="160"/>
      <c r="ES108" s="160"/>
      <c r="ET108" s="160"/>
      <c r="EU108" s="160"/>
      <c r="EV108" s="160"/>
      <c r="EW108" s="160"/>
      <c r="EX108" s="160"/>
      <c r="EY108" s="160"/>
      <c r="EZ108" s="160"/>
      <c r="FA108" s="160"/>
      <c r="FB108" s="160"/>
      <c r="FC108" s="160"/>
      <c r="FD108" s="160"/>
      <c r="FE108" s="160"/>
      <c r="FF108" s="160"/>
      <c r="FG108" s="160"/>
      <c r="FH108" s="160"/>
      <c r="FI108" s="160"/>
      <c r="FJ108" s="160"/>
      <c r="FK108" s="160"/>
      <c r="FL108" s="160"/>
      <c r="FM108" s="160"/>
      <c r="FN108" s="160"/>
      <c r="FO108" s="160"/>
      <c r="FP108" s="160"/>
      <c r="FQ108" s="160"/>
      <c r="FR108" s="160"/>
      <c r="FS108" s="160"/>
      <c r="FT108" s="160"/>
      <c r="FU108" s="160"/>
      <c r="FV108" s="160"/>
      <c r="FW108" s="160"/>
      <c r="FX108" s="160"/>
      <c r="FY108" s="160"/>
      <c r="FZ108" s="160"/>
      <c r="GA108" s="160"/>
      <c r="GB108" s="160"/>
      <c r="GC108" s="160"/>
      <c r="GD108" s="160"/>
      <c r="GE108" s="160"/>
      <c r="GF108" s="160"/>
      <c r="GG108" s="160"/>
      <c r="GH108" s="160"/>
      <c r="GI108" s="160"/>
      <c r="GJ108" s="160"/>
      <c r="GK108" s="160"/>
      <c r="GL108" s="160"/>
      <c r="GM108" s="160"/>
      <c r="GN108" s="160"/>
      <c r="GO108" s="160"/>
      <c r="GP108" s="160"/>
      <c r="GQ108" s="160"/>
      <c r="GR108" s="160"/>
      <c r="GS108" s="160"/>
      <c r="GT108" s="160"/>
      <c r="GU108" s="160"/>
      <c r="GV108" s="160"/>
      <c r="GW108" s="160"/>
      <c r="GX108" s="160"/>
      <c r="GY108" s="160"/>
      <c r="GZ108" s="160"/>
      <c r="HA108" s="160"/>
      <c r="HB108" s="160"/>
      <c r="HC108" s="160"/>
      <c r="HD108" s="160"/>
      <c r="HE108" s="160"/>
      <c r="HF108" s="160"/>
      <c r="HG108" s="160"/>
      <c r="HH108" s="160"/>
      <c r="HI108" s="160"/>
      <c r="HJ108" s="160"/>
      <c r="HK108" s="160"/>
      <c r="HL108" s="160"/>
      <c r="HM108" s="160"/>
      <c r="HN108" s="160"/>
      <c r="HO108" s="160"/>
      <c r="HP108" s="160"/>
      <c r="HQ108" s="160"/>
      <c r="HR108" s="160"/>
      <c r="HS108" s="160"/>
      <c r="HT108" s="160"/>
      <c r="HU108" s="160"/>
      <c r="HV108" s="160"/>
      <c r="HW108" s="160"/>
      <c r="HX108" s="160"/>
      <c r="HY108" s="160"/>
      <c r="HZ108" s="160"/>
      <c r="IA108" s="160"/>
      <c r="IB108" s="160"/>
      <c r="IC108" s="160"/>
      <c r="ID108" s="160"/>
      <c r="IE108" s="160"/>
      <c r="IF108" s="160"/>
      <c r="IG108" s="160"/>
      <c r="IH108" s="160"/>
      <c r="II108" s="160"/>
      <c r="IJ108" s="160"/>
      <c r="IK108" s="160"/>
      <c r="IL108" s="160"/>
      <c r="IM108" s="160"/>
      <c r="IN108" s="160"/>
      <c r="IO108" s="160"/>
      <c r="IP108" s="160"/>
      <c r="IQ108" s="160"/>
      <c r="IR108" s="160"/>
      <c r="IS108" s="160"/>
      <c r="IT108" s="160"/>
      <c r="IU108" s="160"/>
      <c r="IV108" s="160"/>
      <c r="IW108" s="160"/>
    </row>
    <row r="109" customFormat="false" ht="8.1" hidden="false" customHeight="true" outlineLevel="0" collapsed="false">
      <c r="A109" s="160"/>
      <c r="B109" s="45"/>
      <c r="C109" s="45"/>
      <c r="D109" s="161"/>
      <c r="E109" s="161"/>
      <c r="F109" s="162"/>
      <c r="G109" s="163"/>
      <c r="H109" s="170"/>
      <c r="I109" s="171"/>
      <c r="J109" s="171"/>
      <c r="K109" s="165"/>
      <c r="L109" s="165"/>
      <c r="M109" s="167"/>
      <c r="N109" s="163"/>
      <c r="O109" s="179"/>
      <c r="P109" s="178"/>
      <c r="Q109" s="98"/>
      <c r="R109" s="0"/>
      <c r="S109" s="0"/>
      <c r="T109" s="160"/>
      <c r="U109" s="160"/>
      <c r="V109" s="179"/>
      <c r="W109" s="88" t="str">
        <f aca="false">IF($Y109="NNG",-V109,"")</f>
        <v/>
      </c>
      <c r="X109" s="88" t="str">
        <f aca="false">IF(Y109="TW",-V109,"")</f>
        <v/>
      </c>
      <c r="Y109" s="45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  <c r="BI109" s="160"/>
      <c r="BJ109" s="160"/>
      <c r="BK109" s="160"/>
      <c r="BL109" s="160"/>
      <c r="BM109" s="160"/>
      <c r="BN109" s="160"/>
      <c r="BO109" s="160"/>
      <c r="BP109" s="160"/>
      <c r="BQ109" s="160"/>
      <c r="BR109" s="160"/>
      <c r="BS109" s="160"/>
      <c r="BT109" s="160"/>
      <c r="BU109" s="160"/>
      <c r="BV109" s="160"/>
      <c r="BW109" s="160"/>
      <c r="BX109" s="160"/>
      <c r="BY109" s="160"/>
      <c r="BZ109" s="160"/>
      <c r="CA109" s="160"/>
      <c r="CB109" s="160"/>
      <c r="CC109" s="160"/>
      <c r="CD109" s="160"/>
      <c r="CE109" s="160"/>
      <c r="CF109" s="160"/>
      <c r="CG109" s="160"/>
      <c r="CH109" s="160"/>
      <c r="CI109" s="160"/>
      <c r="CJ109" s="160"/>
      <c r="CK109" s="160"/>
      <c r="CL109" s="160"/>
      <c r="CM109" s="160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0"/>
      <c r="DU109" s="160"/>
      <c r="DV109" s="160"/>
      <c r="DW109" s="160"/>
      <c r="DX109" s="160"/>
      <c r="DY109" s="160"/>
      <c r="DZ109" s="160"/>
      <c r="EA109" s="160"/>
      <c r="EB109" s="160"/>
      <c r="EC109" s="160"/>
      <c r="ED109" s="160"/>
      <c r="EE109" s="160"/>
      <c r="EF109" s="160"/>
      <c r="EG109" s="160"/>
      <c r="EH109" s="160"/>
      <c r="EI109" s="160"/>
      <c r="EJ109" s="160"/>
      <c r="EK109" s="160"/>
      <c r="EL109" s="160"/>
      <c r="EM109" s="160"/>
      <c r="EN109" s="160"/>
      <c r="EO109" s="160"/>
      <c r="EP109" s="160"/>
      <c r="EQ109" s="160"/>
      <c r="ER109" s="160"/>
      <c r="ES109" s="160"/>
      <c r="ET109" s="160"/>
      <c r="EU109" s="160"/>
      <c r="EV109" s="160"/>
      <c r="EW109" s="160"/>
      <c r="EX109" s="160"/>
      <c r="EY109" s="160"/>
      <c r="EZ109" s="160"/>
      <c r="FA109" s="160"/>
      <c r="FB109" s="160"/>
      <c r="FC109" s="160"/>
      <c r="FD109" s="160"/>
      <c r="FE109" s="160"/>
      <c r="FF109" s="160"/>
      <c r="FG109" s="160"/>
      <c r="FH109" s="160"/>
      <c r="FI109" s="160"/>
      <c r="FJ109" s="160"/>
      <c r="FK109" s="160"/>
      <c r="FL109" s="160"/>
      <c r="FM109" s="160"/>
      <c r="FN109" s="160"/>
      <c r="FO109" s="160"/>
      <c r="FP109" s="160"/>
      <c r="FQ109" s="160"/>
      <c r="FR109" s="160"/>
      <c r="FS109" s="160"/>
      <c r="FT109" s="160"/>
      <c r="FU109" s="160"/>
      <c r="FV109" s="160"/>
      <c r="FW109" s="160"/>
      <c r="FX109" s="160"/>
      <c r="FY109" s="160"/>
      <c r="FZ109" s="160"/>
      <c r="GA109" s="160"/>
      <c r="GB109" s="160"/>
      <c r="GC109" s="160"/>
      <c r="GD109" s="160"/>
      <c r="GE109" s="160"/>
      <c r="GF109" s="160"/>
      <c r="GG109" s="160"/>
      <c r="GH109" s="160"/>
      <c r="GI109" s="160"/>
      <c r="GJ109" s="160"/>
      <c r="GK109" s="160"/>
      <c r="GL109" s="160"/>
      <c r="GM109" s="160"/>
      <c r="GN109" s="160"/>
      <c r="GO109" s="160"/>
      <c r="GP109" s="160"/>
      <c r="GQ109" s="160"/>
      <c r="GR109" s="160"/>
      <c r="GS109" s="160"/>
      <c r="GT109" s="160"/>
      <c r="GU109" s="160"/>
      <c r="GV109" s="160"/>
      <c r="GW109" s="160"/>
      <c r="GX109" s="160"/>
      <c r="GY109" s="160"/>
      <c r="GZ109" s="160"/>
      <c r="HA109" s="160"/>
      <c r="HB109" s="160"/>
      <c r="HC109" s="160"/>
      <c r="HD109" s="160"/>
      <c r="HE109" s="160"/>
      <c r="HF109" s="160"/>
      <c r="HG109" s="160"/>
      <c r="HH109" s="160"/>
      <c r="HI109" s="160"/>
      <c r="HJ109" s="160"/>
      <c r="HK109" s="160"/>
      <c r="HL109" s="160"/>
      <c r="HM109" s="160"/>
      <c r="HN109" s="160"/>
      <c r="HO109" s="160"/>
      <c r="HP109" s="160"/>
      <c r="HQ109" s="160"/>
      <c r="HR109" s="160"/>
      <c r="HS109" s="160"/>
      <c r="HT109" s="160"/>
      <c r="HU109" s="160"/>
      <c r="HV109" s="160"/>
      <c r="HW109" s="160"/>
      <c r="HX109" s="160"/>
      <c r="HY109" s="160"/>
      <c r="HZ109" s="160"/>
      <c r="IA109" s="160"/>
      <c r="IB109" s="160"/>
      <c r="IC109" s="160"/>
      <c r="ID109" s="160"/>
      <c r="IE109" s="160"/>
      <c r="IF109" s="160"/>
      <c r="IG109" s="160"/>
      <c r="IH109" s="160"/>
      <c r="II109" s="160"/>
      <c r="IJ109" s="160"/>
      <c r="IK109" s="160"/>
      <c r="IL109" s="160"/>
      <c r="IM109" s="160"/>
      <c r="IN109" s="160"/>
      <c r="IO109" s="160"/>
      <c r="IP109" s="160"/>
      <c r="IQ109" s="160"/>
      <c r="IR109" s="160"/>
      <c r="IS109" s="160"/>
      <c r="IT109" s="160"/>
      <c r="IU109" s="160"/>
      <c r="IV109" s="160"/>
      <c r="IW109" s="160"/>
    </row>
    <row r="110" customFormat="false" ht="12.75" hidden="false" customHeight="false" outlineLevel="0" collapsed="false">
      <c r="A110" s="160"/>
      <c r="B110" s="98" t="s">
        <v>30</v>
      </c>
      <c r="C110" s="98" t="s">
        <v>96</v>
      </c>
      <c r="D110" s="163"/>
      <c r="E110" s="98" t="s">
        <v>45</v>
      </c>
      <c r="F110" s="180" t="s">
        <v>97</v>
      </c>
      <c r="G110" s="163"/>
      <c r="H110" s="170" t="n">
        <v>0.94</v>
      </c>
      <c r="I110" s="170" t="n">
        <v>0.9</v>
      </c>
      <c r="J110" s="170" t="n">
        <v>0.04</v>
      </c>
      <c r="K110" s="165" t="n">
        <f aca="false">+[5]Summary!$F$36</f>
        <v>62401635.28848</v>
      </c>
      <c r="L110" s="165" t="n">
        <f aca="false">+K110/730</f>
        <v>85481.692176</v>
      </c>
      <c r="M110" s="167" t="n">
        <f aca="false">-[5]Summary!$I$36</f>
        <v>1535955.71449322</v>
      </c>
      <c r="N110" s="167" t="n">
        <f aca="false">-[5]Summary!$J$36</f>
        <v>449118.885815307</v>
      </c>
      <c r="O110" s="168" t="n">
        <f aca="false">-[5]Summary!$K$36</f>
        <v>1086836.82867791</v>
      </c>
      <c r="P110" s="104" t="n">
        <f aca="false">-O110</f>
        <v>-1086836.82867791</v>
      </c>
      <c r="Q110" s="98"/>
      <c r="R110" s="0"/>
      <c r="S110" s="0"/>
      <c r="T110" s="160"/>
      <c r="U110" s="160"/>
      <c r="V110" s="168" t="n">
        <f aca="false">-[5]Summary!$K$36</f>
        <v>1086836.82867791</v>
      </c>
      <c r="W110" s="88" t="n">
        <f aca="false">IF($Y110="NNG",-V110,"")</f>
        <v>-1086836.82867791</v>
      </c>
      <c r="X110" s="88" t="str">
        <f aca="false">IF(Y110="TW",-V110,"")</f>
        <v/>
      </c>
      <c r="Y110" s="98" t="s">
        <v>30</v>
      </c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  <c r="BI110" s="160"/>
      <c r="BJ110" s="160"/>
      <c r="BK110" s="160"/>
      <c r="BL110" s="160"/>
      <c r="BM110" s="160"/>
      <c r="BN110" s="160"/>
      <c r="BO110" s="160"/>
      <c r="BP110" s="160"/>
      <c r="BQ110" s="160"/>
      <c r="BR110" s="160"/>
      <c r="BS110" s="160"/>
      <c r="BT110" s="160"/>
      <c r="BU110" s="160"/>
      <c r="BV110" s="160"/>
      <c r="BW110" s="160"/>
      <c r="BX110" s="160"/>
      <c r="BY110" s="160"/>
      <c r="BZ110" s="160"/>
      <c r="CA110" s="160"/>
      <c r="CB110" s="160"/>
      <c r="CC110" s="160"/>
      <c r="CD110" s="160"/>
      <c r="CE110" s="160"/>
      <c r="CF110" s="160"/>
      <c r="CG110" s="160"/>
      <c r="CH110" s="160"/>
      <c r="CI110" s="160"/>
      <c r="CJ110" s="160"/>
      <c r="CK110" s="160"/>
      <c r="CL110" s="160"/>
      <c r="CM110" s="160"/>
      <c r="CN110" s="160"/>
      <c r="CO110" s="160"/>
      <c r="CP110" s="160"/>
      <c r="CQ110" s="160"/>
      <c r="CR110" s="160"/>
      <c r="CS110" s="160"/>
      <c r="CT110" s="160"/>
      <c r="CU110" s="160"/>
      <c r="CV110" s="160"/>
      <c r="CW110" s="160"/>
      <c r="CX110" s="160"/>
      <c r="CY110" s="160"/>
      <c r="CZ110" s="160"/>
      <c r="DA110" s="160"/>
      <c r="DB110" s="160"/>
      <c r="DC110" s="160"/>
      <c r="DD110" s="160"/>
      <c r="DE110" s="160"/>
      <c r="DF110" s="160"/>
      <c r="DG110" s="160"/>
      <c r="DH110" s="160"/>
      <c r="DI110" s="160"/>
      <c r="DJ110" s="160"/>
      <c r="DK110" s="160"/>
      <c r="DL110" s="160"/>
      <c r="DM110" s="160"/>
      <c r="DN110" s="160"/>
      <c r="DO110" s="160"/>
      <c r="DP110" s="160"/>
      <c r="DQ110" s="160"/>
      <c r="DR110" s="160"/>
      <c r="DS110" s="160"/>
      <c r="DT110" s="160"/>
      <c r="DU110" s="160"/>
      <c r="DV110" s="160"/>
      <c r="DW110" s="160"/>
      <c r="DX110" s="160"/>
      <c r="DY110" s="160"/>
      <c r="DZ110" s="160"/>
      <c r="EA110" s="160"/>
      <c r="EB110" s="160"/>
      <c r="EC110" s="160"/>
      <c r="ED110" s="160"/>
      <c r="EE110" s="160"/>
      <c r="EF110" s="160"/>
      <c r="EG110" s="160"/>
      <c r="EH110" s="160"/>
      <c r="EI110" s="160"/>
      <c r="EJ110" s="160"/>
      <c r="EK110" s="160"/>
      <c r="EL110" s="160"/>
      <c r="EM110" s="160"/>
      <c r="EN110" s="160"/>
      <c r="EO110" s="160"/>
      <c r="EP110" s="160"/>
      <c r="EQ110" s="160"/>
      <c r="ER110" s="160"/>
      <c r="ES110" s="160"/>
      <c r="ET110" s="160"/>
      <c r="EU110" s="160"/>
      <c r="EV110" s="160"/>
      <c r="EW110" s="160"/>
      <c r="EX110" s="160"/>
      <c r="EY110" s="160"/>
      <c r="EZ110" s="160"/>
      <c r="FA110" s="160"/>
      <c r="FB110" s="160"/>
      <c r="FC110" s="160"/>
      <c r="FD110" s="160"/>
      <c r="FE110" s="160"/>
      <c r="FF110" s="160"/>
      <c r="FG110" s="160"/>
      <c r="FH110" s="160"/>
      <c r="FI110" s="160"/>
      <c r="FJ110" s="160"/>
      <c r="FK110" s="160"/>
      <c r="FL110" s="160"/>
      <c r="FM110" s="160"/>
      <c r="FN110" s="160"/>
      <c r="FO110" s="160"/>
      <c r="FP110" s="160"/>
      <c r="FQ110" s="160"/>
      <c r="FR110" s="160"/>
      <c r="FS110" s="160"/>
      <c r="FT110" s="160"/>
      <c r="FU110" s="160"/>
      <c r="FV110" s="160"/>
      <c r="FW110" s="160"/>
      <c r="FX110" s="160"/>
      <c r="FY110" s="160"/>
      <c r="FZ110" s="160"/>
      <c r="GA110" s="160"/>
      <c r="GB110" s="160"/>
      <c r="GC110" s="160"/>
      <c r="GD110" s="160"/>
      <c r="GE110" s="160"/>
      <c r="GF110" s="160"/>
      <c r="GG110" s="160"/>
      <c r="GH110" s="160"/>
      <c r="GI110" s="160"/>
      <c r="GJ110" s="160"/>
      <c r="GK110" s="160"/>
      <c r="GL110" s="160"/>
      <c r="GM110" s="160"/>
      <c r="GN110" s="160"/>
      <c r="GO110" s="160"/>
      <c r="GP110" s="160"/>
      <c r="GQ110" s="160"/>
      <c r="GR110" s="160"/>
      <c r="GS110" s="160"/>
      <c r="GT110" s="160"/>
      <c r="GU110" s="160"/>
      <c r="GV110" s="160"/>
      <c r="GW110" s="160"/>
      <c r="GX110" s="160"/>
      <c r="GY110" s="160"/>
      <c r="GZ110" s="160"/>
      <c r="HA110" s="160"/>
      <c r="HB110" s="160"/>
      <c r="HC110" s="160"/>
      <c r="HD110" s="160"/>
      <c r="HE110" s="160"/>
      <c r="HF110" s="160"/>
      <c r="HG110" s="160"/>
      <c r="HH110" s="160"/>
      <c r="HI110" s="160"/>
      <c r="HJ110" s="160"/>
      <c r="HK110" s="160"/>
      <c r="HL110" s="160"/>
      <c r="HM110" s="160"/>
      <c r="HN110" s="160"/>
      <c r="HO110" s="160"/>
      <c r="HP110" s="160"/>
      <c r="HQ110" s="160"/>
      <c r="HR110" s="160"/>
      <c r="HS110" s="160"/>
      <c r="HT110" s="160"/>
      <c r="HU110" s="160"/>
      <c r="HV110" s="160"/>
      <c r="HW110" s="160"/>
      <c r="HX110" s="160"/>
      <c r="HY110" s="160"/>
      <c r="HZ110" s="160"/>
      <c r="IA110" s="160"/>
      <c r="IB110" s="160"/>
      <c r="IC110" s="160"/>
      <c r="ID110" s="160"/>
      <c r="IE110" s="160"/>
      <c r="IF110" s="160"/>
      <c r="IG110" s="160"/>
      <c r="IH110" s="160"/>
      <c r="II110" s="160"/>
      <c r="IJ110" s="160"/>
      <c r="IK110" s="160"/>
      <c r="IL110" s="160"/>
      <c r="IM110" s="160"/>
      <c r="IN110" s="160"/>
      <c r="IO110" s="160"/>
      <c r="IP110" s="160"/>
      <c r="IQ110" s="160"/>
      <c r="IR110" s="160"/>
      <c r="IS110" s="160"/>
      <c r="IT110" s="160"/>
      <c r="IU110" s="160"/>
      <c r="IV110" s="160"/>
      <c r="IW110" s="160"/>
    </row>
    <row r="111" customFormat="false" ht="12.75" hidden="false" customHeight="false" outlineLevel="0" collapsed="false">
      <c r="A111" s="160"/>
      <c r="B111" s="45" t="s">
        <v>30</v>
      </c>
      <c r="C111" s="98" t="s">
        <v>96</v>
      </c>
      <c r="D111" s="180" t="s">
        <v>98</v>
      </c>
      <c r="E111" s="45" t="s">
        <v>45</v>
      </c>
      <c r="F111" s="180" t="s">
        <v>99</v>
      </c>
      <c r="G111" s="181" t="n">
        <v>36894</v>
      </c>
      <c r="H111" s="182" t="n">
        <f aca="false">SUM(SW17!D6:D16)/11</f>
        <v>4.00781818181818</v>
      </c>
      <c r="I111" s="182" t="n">
        <f aca="false">SUM(SW17!G20:G30)/11</f>
        <v>3.01890909090909</v>
      </c>
      <c r="J111" s="182" t="n">
        <f aca="false">+H111-I111</f>
        <v>0.98890909090909</v>
      </c>
      <c r="K111" s="165" t="n">
        <f aca="false">+SW17!F35</f>
        <v>6680000</v>
      </c>
      <c r="L111" s="165" t="n">
        <f aca="false">+K111/334</f>
        <v>20000</v>
      </c>
      <c r="M111" s="168" t="n">
        <f aca="false">-SW17!I37</f>
        <v>11881480</v>
      </c>
      <c r="N111" s="168" t="n">
        <f aca="false">-SW17!J37</f>
        <v>2229540</v>
      </c>
      <c r="O111" s="168" t="n">
        <f aca="false">-SW17!K37</f>
        <v>9651940</v>
      </c>
      <c r="P111" s="104" t="n">
        <f aca="false">-O111</f>
        <v>-9651940</v>
      </c>
      <c r="Q111" s="98"/>
      <c r="R111" s="0"/>
      <c r="S111" s="0"/>
      <c r="T111" s="160"/>
      <c r="U111" s="160"/>
      <c r="V111" s="168" t="n">
        <f aca="false">-SW17!L37</f>
        <v>9651940</v>
      </c>
      <c r="W111" s="88" t="n">
        <f aca="false">IF($Y111="NNG",-V111,"")</f>
        <v>-9651940</v>
      </c>
      <c r="X111" s="88" t="str">
        <f aca="false">IF(Y111="TW",-V111,"")</f>
        <v/>
      </c>
      <c r="Y111" s="45" t="s">
        <v>30</v>
      </c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60"/>
      <c r="BK111" s="160"/>
      <c r="BL111" s="160"/>
      <c r="BM111" s="160"/>
      <c r="BN111" s="160"/>
      <c r="BO111" s="160"/>
      <c r="BP111" s="160"/>
      <c r="BQ111" s="160"/>
      <c r="BR111" s="160"/>
      <c r="BS111" s="160"/>
      <c r="BT111" s="160"/>
      <c r="BU111" s="160"/>
      <c r="BV111" s="160"/>
      <c r="BW111" s="160"/>
      <c r="BX111" s="160"/>
      <c r="BY111" s="160"/>
      <c r="BZ111" s="160"/>
      <c r="CA111" s="160"/>
      <c r="CB111" s="160"/>
      <c r="CC111" s="160"/>
      <c r="CD111" s="160"/>
      <c r="CE111" s="160"/>
      <c r="CF111" s="160"/>
      <c r="CG111" s="160"/>
      <c r="CH111" s="160"/>
      <c r="CI111" s="160"/>
      <c r="CJ111" s="160"/>
      <c r="CK111" s="160"/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DU111" s="160"/>
      <c r="DV111" s="160"/>
      <c r="DW111" s="160"/>
      <c r="DX111" s="160"/>
      <c r="DY111" s="160"/>
      <c r="DZ111" s="160"/>
      <c r="EA111" s="160"/>
      <c r="EB111" s="160"/>
      <c r="EC111" s="160"/>
      <c r="ED111" s="160"/>
      <c r="EE111" s="160"/>
      <c r="EF111" s="160"/>
      <c r="EG111" s="160"/>
      <c r="EH111" s="160"/>
      <c r="EI111" s="160"/>
      <c r="EJ111" s="160"/>
      <c r="EK111" s="160"/>
      <c r="EL111" s="160"/>
      <c r="EM111" s="160"/>
      <c r="EN111" s="160"/>
      <c r="EO111" s="160"/>
      <c r="EP111" s="160"/>
      <c r="EQ111" s="160"/>
      <c r="ER111" s="160"/>
      <c r="ES111" s="160"/>
      <c r="ET111" s="160"/>
      <c r="EU111" s="160"/>
      <c r="EV111" s="160"/>
      <c r="EW111" s="160"/>
      <c r="EX111" s="160"/>
      <c r="EY111" s="160"/>
      <c r="EZ111" s="160"/>
      <c r="FA111" s="160"/>
      <c r="FB111" s="160"/>
      <c r="FC111" s="160"/>
      <c r="FD111" s="160"/>
      <c r="FE111" s="160"/>
      <c r="FF111" s="160"/>
      <c r="FG111" s="160"/>
      <c r="FH111" s="160"/>
      <c r="FI111" s="160"/>
      <c r="FJ111" s="160"/>
      <c r="FK111" s="160"/>
      <c r="FL111" s="160"/>
      <c r="FM111" s="160"/>
      <c r="FN111" s="160"/>
      <c r="FO111" s="160"/>
      <c r="FP111" s="160"/>
      <c r="FQ111" s="160"/>
      <c r="FR111" s="160"/>
      <c r="FS111" s="160"/>
      <c r="FT111" s="160"/>
      <c r="FU111" s="160"/>
      <c r="FV111" s="160"/>
      <c r="FW111" s="160"/>
      <c r="FX111" s="160"/>
      <c r="FY111" s="160"/>
      <c r="FZ111" s="160"/>
      <c r="GA111" s="160"/>
      <c r="GB111" s="160"/>
      <c r="GC111" s="160"/>
      <c r="GD111" s="160"/>
      <c r="GE111" s="160"/>
      <c r="GF111" s="160"/>
      <c r="GG111" s="160"/>
      <c r="GH111" s="160"/>
      <c r="GI111" s="160"/>
      <c r="GJ111" s="160"/>
      <c r="GK111" s="160"/>
      <c r="GL111" s="160"/>
      <c r="GM111" s="160"/>
      <c r="GN111" s="160"/>
      <c r="GO111" s="160"/>
      <c r="GP111" s="160"/>
      <c r="GQ111" s="160"/>
      <c r="GR111" s="160"/>
      <c r="GS111" s="160"/>
      <c r="GT111" s="160"/>
      <c r="GU111" s="160"/>
      <c r="GV111" s="160"/>
      <c r="GW111" s="160"/>
      <c r="GX111" s="160"/>
      <c r="GY111" s="160"/>
      <c r="GZ111" s="160"/>
      <c r="HA111" s="160"/>
      <c r="HB111" s="160"/>
      <c r="HC111" s="160"/>
      <c r="HD111" s="160"/>
      <c r="HE111" s="160"/>
      <c r="HF111" s="160"/>
      <c r="HG111" s="160"/>
      <c r="HH111" s="160"/>
      <c r="HI111" s="160"/>
      <c r="HJ111" s="160"/>
      <c r="HK111" s="160"/>
      <c r="HL111" s="160"/>
      <c r="HM111" s="160"/>
      <c r="HN111" s="160"/>
      <c r="HO111" s="160"/>
      <c r="HP111" s="160"/>
      <c r="HQ111" s="160"/>
      <c r="HR111" s="160"/>
      <c r="HS111" s="160"/>
      <c r="HT111" s="160"/>
      <c r="HU111" s="160"/>
      <c r="HV111" s="160"/>
      <c r="HW111" s="160"/>
      <c r="HX111" s="160"/>
      <c r="HY111" s="160"/>
      <c r="HZ111" s="160"/>
      <c r="IA111" s="160"/>
      <c r="IB111" s="160"/>
      <c r="IC111" s="160"/>
      <c r="ID111" s="160"/>
      <c r="IE111" s="160"/>
      <c r="IF111" s="160"/>
      <c r="IG111" s="160"/>
      <c r="IH111" s="160"/>
      <c r="II111" s="160"/>
      <c r="IJ111" s="160"/>
      <c r="IK111" s="160"/>
      <c r="IL111" s="160"/>
      <c r="IM111" s="160"/>
      <c r="IN111" s="160"/>
      <c r="IO111" s="160"/>
      <c r="IP111" s="160"/>
      <c r="IQ111" s="160"/>
      <c r="IR111" s="160"/>
      <c r="IS111" s="160"/>
      <c r="IT111" s="160"/>
      <c r="IU111" s="160"/>
      <c r="IV111" s="160"/>
      <c r="IW111" s="160"/>
    </row>
    <row r="112" customFormat="false" ht="12.75" hidden="false" customHeight="false" outlineLevel="0" collapsed="false">
      <c r="A112" s="160"/>
      <c r="B112" s="45" t="s">
        <v>30</v>
      </c>
      <c r="C112" s="98" t="s">
        <v>96</v>
      </c>
      <c r="D112" s="180" t="s">
        <v>100</v>
      </c>
      <c r="E112" s="45" t="s">
        <v>45</v>
      </c>
      <c r="F112" s="180" t="s">
        <v>99</v>
      </c>
      <c r="G112" s="181" t="n">
        <v>36894</v>
      </c>
      <c r="H112" s="183" t="n">
        <f aca="false">SUM(SW18!D6:D16)/11</f>
        <v>3.94545454545455</v>
      </c>
      <c r="I112" s="183" t="n">
        <f aca="false">SUM(SW18!G20:G30)/11</f>
        <v>3.01890909090909</v>
      </c>
      <c r="J112" s="183" t="n">
        <f aca="false">+H112-I112</f>
        <v>0.926545454545454</v>
      </c>
      <c r="K112" s="184" t="n">
        <f aca="false">+SW18!F35</f>
        <v>-6680000</v>
      </c>
      <c r="L112" s="176" t="n">
        <f aca="false">+K112/334</f>
        <v>-20000</v>
      </c>
      <c r="M112" s="177" t="n">
        <f aca="false">-SW18!I38</f>
        <v>-11226840</v>
      </c>
      <c r="N112" s="177" t="n">
        <f aca="false">-SW18!J38</f>
        <v>-1994340</v>
      </c>
      <c r="O112" s="177" t="n">
        <f aca="false">-SW18!K38</f>
        <v>-9232500</v>
      </c>
      <c r="P112" s="104" t="n">
        <f aca="false">-O112</f>
        <v>9232500</v>
      </c>
      <c r="Q112" s="98"/>
      <c r="R112" s="0"/>
      <c r="S112" s="0"/>
      <c r="T112" s="160"/>
      <c r="U112" s="160"/>
      <c r="V112" s="177" t="n">
        <f aca="false">-SW18!L38</f>
        <v>-9232500</v>
      </c>
      <c r="W112" s="88" t="n">
        <f aca="false">IF($Y112="NNG",-V112,"")</f>
        <v>9232500</v>
      </c>
      <c r="X112" s="88" t="str">
        <f aca="false">IF(Y112="TW",-V112,"")</f>
        <v/>
      </c>
      <c r="Y112" s="45" t="s">
        <v>30</v>
      </c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0"/>
      <c r="BB112" s="160"/>
      <c r="BC112" s="160"/>
      <c r="BD112" s="160"/>
      <c r="BE112" s="160"/>
      <c r="BF112" s="160"/>
      <c r="BG112" s="160"/>
      <c r="BH112" s="160"/>
      <c r="BI112" s="160"/>
      <c r="BJ112" s="160"/>
      <c r="BK112" s="160"/>
      <c r="BL112" s="160"/>
      <c r="BM112" s="160"/>
      <c r="BN112" s="160"/>
      <c r="BO112" s="160"/>
      <c r="BP112" s="160"/>
      <c r="BQ112" s="160"/>
      <c r="BR112" s="160"/>
      <c r="BS112" s="160"/>
      <c r="BT112" s="160"/>
      <c r="BU112" s="160"/>
      <c r="BV112" s="160"/>
      <c r="BW112" s="160"/>
      <c r="BX112" s="160"/>
      <c r="BY112" s="160"/>
      <c r="BZ112" s="160"/>
      <c r="CA112" s="160"/>
      <c r="CB112" s="160"/>
      <c r="CC112" s="160"/>
      <c r="CD112" s="160"/>
      <c r="CE112" s="160"/>
      <c r="CF112" s="160"/>
      <c r="CG112" s="160"/>
      <c r="CH112" s="160"/>
      <c r="CI112" s="160"/>
      <c r="CJ112" s="160"/>
      <c r="CK112" s="160"/>
      <c r="CL112" s="160"/>
      <c r="CM112" s="160"/>
      <c r="CN112" s="160"/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0"/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0"/>
      <c r="DY112" s="160"/>
      <c r="DZ112" s="160"/>
      <c r="EA112" s="160"/>
      <c r="EB112" s="160"/>
      <c r="EC112" s="160"/>
      <c r="ED112" s="160"/>
      <c r="EE112" s="160"/>
      <c r="EF112" s="160"/>
      <c r="EG112" s="160"/>
      <c r="EH112" s="160"/>
      <c r="EI112" s="160"/>
      <c r="EJ112" s="160"/>
      <c r="EK112" s="160"/>
      <c r="EL112" s="160"/>
      <c r="EM112" s="160"/>
      <c r="EN112" s="160"/>
      <c r="EO112" s="160"/>
      <c r="EP112" s="160"/>
      <c r="EQ112" s="160"/>
      <c r="ER112" s="160"/>
      <c r="ES112" s="160"/>
      <c r="ET112" s="160"/>
      <c r="EU112" s="160"/>
      <c r="EV112" s="160"/>
      <c r="EW112" s="160"/>
      <c r="EX112" s="160"/>
      <c r="EY112" s="160"/>
      <c r="EZ112" s="160"/>
      <c r="FA112" s="160"/>
      <c r="FB112" s="160"/>
      <c r="FC112" s="160"/>
      <c r="FD112" s="160"/>
      <c r="FE112" s="160"/>
      <c r="FF112" s="160"/>
      <c r="FG112" s="160"/>
      <c r="FH112" s="160"/>
      <c r="FI112" s="160"/>
      <c r="FJ112" s="160"/>
      <c r="FK112" s="160"/>
      <c r="FL112" s="160"/>
      <c r="FM112" s="160"/>
      <c r="FN112" s="160"/>
      <c r="FO112" s="160"/>
      <c r="FP112" s="160"/>
      <c r="FQ112" s="160"/>
      <c r="FR112" s="160"/>
      <c r="FS112" s="160"/>
      <c r="FT112" s="160"/>
      <c r="FU112" s="160"/>
      <c r="FV112" s="160"/>
      <c r="FW112" s="160"/>
      <c r="FX112" s="160"/>
      <c r="FY112" s="160"/>
      <c r="FZ112" s="160"/>
      <c r="GA112" s="160"/>
      <c r="GB112" s="160"/>
      <c r="GC112" s="160"/>
      <c r="GD112" s="160"/>
      <c r="GE112" s="160"/>
      <c r="GF112" s="160"/>
      <c r="GG112" s="160"/>
      <c r="GH112" s="160"/>
      <c r="GI112" s="160"/>
      <c r="GJ112" s="160"/>
      <c r="GK112" s="160"/>
      <c r="GL112" s="160"/>
      <c r="GM112" s="160"/>
      <c r="GN112" s="160"/>
      <c r="GO112" s="160"/>
      <c r="GP112" s="160"/>
      <c r="GQ112" s="160"/>
      <c r="GR112" s="160"/>
      <c r="GS112" s="160"/>
      <c r="GT112" s="160"/>
      <c r="GU112" s="160"/>
      <c r="GV112" s="160"/>
      <c r="GW112" s="160"/>
      <c r="GX112" s="160"/>
      <c r="GY112" s="160"/>
      <c r="GZ112" s="160"/>
      <c r="HA112" s="160"/>
      <c r="HB112" s="160"/>
      <c r="HC112" s="160"/>
      <c r="HD112" s="160"/>
      <c r="HE112" s="160"/>
      <c r="HF112" s="160"/>
      <c r="HG112" s="160"/>
      <c r="HH112" s="160"/>
      <c r="HI112" s="160"/>
      <c r="HJ112" s="160"/>
      <c r="HK112" s="160"/>
      <c r="HL112" s="160"/>
      <c r="HM112" s="160"/>
      <c r="HN112" s="160"/>
      <c r="HO112" s="160"/>
      <c r="HP112" s="160"/>
      <c r="HQ112" s="160"/>
      <c r="HR112" s="160"/>
      <c r="HS112" s="160"/>
      <c r="HT112" s="160"/>
      <c r="HU112" s="160"/>
      <c r="HV112" s="160"/>
      <c r="HW112" s="160"/>
      <c r="HX112" s="160"/>
      <c r="HY112" s="160"/>
      <c r="HZ112" s="160"/>
      <c r="IA112" s="160"/>
      <c r="IB112" s="160"/>
      <c r="IC112" s="160"/>
      <c r="ID112" s="160"/>
      <c r="IE112" s="160"/>
      <c r="IF112" s="160"/>
      <c r="IG112" s="160"/>
      <c r="IH112" s="160"/>
      <c r="II112" s="160"/>
      <c r="IJ112" s="160"/>
      <c r="IK112" s="160"/>
      <c r="IL112" s="160"/>
      <c r="IM112" s="160"/>
      <c r="IN112" s="160"/>
      <c r="IO112" s="160"/>
      <c r="IP112" s="160"/>
      <c r="IQ112" s="160"/>
      <c r="IR112" s="160"/>
      <c r="IS112" s="160"/>
      <c r="IT112" s="160"/>
      <c r="IU112" s="160"/>
      <c r="IV112" s="160"/>
      <c r="IW112" s="160"/>
    </row>
    <row r="113" customFormat="false" ht="12.75" hidden="false" customHeight="false" outlineLevel="0" collapsed="false">
      <c r="A113" s="160"/>
      <c r="B113" s="45"/>
      <c r="C113" s="98"/>
      <c r="D113" s="163"/>
      <c r="E113" s="45"/>
      <c r="F113" s="180"/>
      <c r="G113" s="163"/>
      <c r="H113" s="182" t="n">
        <f aca="false">+H111-H112</f>
        <v>0.062363636363636</v>
      </c>
      <c r="I113" s="182" t="n">
        <f aca="false">+I111-I112</f>
        <v>0</v>
      </c>
      <c r="J113" s="182" t="n">
        <f aca="false">+J111-J112</f>
        <v>0.062363636363636</v>
      </c>
      <c r="K113" s="165" t="n">
        <f aca="false">SUM(K110:K112)</f>
        <v>62401635.28848</v>
      </c>
      <c r="L113" s="165" t="n">
        <f aca="false">SUM(L110:L112)</f>
        <v>85481.692176</v>
      </c>
      <c r="M113" s="168" t="n">
        <f aca="false">SUM(M110:M112)</f>
        <v>2190595.71449322</v>
      </c>
      <c r="N113" s="168" t="n">
        <f aca="false">SUM(N110:N112)</f>
        <v>684318.885815307</v>
      </c>
      <c r="O113" s="168" t="n">
        <f aca="false">SUM(O110:O112)</f>
        <v>1506276.82867791</v>
      </c>
      <c r="P113" s="178"/>
      <c r="Q113" s="168"/>
      <c r="R113" s="0"/>
      <c r="S113" s="0"/>
      <c r="T113" s="160"/>
      <c r="U113" s="160"/>
      <c r="V113" s="168" t="n">
        <f aca="false">SUM(V110:V112)</f>
        <v>1506276.82867791</v>
      </c>
      <c r="W113" s="88" t="str">
        <f aca="false">IF($Y113="NNG",-V113,"")</f>
        <v/>
      </c>
      <c r="X113" s="88" t="str">
        <f aca="false">IF(Y113="TW",-V113,"")</f>
        <v/>
      </c>
      <c r="Y113" s="45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0"/>
      <c r="BB113" s="160"/>
      <c r="BC113" s="160"/>
      <c r="BD113" s="160"/>
      <c r="BE113" s="160"/>
      <c r="BF113" s="160"/>
      <c r="BG113" s="160"/>
      <c r="BH113" s="160"/>
      <c r="BI113" s="160"/>
      <c r="BJ113" s="160"/>
      <c r="BK113" s="160"/>
      <c r="BL113" s="160"/>
      <c r="BM113" s="160"/>
      <c r="BN113" s="160"/>
      <c r="BO113" s="160"/>
      <c r="BP113" s="160"/>
      <c r="BQ113" s="160"/>
      <c r="BR113" s="160"/>
      <c r="BS113" s="160"/>
      <c r="BT113" s="160"/>
      <c r="BU113" s="160"/>
      <c r="BV113" s="160"/>
      <c r="BW113" s="160"/>
      <c r="BX113" s="160"/>
      <c r="BY113" s="160"/>
      <c r="BZ113" s="160"/>
      <c r="CA113" s="160"/>
      <c r="CB113" s="160"/>
      <c r="CC113" s="160"/>
      <c r="CD113" s="160"/>
      <c r="CE113" s="160"/>
      <c r="CF113" s="160"/>
      <c r="CG113" s="160"/>
      <c r="CH113" s="160"/>
      <c r="CI113" s="160"/>
      <c r="CJ113" s="160"/>
      <c r="CK113" s="160"/>
      <c r="CL113" s="160"/>
      <c r="CM113" s="160"/>
      <c r="CN113" s="160"/>
      <c r="CO113" s="160"/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60"/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0"/>
      <c r="DY113" s="160"/>
      <c r="DZ113" s="160"/>
      <c r="EA113" s="160"/>
      <c r="EB113" s="160"/>
      <c r="EC113" s="160"/>
      <c r="ED113" s="160"/>
      <c r="EE113" s="160"/>
      <c r="EF113" s="160"/>
      <c r="EG113" s="160"/>
      <c r="EH113" s="160"/>
      <c r="EI113" s="160"/>
      <c r="EJ113" s="160"/>
      <c r="EK113" s="160"/>
      <c r="EL113" s="160"/>
      <c r="EM113" s="160"/>
      <c r="EN113" s="160"/>
      <c r="EO113" s="160"/>
      <c r="EP113" s="160"/>
      <c r="EQ113" s="160"/>
      <c r="ER113" s="160"/>
      <c r="ES113" s="160"/>
      <c r="ET113" s="160"/>
      <c r="EU113" s="160"/>
      <c r="EV113" s="160"/>
      <c r="EW113" s="160"/>
      <c r="EX113" s="160"/>
      <c r="EY113" s="160"/>
      <c r="EZ113" s="160"/>
      <c r="FA113" s="160"/>
      <c r="FB113" s="160"/>
      <c r="FC113" s="160"/>
      <c r="FD113" s="160"/>
      <c r="FE113" s="160"/>
      <c r="FF113" s="160"/>
      <c r="FG113" s="160"/>
      <c r="FH113" s="160"/>
      <c r="FI113" s="160"/>
      <c r="FJ113" s="160"/>
      <c r="FK113" s="160"/>
      <c r="FL113" s="160"/>
      <c r="FM113" s="160"/>
      <c r="FN113" s="160"/>
      <c r="FO113" s="160"/>
      <c r="FP113" s="160"/>
      <c r="FQ113" s="160"/>
      <c r="FR113" s="160"/>
      <c r="FS113" s="160"/>
      <c r="FT113" s="160"/>
      <c r="FU113" s="160"/>
      <c r="FV113" s="160"/>
      <c r="FW113" s="160"/>
      <c r="FX113" s="160"/>
      <c r="FY113" s="160"/>
      <c r="FZ113" s="160"/>
      <c r="GA113" s="160"/>
      <c r="GB113" s="160"/>
      <c r="GC113" s="160"/>
      <c r="GD113" s="160"/>
      <c r="GE113" s="160"/>
      <c r="GF113" s="160"/>
      <c r="GG113" s="160"/>
      <c r="GH113" s="160"/>
      <c r="GI113" s="160"/>
      <c r="GJ113" s="160"/>
      <c r="GK113" s="160"/>
      <c r="GL113" s="160"/>
      <c r="GM113" s="160"/>
      <c r="GN113" s="160"/>
      <c r="GO113" s="160"/>
      <c r="GP113" s="160"/>
      <c r="GQ113" s="160"/>
      <c r="GR113" s="160"/>
      <c r="GS113" s="160"/>
      <c r="GT113" s="160"/>
      <c r="GU113" s="160"/>
      <c r="GV113" s="160"/>
      <c r="GW113" s="160"/>
      <c r="GX113" s="160"/>
      <c r="GY113" s="160"/>
      <c r="GZ113" s="160"/>
      <c r="HA113" s="160"/>
      <c r="HB113" s="160"/>
      <c r="HC113" s="160"/>
      <c r="HD113" s="160"/>
      <c r="HE113" s="160"/>
      <c r="HF113" s="160"/>
      <c r="HG113" s="160"/>
      <c r="HH113" s="160"/>
      <c r="HI113" s="160"/>
      <c r="HJ113" s="160"/>
      <c r="HK113" s="160"/>
      <c r="HL113" s="160"/>
      <c r="HM113" s="160"/>
      <c r="HN113" s="160"/>
      <c r="HO113" s="160"/>
      <c r="HP113" s="160"/>
      <c r="HQ113" s="160"/>
      <c r="HR113" s="160"/>
      <c r="HS113" s="160"/>
      <c r="HT113" s="160"/>
      <c r="HU113" s="160"/>
      <c r="HV113" s="160"/>
      <c r="HW113" s="160"/>
      <c r="HX113" s="160"/>
      <c r="HY113" s="160"/>
      <c r="HZ113" s="160"/>
      <c r="IA113" s="160"/>
      <c r="IB113" s="160"/>
      <c r="IC113" s="160"/>
      <c r="ID113" s="160"/>
      <c r="IE113" s="160"/>
      <c r="IF113" s="160"/>
      <c r="IG113" s="160"/>
      <c r="IH113" s="160"/>
      <c r="II113" s="160"/>
      <c r="IJ113" s="160"/>
      <c r="IK113" s="160"/>
      <c r="IL113" s="160"/>
      <c r="IM113" s="160"/>
      <c r="IN113" s="160"/>
      <c r="IO113" s="160"/>
      <c r="IP113" s="160"/>
      <c r="IQ113" s="160"/>
      <c r="IR113" s="160"/>
      <c r="IS113" s="160"/>
      <c r="IT113" s="160"/>
      <c r="IU113" s="160"/>
      <c r="IV113" s="160"/>
      <c r="IW113" s="160"/>
    </row>
    <row r="114" customFormat="false" ht="8.1" hidden="false" customHeight="true" outlineLevel="0" collapsed="false">
      <c r="A114" s="160"/>
      <c r="B114" s="98"/>
      <c r="C114" s="98"/>
      <c r="D114" s="163"/>
      <c r="E114" s="98"/>
      <c r="F114" s="180"/>
      <c r="G114" s="163"/>
      <c r="H114" s="170"/>
      <c r="I114" s="170"/>
      <c r="J114" s="170"/>
      <c r="K114" s="165"/>
      <c r="L114" s="165"/>
      <c r="M114" s="168"/>
      <c r="N114" s="185"/>
      <c r="O114" s="185"/>
      <c r="P114" s="178"/>
      <c r="Q114" s="98"/>
      <c r="R114" s="0"/>
      <c r="S114" s="0"/>
      <c r="T114" s="160"/>
      <c r="U114" s="160"/>
      <c r="V114" s="185"/>
      <c r="W114" s="88" t="str">
        <f aca="false">IF($Y114="NNG",-V114,"")</f>
        <v/>
      </c>
      <c r="X114" s="88" t="str">
        <f aca="false">IF(Y114="TW",-V114,"")</f>
        <v/>
      </c>
      <c r="Y114" s="98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0"/>
      <c r="BN114" s="160"/>
      <c r="BO114" s="160"/>
      <c r="BP114" s="160"/>
      <c r="BQ114" s="160"/>
      <c r="BR114" s="160"/>
      <c r="BS114" s="160"/>
      <c r="BT114" s="160"/>
      <c r="BU114" s="160"/>
      <c r="BV114" s="160"/>
      <c r="BW114" s="160"/>
      <c r="BX114" s="160"/>
      <c r="BY114" s="160"/>
      <c r="BZ114" s="160"/>
      <c r="CA114" s="160"/>
      <c r="CB114" s="160"/>
      <c r="CC114" s="160"/>
      <c r="CD114" s="160"/>
      <c r="CE114" s="160"/>
      <c r="CF114" s="160"/>
      <c r="CG114" s="160"/>
      <c r="CH114" s="160"/>
      <c r="CI114" s="160"/>
      <c r="CJ114" s="160"/>
      <c r="CK114" s="160"/>
      <c r="CL114" s="160"/>
      <c r="CM114" s="160"/>
      <c r="CN114" s="160"/>
      <c r="CO114" s="160"/>
      <c r="CP114" s="160"/>
      <c r="CQ114" s="160"/>
      <c r="CR114" s="160"/>
      <c r="CS114" s="160"/>
      <c r="CT114" s="160"/>
      <c r="CU114" s="160"/>
      <c r="CV114" s="160"/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  <c r="DO114" s="160"/>
      <c r="DP114" s="160"/>
      <c r="DQ114" s="160"/>
      <c r="DR114" s="160"/>
      <c r="DS114" s="160"/>
      <c r="DT114" s="160"/>
      <c r="DU114" s="160"/>
      <c r="DV114" s="160"/>
      <c r="DW114" s="160"/>
      <c r="DX114" s="160"/>
      <c r="DY114" s="160"/>
      <c r="DZ114" s="160"/>
      <c r="EA114" s="160"/>
      <c r="EB114" s="160"/>
      <c r="EC114" s="160"/>
      <c r="ED114" s="160"/>
      <c r="EE114" s="160"/>
      <c r="EF114" s="160"/>
      <c r="EG114" s="160"/>
      <c r="EH114" s="160"/>
      <c r="EI114" s="160"/>
      <c r="EJ114" s="160"/>
      <c r="EK114" s="160"/>
      <c r="EL114" s="160"/>
      <c r="EM114" s="160"/>
      <c r="EN114" s="160"/>
      <c r="EO114" s="160"/>
      <c r="EP114" s="160"/>
      <c r="EQ114" s="160"/>
      <c r="ER114" s="160"/>
      <c r="ES114" s="160"/>
      <c r="ET114" s="160"/>
      <c r="EU114" s="160"/>
      <c r="EV114" s="160"/>
      <c r="EW114" s="160"/>
      <c r="EX114" s="160"/>
      <c r="EY114" s="160"/>
      <c r="EZ114" s="160"/>
      <c r="FA114" s="160"/>
      <c r="FB114" s="160"/>
      <c r="FC114" s="160"/>
      <c r="FD114" s="160"/>
      <c r="FE114" s="160"/>
      <c r="FF114" s="160"/>
      <c r="FG114" s="160"/>
      <c r="FH114" s="160"/>
      <c r="FI114" s="160"/>
      <c r="FJ114" s="160"/>
      <c r="FK114" s="160"/>
      <c r="FL114" s="160"/>
      <c r="FM114" s="160"/>
      <c r="FN114" s="160"/>
      <c r="FO114" s="160"/>
      <c r="FP114" s="160"/>
      <c r="FQ114" s="160"/>
      <c r="FR114" s="160"/>
      <c r="FS114" s="160"/>
      <c r="FT114" s="160"/>
      <c r="FU114" s="160"/>
      <c r="FV114" s="160"/>
      <c r="FW114" s="160"/>
      <c r="FX114" s="160"/>
      <c r="FY114" s="160"/>
      <c r="FZ114" s="160"/>
      <c r="GA114" s="160"/>
      <c r="GB114" s="160"/>
      <c r="GC114" s="160"/>
      <c r="GD114" s="160"/>
      <c r="GE114" s="160"/>
      <c r="GF114" s="160"/>
      <c r="GG114" s="160"/>
      <c r="GH114" s="160"/>
      <c r="GI114" s="160"/>
      <c r="GJ114" s="160"/>
      <c r="GK114" s="160"/>
      <c r="GL114" s="160"/>
      <c r="GM114" s="160"/>
      <c r="GN114" s="160"/>
      <c r="GO114" s="160"/>
      <c r="GP114" s="160"/>
      <c r="GQ114" s="160"/>
      <c r="GR114" s="160"/>
      <c r="GS114" s="160"/>
      <c r="GT114" s="160"/>
      <c r="GU114" s="160"/>
      <c r="GV114" s="160"/>
      <c r="GW114" s="160"/>
      <c r="GX114" s="160"/>
      <c r="GY114" s="160"/>
      <c r="GZ114" s="160"/>
      <c r="HA114" s="160"/>
      <c r="HB114" s="160"/>
      <c r="HC114" s="160"/>
      <c r="HD114" s="160"/>
      <c r="HE114" s="160"/>
      <c r="HF114" s="160"/>
      <c r="HG114" s="160"/>
      <c r="HH114" s="160"/>
      <c r="HI114" s="160"/>
      <c r="HJ114" s="160"/>
      <c r="HK114" s="160"/>
      <c r="HL114" s="160"/>
      <c r="HM114" s="160"/>
      <c r="HN114" s="160"/>
      <c r="HO114" s="160"/>
      <c r="HP114" s="160"/>
      <c r="HQ114" s="160"/>
      <c r="HR114" s="160"/>
      <c r="HS114" s="160"/>
      <c r="HT114" s="160"/>
      <c r="HU114" s="160"/>
      <c r="HV114" s="160"/>
      <c r="HW114" s="160"/>
      <c r="HX114" s="160"/>
      <c r="HY114" s="160"/>
      <c r="HZ114" s="160"/>
      <c r="IA114" s="160"/>
      <c r="IB114" s="160"/>
      <c r="IC114" s="160"/>
      <c r="ID114" s="160"/>
      <c r="IE114" s="160"/>
      <c r="IF114" s="160"/>
      <c r="IG114" s="160"/>
      <c r="IH114" s="160"/>
      <c r="II114" s="160"/>
      <c r="IJ114" s="160"/>
      <c r="IK114" s="160"/>
      <c r="IL114" s="160"/>
      <c r="IM114" s="160"/>
      <c r="IN114" s="160"/>
      <c r="IO114" s="160"/>
      <c r="IP114" s="160"/>
      <c r="IQ114" s="160"/>
      <c r="IR114" s="160"/>
      <c r="IS114" s="160"/>
      <c r="IT114" s="160"/>
      <c r="IU114" s="160"/>
      <c r="IV114" s="160"/>
      <c r="IW114" s="160"/>
    </row>
    <row r="115" customFormat="false" ht="12.75" hidden="false" customHeight="false" outlineLevel="0" collapsed="false">
      <c r="A115" s="160"/>
      <c r="B115" s="98" t="s">
        <v>30</v>
      </c>
      <c r="C115" s="98" t="s">
        <v>44</v>
      </c>
      <c r="D115" s="180" t="s">
        <v>101</v>
      </c>
      <c r="E115" s="98" t="s">
        <v>45</v>
      </c>
      <c r="F115" s="180" t="s">
        <v>102</v>
      </c>
      <c r="G115" s="181" t="n">
        <v>36837</v>
      </c>
      <c r="H115" s="170"/>
      <c r="I115" s="170"/>
      <c r="J115" s="170"/>
      <c r="K115" s="165"/>
      <c r="L115" s="165"/>
      <c r="M115" s="168" t="n">
        <f aca="false">-M337849!H36</f>
        <v>8765.32372786691</v>
      </c>
      <c r="N115" s="185" t="n">
        <f aca="false">-M337849!I36</f>
        <v>906.889296414272</v>
      </c>
      <c r="O115" s="185" t="n">
        <f aca="false">-M337849!J36</f>
        <v>7858.43443145264</v>
      </c>
      <c r="P115" s="104" t="n">
        <f aca="false">-O115</f>
        <v>-7858.43443145264</v>
      </c>
      <c r="Q115" s="98"/>
      <c r="R115" s="186" t="n">
        <v>35720.32</v>
      </c>
      <c r="S115" s="187" t="n">
        <f aca="false">+R115-O115-1539</f>
        <v>26322.8855685474</v>
      </c>
      <c r="T115" s="160"/>
      <c r="U115" s="160"/>
      <c r="V115" s="185" t="n">
        <f aca="false">-M337849!K36</f>
        <v>3639.6239349559</v>
      </c>
      <c r="W115" s="88" t="n">
        <f aca="false">IF($Y115="NNG",-V115,"")</f>
        <v>-3639.6239349559</v>
      </c>
      <c r="X115" s="88" t="str">
        <f aca="false">IF(Y115="TW",-V115,"")</f>
        <v/>
      </c>
      <c r="Y115" s="98" t="s">
        <v>30</v>
      </c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0"/>
      <c r="BN115" s="160"/>
      <c r="BO115" s="160"/>
      <c r="BP115" s="160"/>
      <c r="BQ115" s="160"/>
      <c r="BR115" s="160"/>
      <c r="BS115" s="160"/>
      <c r="BT115" s="160"/>
      <c r="BU115" s="160"/>
      <c r="BV115" s="160"/>
      <c r="BW115" s="160"/>
      <c r="BX115" s="160"/>
      <c r="BY115" s="160"/>
      <c r="BZ115" s="160"/>
      <c r="CA115" s="160"/>
      <c r="CB115" s="160"/>
      <c r="CC115" s="160"/>
      <c r="CD115" s="160"/>
      <c r="CE115" s="160"/>
      <c r="CF115" s="160"/>
      <c r="CG115" s="160"/>
      <c r="CH115" s="160"/>
      <c r="CI115" s="160"/>
      <c r="CJ115" s="160"/>
      <c r="CK115" s="160"/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0"/>
      <c r="EC115" s="160"/>
      <c r="ED115" s="160"/>
      <c r="EE115" s="160"/>
      <c r="EF115" s="160"/>
      <c r="EG115" s="160"/>
      <c r="EH115" s="160"/>
      <c r="EI115" s="160"/>
      <c r="EJ115" s="160"/>
      <c r="EK115" s="160"/>
      <c r="EL115" s="160"/>
      <c r="EM115" s="160"/>
      <c r="EN115" s="160"/>
      <c r="EO115" s="160"/>
      <c r="EP115" s="160"/>
      <c r="EQ115" s="160"/>
      <c r="ER115" s="160"/>
      <c r="ES115" s="160"/>
      <c r="ET115" s="160"/>
      <c r="EU115" s="160"/>
      <c r="EV115" s="160"/>
      <c r="EW115" s="160"/>
      <c r="EX115" s="160"/>
      <c r="EY115" s="160"/>
      <c r="EZ115" s="160"/>
      <c r="FA115" s="160"/>
      <c r="FB115" s="160"/>
      <c r="FC115" s="160"/>
      <c r="FD115" s="160"/>
      <c r="FE115" s="160"/>
      <c r="FF115" s="160"/>
      <c r="FG115" s="160"/>
      <c r="FH115" s="160"/>
      <c r="FI115" s="160"/>
      <c r="FJ115" s="160"/>
      <c r="FK115" s="160"/>
      <c r="FL115" s="160"/>
      <c r="FM115" s="160"/>
      <c r="FN115" s="160"/>
      <c r="FO115" s="160"/>
      <c r="FP115" s="160"/>
      <c r="FQ115" s="160"/>
      <c r="FR115" s="160"/>
      <c r="FS115" s="160"/>
      <c r="FT115" s="160"/>
      <c r="FU115" s="160"/>
      <c r="FV115" s="160"/>
      <c r="FW115" s="160"/>
      <c r="FX115" s="160"/>
      <c r="FY115" s="160"/>
      <c r="FZ115" s="160"/>
      <c r="GA115" s="160"/>
      <c r="GB115" s="160"/>
      <c r="GC115" s="160"/>
      <c r="GD115" s="160"/>
      <c r="GE115" s="160"/>
      <c r="GF115" s="160"/>
      <c r="GG115" s="160"/>
      <c r="GH115" s="160"/>
      <c r="GI115" s="160"/>
      <c r="GJ115" s="160"/>
      <c r="GK115" s="160"/>
      <c r="GL115" s="160"/>
      <c r="GM115" s="160"/>
      <c r="GN115" s="160"/>
      <c r="GO115" s="160"/>
      <c r="GP115" s="160"/>
      <c r="GQ115" s="160"/>
      <c r="GR115" s="160"/>
      <c r="GS115" s="160"/>
      <c r="GT115" s="160"/>
      <c r="GU115" s="160"/>
      <c r="GV115" s="160"/>
      <c r="GW115" s="160"/>
      <c r="GX115" s="160"/>
      <c r="GY115" s="160"/>
      <c r="GZ115" s="160"/>
      <c r="HA115" s="160"/>
      <c r="HB115" s="160"/>
      <c r="HC115" s="160"/>
      <c r="HD115" s="160"/>
      <c r="HE115" s="160"/>
      <c r="HF115" s="160"/>
      <c r="HG115" s="160"/>
      <c r="HH115" s="160"/>
      <c r="HI115" s="160"/>
      <c r="HJ115" s="160"/>
      <c r="HK115" s="160"/>
      <c r="HL115" s="160"/>
      <c r="HM115" s="160"/>
      <c r="HN115" s="160"/>
      <c r="HO115" s="160"/>
      <c r="HP115" s="160"/>
      <c r="HQ115" s="160"/>
      <c r="HR115" s="160"/>
      <c r="HS115" s="160"/>
      <c r="HT115" s="160"/>
      <c r="HU115" s="160"/>
      <c r="HV115" s="160"/>
      <c r="HW115" s="160"/>
      <c r="HX115" s="160"/>
      <c r="HY115" s="160"/>
      <c r="HZ115" s="160"/>
      <c r="IA115" s="160"/>
      <c r="IB115" s="160"/>
      <c r="IC115" s="160"/>
      <c r="ID115" s="160"/>
      <c r="IE115" s="160"/>
      <c r="IF115" s="160"/>
      <c r="IG115" s="160"/>
      <c r="IH115" s="160"/>
      <c r="II115" s="160"/>
      <c r="IJ115" s="160"/>
      <c r="IK115" s="160"/>
      <c r="IL115" s="160"/>
      <c r="IM115" s="160"/>
      <c r="IN115" s="160"/>
      <c r="IO115" s="160"/>
      <c r="IP115" s="160"/>
      <c r="IQ115" s="160"/>
      <c r="IR115" s="160"/>
      <c r="IS115" s="160"/>
      <c r="IT115" s="160"/>
      <c r="IU115" s="160"/>
      <c r="IV115" s="160"/>
      <c r="IW115" s="160"/>
    </row>
    <row r="116" customFormat="false" ht="8.1" hidden="false" customHeight="true" outlineLevel="0" collapsed="false">
      <c r="A116" s="160"/>
      <c r="B116" s="45"/>
      <c r="C116" s="98"/>
      <c r="D116" s="163"/>
      <c r="E116" s="45"/>
      <c r="F116" s="180"/>
      <c r="G116" s="163"/>
      <c r="H116" s="170"/>
      <c r="I116" s="170"/>
      <c r="J116" s="170"/>
      <c r="K116" s="165"/>
      <c r="L116" s="165"/>
      <c r="M116" s="168"/>
      <c r="N116" s="185"/>
      <c r="O116" s="185"/>
      <c r="P116" s="104"/>
      <c r="Q116" s="98"/>
      <c r="R116" s="0"/>
      <c r="S116" s="0"/>
      <c r="T116" s="160"/>
      <c r="U116" s="160"/>
      <c r="V116" s="185"/>
      <c r="W116" s="88" t="str">
        <f aca="false">IF($Y116="NNG",-V116,"")</f>
        <v/>
      </c>
      <c r="X116" s="88" t="str">
        <f aca="false">IF(Y116="TW",-V116,"")</f>
        <v/>
      </c>
      <c r="Y116" s="45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0"/>
      <c r="BN116" s="160"/>
      <c r="BO116" s="160"/>
      <c r="BP116" s="160"/>
      <c r="BQ116" s="160"/>
      <c r="BR116" s="160"/>
      <c r="BS116" s="160"/>
      <c r="BT116" s="160"/>
      <c r="BU116" s="160"/>
      <c r="BV116" s="160"/>
      <c r="BW116" s="160"/>
      <c r="BX116" s="160"/>
      <c r="BY116" s="160"/>
      <c r="BZ116" s="160"/>
      <c r="CA116" s="160"/>
      <c r="CB116" s="160"/>
      <c r="CC116" s="160"/>
      <c r="CD116" s="160"/>
      <c r="CE116" s="160"/>
      <c r="CF116" s="160"/>
      <c r="CG116" s="160"/>
      <c r="CH116" s="160"/>
      <c r="CI116" s="160"/>
      <c r="CJ116" s="160"/>
      <c r="CK116" s="160"/>
      <c r="CL116" s="160"/>
      <c r="CM116" s="160"/>
      <c r="CN116" s="160"/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0"/>
      <c r="DY116" s="160"/>
      <c r="DZ116" s="160"/>
      <c r="EA116" s="160"/>
      <c r="EB116" s="160"/>
      <c r="EC116" s="160"/>
      <c r="ED116" s="160"/>
      <c r="EE116" s="160"/>
      <c r="EF116" s="160"/>
      <c r="EG116" s="160"/>
      <c r="EH116" s="160"/>
      <c r="EI116" s="160"/>
      <c r="EJ116" s="160"/>
      <c r="EK116" s="160"/>
      <c r="EL116" s="160"/>
      <c r="EM116" s="160"/>
      <c r="EN116" s="160"/>
      <c r="EO116" s="160"/>
      <c r="EP116" s="160"/>
      <c r="EQ116" s="160"/>
      <c r="ER116" s="160"/>
      <c r="ES116" s="160"/>
      <c r="ET116" s="160"/>
      <c r="EU116" s="160"/>
      <c r="EV116" s="160"/>
      <c r="EW116" s="160"/>
      <c r="EX116" s="160"/>
      <c r="EY116" s="160"/>
      <c r="EZ116" s="160"/>
      <c r="FA116" s="160"/>
      <c r="FB116" s="160"/>
      <c r="FC116" s="160"/>
      <c r="FD116" s="160"/>
      <c r="FE116" s="160"/>
      <c r="FF116" s="160"/>
      <c r="FG116" s="160"/>
      <c r="FH116" s="160"/>
      <c r="FI116" s="160"/>
      <c r="FJ116" s="160"/>
      <c r="FK116" s="160"/>
      <c r="FL116" s="160"/>
      <c r="FM116" s="160"/>
      <c r="FN116" s="160"/>
      <c r="FO116" s="160"/>
      <c r="FP116" s="160"/>
      <c r="FQ116" s="160"/>
      <c r="FR116" s="160"/>
      <c r="FS116" s="160"/>
      <c r="FT116" s="160"/>
      <c r="FU116" s="160"/>
      <c r="FV116" s="160"/>
      <c r="FW116" s="160"/>
      <c r="FX116" s="160"/>
      <c r="FY116" s="160"/>
      <c r="FZ116" s="160"/>
      <c r="GA116" s="160"/>
      <c r="GB116" s="160"/>
      <c r="GC116" s="160"/>
      <c r="GD116" s="160"/>
      <c r="GE116" s="160"/>
      <c r="GF116" s="160"/>
      <c r="GG116" s="160"/>
      <c r="GH116" s="160"/>
      <c r="GI116" s="160"/>
      <c r="GJ116" s="160"/>
      <c r="GK116" s="160"/>
      <c r="GL116" s="160"/>
      <c r="GM116" s="160"/>
      <c r="GN116" s="160"/>
      <c r="GO116" s="160"/>
      <c r="GP116" s="160"/>
      <c r="GQ116" s="160"/>
      <c r="GR116" s="160"/>
      <c r="GS116" s="160"/>
      <c r="GT116" s="160"/>
      <c r="GU116" s="160"/>
      <c r="GV116" s="160"/>
      <c r="GW116" s="160"/>
      <c r="GX116" s="160"/>
      <c r="GY116" s="160"/>
      <c r="GZ116" s="160"/>
      <c r="HA116" s="160"/>
      <c r="HB116" s="160"/>
      <c r="HC116" s="160"/>
      <c r="HD116" s="160"/>
      <c r="HE116" s="160"/>
      <c r="HF116" s="160"/>
      <c r="HG116" s="160"/>
      <c r="HH116" s="160"/>
      <c r="HI116" s="160"/>
      <c r="HJ116" s="160"/>
      <c r="HK116" s="160"/>
      <c r="HL116" s="160"/>
      <c r="HM116" s="160"/>
      <c r="HN116" s="160"/>
      <c r="HO116" s="160"/>
      <c r="HP116" s="160"/>
      <c r="HQ116" s="160"/>
      <c r="HR116" s="160"/>
      <c r="HS116" s="160"/>
      <c r="HT116" s="160"/>
      <c r="HU116" s="160"/>
      <c r="HV116" s="160"/>
      <c r="HW116" s="160"/>
      <c r="HX116" s="160"/>
      <c r="HY116" s="160"/>
      <c r="HZ116" s="160"/>
      <c r="IA116" s="160"/>
      <c r="IB116" s="160"/>
      <c r="IC116" s="160"/>
      <c r="ID116" s="160"/>
      <c r="IE116" s="160"/>
      <c r="IF116" s="160"/>
      <c r="IG116" s="160"/>
      <c r="IH116" s="160"/>
      <c r="II116" s="160"/>
      <c r="IJ116" s="160"/>
      <c r="IK116" s="160"/>
      <c r="IL116" s="160"/>
      <c r="IM116" s="160"/>
      <c r="IN116" s="160"/>
      <c r="IO116" s="160"/>
      <c r="IP116" s="160"/>
      <c r="IQ116" s="160"/>
      <c r="IR116" s="160"/>
      <c r="IS116" s="160"/>
      <c r="IT116" s="160"/>
      <c r="IU116" s="160"/>
      <c r="IV116" s="160"/>
      <c r="IW116" s="160"/>
    </row>
    <row r="117" customFormat="false" ht="12.75" hidden="false" customHeight="false" outlineLevel="0" collapsed="false">
      <c r="A117" s="160"/>
      <c r="B117" s="45" t="s">
        <v>30</v>
      </c>
      <c r="C117" s="98" t="s">
        <v>103</v>
      </c>
      <c r="D117" s="180" t="n">
        <v>12007624</v>
      </c>
      <c r="E117" s="45" t="s">
        <v>45</v>
      </c>
      <c r="F117" s="180" t="s">
        <v>104</v>
      </c>
      <c r="G117" s="181" t="n">
        <v>36901</v>
      </c>
      <c r="H117" s="182" t="n">
        <f aca="false">+'12007624'!D10</f>
        <v>3.87</v>
      </c>
      <c r="I117" s="182" t="n">
        <f aca="false">+'12007624'!G14</f>
        <v>3.74</v>
      </c>
      <c r="J117" s="182" t="n">
        <f aca="false">+H117-I117</f>
        <v>0.13</v>
      </c>
      <c r="K117" s="165" t="n">
        <v>500000</v>
      </c>
      <c r="L117" s="165" t="n">
        <f aca="false">+K117/30</f>
        <v>16666.6666666667</v>
      </c>
      <c r="M117" s="168" t="n">
        <f aca="false">-'12007624'!I19</f>
        <v>65000</v>
      </c>
      <c r="N117" s="168" t="n">
        <f aca="false">-'12007624'!J19</f>
        <v>-0</v>
      </c>
      <c r="O117" s="168" t="n">
        <f aca="false">-'12007624'!K19</f>
        <v>65000</v>
      </c>
      <c r="P117" s="104" t="n">
        <f aca="false">-O117</f>
        <v>-65000</v>
      </c>
      <c r="Q117" s="98"/>
      <c r="R117" s="0"/>
      <c r="S117" s="0"/>
      <c r="T117" s="160"/>
      <c r="U117" s="160"/>
      <c r="V117" s="168" t="n">
        <f aca="false">-'12007624'!L19</f>
        <v>65000</v>
      </c>
      <c r="W117" s="88" t="n">
        <f aca="false">IF($Y117="NNG",-V117,"")</f>
        <v>-65000</v>
      </c>
      <c r="X117" s="88" t="str">
        <f aca="false">IF(Y117="TW",-V117,"")</f>
        <v/>
      </c>
      <c r="Y117" s="45" t="s">
        <v>30</v>
      </c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/>
      <c r="CL117" s="160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  <c r="EA117" s="160"/>
      <c r="EB117" s="160"/>
      <c r="EC117" s="160"/>
      <c r="ED117" s="160"/>
      <c r="EE117" s="160"/>
      <c r="EF117" s="160"/>
      <c r="EG117" s="160"/>
      <c r="EH117" s="160"/>
      <c r="EI117" s="160"/>
      <c r="EJ117" s="160"/>
      <c r="EK117" s="160"/>
      <c r="EL117" s="160"/>
      <c r="EM117" s="160"/>
      <c r="EN117" s="160"/>
      <c r="EO117" s="160"/>
      <c r="EP117" s="160"/>
      <c r="EQ117" s="160"/>
      <c r="ER117" s="160"/>
      <c r="ES117" s="160"/>
      <c r="ET117" s="160"/>
      <c r="EU117" s="160"/>
      <c r="EV117" s="160"/>
      <c r="EW117" s="160"/>
      <c r="EX117" s="160"/>
      <c r="EY117" s="160"/>
      <c r="EZ117" s="160"/>
      <c r="FA117" s="160"/>
      <c r="FB117" s="160"/>
      <c r="FC117" s="160"/>
      <c r="FD117" s="160"/>
      <c r="FE117" s="160"/>
      <c r="FF117" s="160"/>
      <c r="FG117" s="160"/>
      <c r="FH117" s="160"/>
      <c r="FI117" s="160"/>
      <c r="FJ117" s="160"/>
      <c r="FK117" s="160"/>
      <c r="FL117" s="160"/>
      <c r="FM117" s="160"/>
      <c r="FN117" s="160"/>
      <c r="FO117" s="160"/>
      <c r="FP117" s="160"/>
      <c r="FQ117" s="160"/>
      <c r="FR117" s="160"/>
      <c r="FS117" s="160"/>
      <c r="FT117" s="160"/>
      <c r="FU117" s="160"/>
      <c r="FV117" s="160"/>
      <c r="FW117" s="160"/>
      <c r="FX117" s="160"/>
      <c r="FY117" s="160"/>
      <c r="FZ117" s="160"/>
      <c r="GA117" s="160"/>
      <c r="GB117" s="160"/>
      <c r="GC117" s="160"/>
      <c r="GD117" s="160"/>
      <c r="GE117" s="160"/>
      <c r="GF117" s="160"/>
      <c r="GG117" s="160"/>
      <c r="GH117" s="160"/>
      <c r="GI117" s="160"/>
      <c r="GJ117" s="160"/>
      <c r="GK117" s="160"/>
      <c r="GL117" s="160"/>
      <c r="GM117" s="160"/>
      <c r="GN117" s="160"/>
      <c r="GO117" s="160"/>
      <c r="GP117" s="160"/>
      <c r="GQ117" s="160"/>
      <c r="GR117" s="160"/>
      <c r="GS117" s="160"/>
      <c r="GT117" s="160"/>
      <c r="GU117" s="160"/>
      <c r="GV117" s="160"/>
      <c r="GW117" s="160"/>
      <c r="GX117" s="160"/>
      <c r="GY117" s="160"/>
      <c r="GZ117" s="160"/>
      <c r="HA117" s="160"/>
      <c r="HB117" s="160"/>
      <c r="HC117" s="160"/>
      <c r="HD117" s="160"/>
      <c r="HE117" s="160"/>
      <c r="HF117" s="160"/>
      <c r="HG117" s="160"/>
      <c r="HH117" s="160"/>
      <c r="HI117" s="160"/>
      <c r="HJ117" s="160"/>
      <c r="HK117" s="160"/>
      <c r="HL117" s="160"/>
      <c r="HM117" s="160"/>
      <c r="HN117" s="160"/>
      <c r="HO117" s="160"/>
      <c r="HP117" s="160"/>
      <c r="HQ117" s="160"/>
      <c r="HR117" s="160"/>
      <c r="HS117" s="160"/>
      <c r="HT117" s="160"/>
      <c r="HU117" s="160"/>
      <c r="HV117" s="160"/>
      <c r="HW117" s="160"/>
      <c r="HX117" s="160"/>
      <c r="HY117" s="160"/>
      <c r="HZ117" s="160"/>
      <c r="IA117" s="160"/>
      <c r="IB117" s="160"/>
      <c r="IC117" s="160"/>
      <c r="ID117" s="160"/>
      <c r="IE117" s="160"/>
      <c r="IF117" s="160"/>
      <c r="IG117" s="160"/>
      <c r="IH117" s="160"/>
      <c r="II117" s="160"/>
      <c r="IJ117" s="160"/>
      <c r="IK117" s="160"/>
      <c r="IL117" s="160"/>
      <c r="IM117" s="160"/>
      <c r="IN117" s="160"/>
      <c r="IO117" s="160"/>
      <c r="IP117" s="160"/>
      <c r="IQ117" s="160"/>
      <c r="IR117" s="160"/>
      <c r="IS117" s="160"/>
      <c r="IT117" s="160"/>
      <c r="IU117" s="160"/>
      <c r="IV117" s="160"/>
      <c r="IW117" s="160"/>
    </row>
    <row r="118" customFormat="false" ht="12.75" hidden="false" customHeight="false" outlineLevel="0" collapsed="false">
      <c r="A118" s="160"/>
      <c r="B118" s="45" t="s">
        <v>30</v>
      </c>
      <c r="C118" s="98" t="s">
        <v>44</v>
      </c>
      <c r="D118" s="180" t="s">
        <v>105</v>
      </c>
      <c r="E118" s="45" t="s">
        <v>45</v>
      </c>
      <c r="F118" s="180" t="s">
        <v>104</v>
      </c>
      <c r="G118" s="181" t="n">
        <v>36901</v>
      </c>
      <c r="H118" s="188" t="n">
        <f aca="false">+'QK7503.1'!G14</f>
        <v>3.74</v>
      </c>
      <c r="I118" s="188" t="n">
        <f aca="false">+'QK7503.1'!D10</f>
        <v>3.82</v>
      </c>
      <c r="J118" s="183" t="n">
        <f aca="false">+H118-I118</f>
        <v>-0.0799999999999996</v>
      </c>
      <c r="K118" s="184" t="n">
        <v>-500000</v>
      </c>
      <c r="L118" s="184" t="n">
        <f aca="false">+K118/30</f>
        <v>-16666.6666666667</v>
      </c>
      <c r="M118" s="189" t="n">
        <f aca="false">-'QK7503.1'!I19</f>
        <v>-40000</v>
      </c>
      <c r="N118" s="189" t="n">
        <f aca="false">-'QK7503.1'!J19</f>
        <v>-0</v>
      </c>
      <c r="O118" s="168" t="n">
        <f aca="false">-'QK7503.1'!K19</f>
        <v>-40000</v>
      </c>
      <c r="P118" s="104" t="n">
        <f aca="false">-O118</f>
        <v>40000</v>
      </c>
      <c r="Q118" s="98"/>
      <c r="R118" s="0"/>
      <c r="S118" s="0"/>
      <c r="T118" s="160"/>
      <c r="U118" s="160"/>
      <c r="V118" s="168" t="n">
        <f aca="false">-'QK7503.1'!L19</f>
        <v>-40000</v>
      </c>
      <c r="W118" s="88" t="n">
        <f aca="false">IF($Y118="NNG",-V118,"")</f>
        <v>40000</v>
      </c>
      <c r="X118" s="88" t="str">
        <f aca="false">IF(Y118="TW",-V118,"")</f>
        <v/>
      </c>
      <c r="Y118" s="45" t="s">
        <v>30</v>
      </c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0"/>
      <c r="BN118" s="160"/>
      <c r="BO118" s="160"/>
      <c r="BP118" s="160"/>
      <c r="BQ118" s="160"/>
      <c r="BR118" s="160"/>
      <c r="BS118" s="160"/>
      <c r="BT118" s="160"/>
      <c r="BU118" s="160"/>
      <c r="BV118" s="160"/>
      <c r="BW118" s="160"/>
      <c r="BX118" s="160"/>
      <c r="BY118" s="160"/>
      <c r="BZ118" s="160"/>
      <c r="CA118" s="160"/>
      <c r="CB118" s="160"/>
      <c r="CC118" s="160"/>
      <c r="CD118" s="160"/>
      <c r="CE118" s="160"/>
      <c r="CF118" s="160"/>
      <c r="CG118" s="160"/>
      <c r="CH118" s="160"/>
      <c r="CI118" s="160"/>
      <c r="CJ118" s="160"/>
      <c r="CK118" s="160"/>
      <c r="CL118" s="160"/>
      <c r="CM118" s="160"/>
      <c r="CN118" s="160"/>
      <c r="CO118" s="160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0"/>
      <c r="DY118" s="160"/>
      <c r="DZ118" s="160"/>
      <c r="EA118" s="160"/>
      <c r="EB118" s="160"/>
      <c r="EC118" s="160"/>
      <c r="ED118" s="160"/>
      <c r="EE118" s="160"/>
      <c r="EF118" s="160"/>
      <c r="EG118" s="160"/>
      <c r="EH118" s="160"/>
      <c r="EI118" s="160"/>
      <c r="EJ118" s="160"/>
      <c r="EK118" s="160"/>
      <c r="EL118" s="160"/>
      <c r="EM118" s="160"/>
      <c r="EN118" s="160"/>
      <c r="EO118" s="160"/>
      <c r="EP118" s="160"/>
      <c r="EQ118" s="160"/>
      <c r="ER118" s="160"/>
      <c r="ES118" s="160"/>
      <c r="ET118" s="160"/>
      <c r="EU118" s="160"/>
      <c r="EV118" s="160"/>
      <c r="EW118" s="160"/>
      <c r="EX118" s="160"/>
      <c r="EY118" s="160"/>
      <c r="EZ118" s="160"/>
      <c r="FA118" s="160"/>
      <c r="FB118" s="160"/>
      <c r="FC118" s="160"/>
      <c r="FD118" s="160"/>
      <c r="FE118" s="160"/>
      <c r="FF118" s="160"/>
      <c r="FG118" s="160"/>
      <c r="FH118" s="160"/>
      <c r="FI118" s="160"/>
      <c r="FJ118" s="160"/>
      <c r="FK118" s="160"/>
      <c r="FL118" s="160"/>
      <c r="FM118" s="160"/>
      <c r="FN118" s="160"/>
      <c r="FO118" s="160"/>
      <c r="FP118" s="160"/>
      <c r="FQ118" s="160"/>
      <c r="FR118" s="160"/>
      <c r="FS118" s="160"/>
      <c r="FT118" s="160"/>
      <c r="FU118" s="160"/>
      <c r="FV118" s="160"/>
      <c r="FW118" s="160"/>
      <c r="FX118" s="160"/>
      <c r="FY118" s="160"/>
      <c r="FZ118" s="160"/>
      <c r="GA118" s="160"/>
      <c r="GB118" s="160"/>
      <c r="GC118" s="160"/>
      <c r="GD118" s="160"/>
      <c r="GE118" s="160"/>
      <c r="GF118" s="160"/>
      <c r="GG118" s="160"/>
      <c r="GH118" s="160"/>
      <c r="GI118" s="160"/>
      <c r="GJ118" s="160"/>
      <c r="GK118" s="160"/>
      <c r="GL118" s="160"/>
      <c r="GM118" s="160"/>
      <c r="GN118" s="160"/>
      <c r="GO118" s="160"/>
      <c r="GP118" s="160"/>
      <c r="GQ118" s="160"/>
      <c r="GR118" s="160"/>
      <c r="GS118" s="160"/>
      <c r="GT118" s="160"/>
      <c r="GU118" s="160"/>
      <c r="GV118" s="160"/>
      <c r="GW118" s="160"/>
      <c r="GX118" s="160"/>
      <c r="GY118" s="160"/>
      <c r="GZ118" s="160"/>
      <c r="HA118" s="160"/>
      <c r="HB118" s="160"/>
      <c r="HC118" s="160"/>
      <c r="HD118" s="160"/>
      <c r="HE118" s="160"/>
      <c r="HF118" s="160"/>
      <c r="HG118" s="160"/>
      <c r="HH118" s="160"/>
      <c r="HI118" s="160"/>
      <c r="HJ118" s="160"/>
      <c r="HK118" s="160"/>
      <c r="HL118" s="160"/>
      <c r="HM118" s="160"/>
      <c r="HN118" s="160"/>
      <c r="HO118" s="160"/>
      <c r="HP118" s="160"/>
      <c r="HQ118" s="160"/>
      <c r="HR118" s="160"/>
      <c r="HS118" s="160"/>
      <c r="HT118" s="160"/>
      <c r="HU118" s="160"/>
      <c r="HV118" s="160"/>
      <c r="HW118" s="160"/>
      <c r="HX118" s="160"/>
      <c r="HY118" s="160"/>
      <c r="HZ118" s="160"/>
      <c r="IA118" s="160"/>
      <c r="IB118" s="160"/>
      <c r="IC118" s="160"/>
      <c r="ID118" s="160"/>
      <c r="IE118" s="160"/>
      <c r="IF118" s="160"/>
      <c r="IG118" s="160"/>
      <c r="IH118" s="160"/>
      <c r="II118" s="160"/>
      <c r="IJ118" s="160"/>
      <c r="IK118" s="160"/>
      <c r="IL118" s="160"/>
      <c r="IM118" s="160"/>
      <c r="IN118" s="160"/>
      <c r="IO118" s="160"/>
      <c r="IP118" s="160"/>
      <c r="IQ118" s="160"/>
      <c r="IR118" s="160"/>
      <c r="IS118" s="160"/>
      <c r="IT118" s="160"/>
      <c r="IU118" s="160"/>
      <c r="IV118" s="160"/>
      <c r="IW118" s="160"/>
    </row>
    <row r="119" customFormat="false" ht="12.75" hidden="false" customHeight="false" outlineLevel="0" collapsed="false">
      <c r="A119" s="160"/>
      <c r="B119" s="45"/>
      <c r="C119" s="98"/>
      <c r="D119" s="163"/>
      <c r="E119" s="45"/>
      <c r="F119" s="180"/>
      <c r="G119" s="163"/>
      <c r="H119" s="182" t="n">
        <f aca="false">+H117-H118</f>
        <v>0.13</v>
      </c>
      <c r="I119" s="182" t="n">
        <f aca="false">+I117-I118</f>
        <v>-0.0799999999999996</v>
      </c>
      <c r="J119" s="182" t="n">
        <f aca="false">SUM(J117:J118)</f>
        <v>0.0500000000000003</v>
      </c>
      <c r="K119" s="165" t="n">
        <f aca="false">SUM(K117:K118)</f>
        <v>0</v>
      </c>
      <c r="L119" s="165" t="n">
        <f aca="false">SUM(L117:L118)</f>
        <v>0</v>
      </c>
      <c r="M119" s="168" t="n">
        <f aca="false">SUM(M117:M118)</f>
        <v>25000</v>
      </c>
      <c r="N119" s="168" t="n">
        <f aca="false">SUM(N117:N118)</f>
        <v>0</v>
      </c>
      <c r="O119" s="168" t="n">
        <f aca="false">SUM(O117:O118)</f>
        <v>25000</v>
      </c>
      <c r="P119" s="104"/>
      <c r="Q119" s="98"/>
      <c r="R119" s="0"/>
      <c r="S119" s="0"/>
      <c r="T119" s="160"/>
      <c r="U119" s="160"/>
      <c r="V119" s="168" t="n">
        <f aca="false">SUM(V117:V118)</f>
        <v>25000</v>
      </c>
      <c r="W119" s="88" t="str">
        <f aca="false">IF($Y119="NNG",-V119,"")</f>
        <v/>
      </c>
      <c r="X119" s="88" t="str">
        <f aca="false">IF(Y119="TW",-V119,"")</f>
        <v/>
      </c>
      <c r="Y119" s="45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0"/>
      <c r="BN119" s="160"/>
      <c r="BO119" s="160"/>
      <c r="BP119" s="160"/>
      <c r="BQ119" s="160"/>
      <c r="BR119" s="160"/>
      <c r="BS119" s="160"/>
      <c r="BT119" s="160"/>
      <c r="BU119" s="160"/>
      <c r="BV119" s="160"/>
      <c r="BW119" s="160"/>
      <c r="BX119" s="160"/>
      <c r="BY119" s="160"/>
      <c r="BZ119" s="160"/>
      <c r="CA119" s="160"/>
      <c r="CB119" s="160"/>
      <c r="CC119" s="160"/>
      <c r="CD119" s="160"/>
      <c r="CE119" s="160"/>
      <c r="CF119" s="160"/>
      <c r="CG119" s="160"/>
      <c r="CH119" s="160"/>
      <c r="CI119" s="160"/>
      <c r="CJ119" s="160"/>
      <c r="CK119" s="160"/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0"/>
      <c r="DY119" s="160"/>
      <c r="DZ119" s="160"/>
      <c r="EA119" s="160"/>
      <c r="EB119" s="160"/>
      <c r="EC119" s="160"/>
      <c r="ED119" s="160"/>
      <c r="EE119" s="160"/>
      <c r="EF119" s="160"/>
      <c r="EG119" s="160"/>
      <c r="EH119" s="160"/>
      <c r="EI119" s="160"/>
      <c r="EJ119" s="160"/>
      <c r="EK119" s="160"/>
      <c r="EL119" s="160"/>
      <c r="EM119" s="160"/>
      <c r="EN119" s="160"/>
      <c r="EO119" s="160"/>
      <c r="EP119" s="160"/>
      <c r="EQ119" s="160"/>
      <c r="ER119" s="160"/>
      <c r="ES119" s="160"/>
      <c r="ET119" s="160"/>
      <c r="EU119" s="160"/>
      <c r="EV119" s="160"/>
      <c r="EW119" s="160"/>
      <c r="EX119" s="160"/>
      <c r="EY119" s="160"/>
      <c r="EZ119" s="160"/>
      <c r="FA119" s="160"/>
      <c r="FB119" s="160"/>
      <c r="FC119" s="160"/>
      <c r="FD119" s="160"/>
      <c r="FE119" s="160"/>
      <c r="FF119" s="160"/>
      <c r="FG119" s="160"/>
      <c r="FH119" s="160"/>
      <c r="FI119" s="160"/>
      <c r="FJ119" s="160"/>
      <c r="FK119" s="160"/>
      <c r="FL119" s="160"/>
      <c r="FM119" s="160"/>
      <c r="FN119" s="160"/>
      <c r="FO119" s="160"/>
      <c r="FP119" s="160"/>
      <c r="FQ119" s="160"/>
      <c r="FR119" s="160"/>
      <c r="FS119" s="160"/>
      <c r="FT119" s="160"/>
      <c r="FU119" s="160"/>
      <c r="FV119" s="160"/>
      <c r="FW119" s="160"/>
      <c r="FX119" s="160"/>
      <c r="FY119" s="160"/>
      <c r="FZ119" s="160"/>
      <c r="GA119" s="160"/>
      <c r="GB119" s="160"/>
      <c r="GC119" s="160"/>
      <c r="GD119" s="160"/>
      <c r="GE119" s="160"/>
      <c r="GF119" s="160"/>
      <c r="GG119" s="160"/>
      <c r="GH119" s="160"/>
      <c r="GI119" s="160"/>
      <c r="GJ119" s="160"/>
      <c r="GK119" s="160"/>
      <c r="GL119" s="160"/>
      <c r="GM119" s="160"/>
      <c r="GN119" s="160"/>
      <c r="GO119" s="160"/>
      <c r="GP119" s="160"/>
      <c r="GQ119" s="160"/>
      <c r="GR119" s="160"/>
      <c r="GS119" s="160"/>
      <c r="GT119" s="160"/>
      <c r="GU119" s="160"/>
      <c r="GV119" s="160"/>
      <c r="GW119" s="160"/>
      <c r="GX119" s="160"/>
      <c r="GY119" s="160"/>
      <c r="GZ119" s="160"/>
      <c r="HA119" s="160"/>
      <c r="HB119" s="160"/>
      <c r="HC119" s="160"/>
      <c r="HD119" s="160"/>
      <c r="HE119" s="160"/>
      <c r="HF119" s="160"/>
      <c r="HG119" s="160"/>
      <c r="HH119" s="160"/>
      <c r="HI119" s="160"/>
      <c r="HJ119" s="160"/>
      <c r="HK119" s="160"/>
      <c r="HL119" s="160"/>
      <c r="HM119" s="160"/>
      <c r="HN119" s="160"/>
      <c r="HO119" s="160"/>
      <c r="HP119" s="160"/>
      <c r="HQ119" s="160"/>
      <c r="HR119" s="160"/>
      <c r="HS119" s="160"/>
      <c r="HT119" s="160"/>
      <c r="HU119" s="160"/>
      <c r="HV119" s="160"/>
      <c r="HW119" s="160"/>
      <c r="HX119" s="160"/>
      <c r="HY119" s="160"/>
      <c r="HZ119" s="160"/>
      <c r="IA119" s="160"/>
      <c r="IB119" s="160"/>
      <c r="IC119" s="160"/>
      <c r="ID119" s="160"/>
      <c r="IE119" s="160"/>
      <c r="IF119" s="160"/>
      <c r="IG119" s="160"/>
      <c r="IH119" s="160"/>
      <c r="II119" s="160"/>
      <c r="IJ119" s="160"/>
      <c r="IK119" s="160"/>
      <c r="IL119" s="160"/>
      <c r="IM119" s="160"/>
      <c r="IN119" s="160"/>
      <c r="IO119" s="160"/>
      <c r="IP119" s="160"/>
      <c r="IQ119" s="160"/>
      <c r="IR119" s="160"/>
      <c r="IS119" s="160"/>
      <c r="IT119" s="160"/>
      <c r="IU119" s="160"/>
      <c r="IV119" s="160"/>
      <c r="IW119" s="160"/>
    </row>
    <row r="120" customFormat="false" ht="8.1" hidden="false" customHeight="true" outlineLevel="0" collapsed="false">
      <c r="A120" s="160"/>
      <c r="B120" s="45"/>
      <c r="C120" s="98"/>
      <c r="D120" s="163"/>
      <c r="E120" s="45"/>
      <c r="F120" s="180"/>
      <c r="G120" s="163"/>
      <c r="H120" s="182"/>
      <c r="I120" s="182"/>
      <c r="J120" s="182"/>
      <c r="K120" s="165"/>
      <c r="L120" s="165"/>
      <c r="M120" s="168"/>
      <c r="N120" s="185"/>
      <c r="O120" s="185"/>
      <c r="P120" s="104"/>
      <c r="Q120" s="98"/>
      <c r="R120" s="0"/>
      <c r="S120" s="0"/>
      <c r="T120" s="160"/>
      <c r="U120" s="160"/>
      <c r="V120" s="185"/>
      <c r="W120" s="88" t="str">
        <f aca="false">IF($Y120="NNG",-V120,"")</f>
        <v/>
      </c>
      <c r="X120" s="88" t="str">
        <f aca="false">IF(Y120="TW",-V120,"")</f>
        <v/>
      </c>
      <c r="Y120" s="45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0"/>
      <c r="BN120" s="160"/>
      <c r="BO120" s="160"/>
      <c r="BP120" s="160"/>
      <c r="BQ120" s="160"/>
      <c r="BR120" s="160"/>
      <c r="BS120" s="160"/>
      <c r="BT120" s="160"/>
      <c r="BU120" s="160"/>
      <c r="BV120" s="160"/>
      <c r="BW120" s="160"/>
      <c r="BX120" s="160"/>
      <c r="BY120" s="160"/>
      <c r="BZ120" s="160"/>
      <c r="CA120" s="160"/>
      <c r="CB120" s="160"/>
      <c r="CC120" s="160"/>
      <c r="CD120" s="160"/>
      <c r="CE120" s="160"/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0"/>
      <c r="EC120" s="160"/>
      <c r="ED120" s="160"/>
      <c r="EE120" s="160"/>
      <c r="EF120" s="160"/>
      <c r="EG120" s="160"/>
      <c r="EH120" s="160"/>
      <c r="EI120" s="160"/>
      <c r="EJ120" s="160"/>
      <c r="EK120" s="160"/>
      <c r="EL120" s="160"/>
      <c r="EM120" s="160"/>
      <c r="EN120" s="160"/>
      <c r="EO120" s="160"/>
      <c r="EP120" s="160"/>
      <c r="EQ120" s="160"/>
      <c r="ER120" s="160"/>
      <c r="ES120" s="160"/>
      <c r="ET120" s="160"/>
      <c r="EU120" s="160"/>
      <c r="EV120" s="160"/>
      <c r="EW120" s="160"/>
      <c r="EX120" s="160"/>
      <c r="EY120" s="160"/>
      <c r="EZ120" s="160"/>
      <c r="FA120" s="160"/>
      <c r="FB120" s="160"/>
      <c r="FC120" s="160"/>
      <c r="FD120" s="160"/>
      <c r="FE120" s="160"/>
      <c r="FF120" s="160"/>
      <c r="FG120" s="160"/>
      <c r="FH120" s="160"/>
      <c r="FI120" s="160"/>
      <c r="FJ120" s="160"/>
      <c r="FK120" s="160"/>
      <c r="FL120" s="160"/>
      <c r="FM120" s="160"/>
      <c r="FN120" s="160"/>
      <c r="FO120" s="160"/>
      <c r="FP120" s="160"/>
      <c r="FQ120" s="160"/>
      <c r="FR120" s="160"/>
      <c r="FS120" s="160"/>
      <c r="FT120" s="160"/>
      <c r="FU120" s="160"/>
      <c r="FV120" s="160"/>
      <c r="FW120" s="160"/>
      <c r="FX120" s="160"/>
      <c r="FY120" s="160"/>
      <c r="FZ120" s="160"/>
      <c r="GA120" s="160"/>
      <c r="GB120" s="160"/>
      <c r="GC120" s="160"/>
      <c r="GD120" s="160"/>
      <c r="GE120" s="160"/>
      <c r="GF120" s="160"/>
      <c r="GG120" s="160"/>
      <c r="GH120" s="160"/>
      <c r="GI120" s="160"/>
      <c r="GJ120" s="160"/>
      <c r="GK120" s="160"/>
      <c r="GL120" s="160"/>
      <c r="GM120" s="160"/>
      <c r="GN120" s="160"/>
      <c r="GO120" s="160"/>
      <c r="GP120" s="160"/>
      <c r="GQ120" s="160"/>
      <c r="GR120" s="160"/>
      <c r="GS120" s="160"/>
      <c r="GT120" s="160"/>
      <c r="GU120" s="160"/>
      <c r="GV120" s="160"/>
      <c r="GW120" s="160"/>
      <c r="GX120" s="160"/>
      <c r="GY120" s="160"/>
      <c r="GZ120" s="160"/>
      <c r="HA120" s="160"/>
      <c r="HB120" s="160"/>
      <c r="HC120" s="160"/>
      <c r="HD120" s="160"/>
      <c r="HE120" s="160"/>
      <c r="HF120" s="160"/>
      <c r="HG120" s="160"/>
      <c r="HH120" s="160"/>
      <c r="HI120" s="160"/>
      <c r="HJ120" s="160"/>
      <c r="HK120" s="160"/>
      <c r="HL120" s="160"/>
      <c r="HM120" s="160"/>
      <c r="HN120" s="160"/>
      <c r="HO120" s="160"/>
      <c r="HP120" s="160"/>
      <c r="HQ120" s="160"/>
      <c r="HR120" s="160"/>
      <c r="HS120" s="160"/>
      <c r="HT120" s="160"/>
      <c r="HU120" s="160"/>
      <c r="HV120" s="160"/>
      <c r="HW120" s="160"/>
      <c r="HX120" s="160"/>
      <c r="HY120" s="160"/>
      <c r="HZ120" s="160"/>
      <c r="IA120" s="160"/>
      <c r="IB120" s="160"/>
      <c r="IC120" s="160"/>
      <c r="ID120" s="160"/>
      <c r="IE120" s="160"/>
      <c r="IF120" s="160"/>
      <c r="IG120" s="160"/>
      <c r="IH120" s="160"/>
      <c r="II120" s="160"/>
      <c r="IJ120" s="160"/>
      <c r="IK120" s="160"/>
      <c r="IL120" s="160"/>
      <c r="IM120" s="160"/>
      <c r="IN120" s="160"/>
      <c r="IO120" s="160"/>
      <c r="IP120" s="160"/>
      <c r="IQ120" s="160"/>
      <c r="IR120" s="160"/>
      <c r="IS120" s="160"/>
      <c r="IT120" s="160"/>
      <c r="IU120" s="160"/>
      <c r="IV120" s="160"/>
      <c r="IW120" s="160"/>
    </row>
    <row r="121" customFormat="false" ht="12.75" hidden="false" customHeight="false" outlineLevel="0" collapsed="false">
      <c r="B121" s="45" t="s">
        <v>31</v>
      </c>
      <c r="C121" s="98" t="s">
        <v>52</v>
      </c>
      <c r="D121" s="180" t="s">
        <v>106</v>
      </c>
      <c r="E121" s="45" t="s">
        <v>45</v>
      </c>
      <c r="F121" s="180" t="s">
        <v>107</v>
      </c>
      <c r="G121" s="181" t="n">
        <v>36866</v>
      </c>
      <c r="H121" s="182" t="n">
        <f aca="false">SUM('ENA #QF4410.1'!D10:D21)/12</f>
        <v>4.47</v>
      </c>
      <c r="I121" s="182" t="n">
        <f aca="false">SUM('ENA #QF4410.1'!H10:H21)/12</f>
        <v>3.97616666666667</v>
      </c>
      <c r="J121" s="182" t="n">
        <f aca="false">+H121-I121</f>
        <v>0.493833333333333</v>
      </c>
      <c r="K121" s="165" t="n">
        <f aca="false">-'ENA #QF4410.1'!F22</f>
        <v>-1825000</v>
      </c>
      <c r="L121" s="165" t="n">
        <f aca="false">+K121/365</f>
        <v>-5000</v>
      </c>
      <c r="M121" s="168" t="n">
        <f aca="false">-'ENA #QF4410.1'!I22</f>
        <v>904070</v>
      </c>
      <c r="N121" s="168" t="n">
        <f aca="false">-'ENA #QF4410.1'!J22</f>
        <v>-0</v>
      </c>
      <c r="O121" s="168" t="n">
        <f aca="false">-'ENA #QF4410.1'!K22</f>
        <v>904070</v>
      </c>
      <c r="P121" s="104"/>
      <c r="Q121" s="168" t="n">
        <f aca="false">-O121</f>
        <v>-904070</v>
      </c>
      <c r="R121" s="0"/>
      <c r="S121" s="0"/>
      <c r="T121" s="160"/>
      <c r="U121" s="160"/>
      <c r="V121" s="168" t="n">
        <f aca="false">-'ENA #QF4410.1'!L22</f>
        <v>286685</v>
      </c>
      <c r="W121" s="88" t="str">
        <f aca="false">IF($Y121="NNG",-V121,"")</f>
        <v/>
      </c>
      <c r="X121" s="88" t="n">
        <f aca="false">IF(Y121="TW",-V121,"")</f>
        <v>-286685</v>
      </c>
      <c r="Y121" s="45" t="s">
        <v>31</v>
      </c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0"/>
      <c r="BN121" s="160"/>
      <c r="BO121" s="160"/>
      <c r="BP121" s="160"/>
      <c r="BQ121" s="160"/>
      <c r="BR121" s="160"/>
      <c r="BS121" s="160"/>
      <c r="BT121" s="160"/>
      <c r="BU121" s="160"/>
      <c r="BV121" s="160"/>
      <c r="BW121" s="160"/>
      <c r="BX121" s="160"/>
      <c r="BY121" s="160"/>
      <c r="BZ121" s="160"/>
      <c r="CA121" s="160"/>
      <c r="CB121" s="160"/>
      <c r="CC121" s="160"/>
      <c r="CD121" s="160"/>
      <c r="CE121" s="160"/>
      <c r="CF121" s="160"/>
      <c r="CG121" s="160"/>
      <c r="CH121" s="160"/>
      <c r="CI121" s="160"/>
      <c r="CJ121" s="160"/>
      <c r="CK121" s="160"/>
      <c r="CL121" s="160"/>
      <c r="CM121" s="160"/>
      <c r="CN121" s="160"/>
      <c r="CO121" s="160"/>
      <c r="CP121" s="160"/>
      <c r="CQ121" s="160"/>
      <c r="CR121" s="160"/>
      <c r="CS121" s="160"/>
      <c r="CT121" s="160"/>
      <c r="CU121" s="160"/>
      <c r="CV121" s="160"/>
      <c r="CW121" s="160"/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160"/>
      <c r="DP121" s="160"/>
      <c r="DQ121" s="160"/>
      <c r="DR121" s="160"/>
      <c r="DS121" s="160"/>
      <c r="DT121" s="160"/>
      <c r="DU121" s="160"/>
      <c r="DV121" s="160"/>
      <c r="DW121" s="160"/>
      <c r="DX121" s="160"/>
      <c r="DY121" s="160"/>
      <c r="DZ121" s="160"/>
      <c r="EA121" s="160"/>
      <c r="EB121" s="160"/>
      <c r="EC121" s="160"/>
      <c r="ED121" s="160"/>
      <c r="EE121" s="160"/>
      <c r="EF121" s="160"/>
      <c r="EG121" s="160"/>
      <c r="EH121" s="160"/>
      <c r="EI121" s="160"/>
      <c r="EJ121" s="160"/>
      <c r="EK121" s="160"/>
      <c r="EL121" s="160"/>
      <c r="EM121" s="160"/>
      <c r="EN121" s="160"/>
      <c r="EO121" s="160"/>
      <c r="EP121" s="160"/>
      <c r="EQ121" s="160"/>
      <c r="ER121" s="160"/>
      <c r="ES121" s="160"/>
      <c r="ET121" s="160"/>
      <c r="EU121" s="160"/>
      <c r="EV121" s="160"/>
      <c r="EW121" s="160"/>
      <c r="EX121" s="160"/>
      <c r="EY121" s="160"/>
      <c r="EZ121" s="160"/>
      <c r="FA121" s="160"/>
      <c r="FB121" s="160"/>
      <c r="FC121" s="160"/>
      <c r="FD121" s="160"/>
      <c r="FE121" s="160"/>
      <c r="FF121" s="160"/>
      <c r="FG121" s="160"/>
      <c r="FH121" s="160"/>
      <c r="FI121" s="160"/>
      <c r="FJ121" s="160"/>
      <c r="FK121" s="160"/>
      <c r="FL121" s="160"/>
      <c r="FM121" s="160"/>
      <c r="FN121" s="160"/>
      <c r="FO121" s="160"/>
      <c r="FP121" s="160"/>
      <c r="FQ121" s="160"/>
      <c r="FR121" s="160"/>
      <c r="FS121" s="160"/>
      <c r="FT121" s="160"/>
      <c r="FU121" s="160"/>
      <c r="FV121" s="160"/>
      <c r="FW121" s="160"/>
      <c r="FX121" s="160"/>
      <c r="FY121" s="160"/>
      <c r="FZ121" s="160"/>
      <c r="GA121" s="160"/>
      <c r="GB121" s="160"/>
      <c r="GC121" s="160"/>
      <c r="GD121" s="160"/>
      <c r="GE121" s="160"/>
      <c r="GF121" s="160"/>
      <c r="GG121" s="160"/>
      <c r="GH121" s="160"/>
      <c r="GI121" s="160"/>
      <c r="GJ121" s="160"/>
      <c r="GK121" s="160"/>
      <c r="GL121" s="160"/>
      <c r="GM121" s="160"/>
      <c r="GN121" s="160"/>
      <c r="GO121" s="160"/>
      <c r="GP121" s="160"/>
      <c r="GQ121" s="160"/>
      <c r="GR121" s="160"/>
      <c r="GS121" s="160"/>
      <c r="GT121" s="160"/>
      <c r="GU121" s="160"/>
      <c r="GV121" s="160"/>
      <c r="GW121" s="160"/>
      <c r="GX121" s="160"/>
      <c r="GY121" s="160"/>
      <c r="GZ121" s="160"/>
      <c r="HA121" s="160"/>
      <c r="HB121" s="160"/>
      <c r="HC121" s="160"/>
      <c r="HD121" s="160"/>
      <c r="HE121" s="160"/>
      <c r="HF121" s="160"/>
      <c r="HG121" s="160"/>
      <c r="HH121" s="160"/>
      <c r="HI121" s="160"/>
      <c r="HJ121" s="160"/>
      <c r="HK121" s="160"/>
      <c r="HL121" s="160"/>
      <c r="HM121" s="160"/>
      <c r="HN121" s="160"/>
      <c r="HO121" s="160"/>
      <c r="HP121" s="160"/>
      <c r="HQ121" s="160"/>
      <c r="HR121" s="160"/>
      <c r="HS121" s="160"/>
      <c r="HT121" s="160"/>
      <c r="HU121" s="160"/>
      <c r="HV121" s="160"/>
      <c r="HW121" s="160"/>
      <c r="HX121" s="160"/>
      <c r="HY121" s="160"/>
      <c r="HZ121" s="160"/>
      <c r="IA121" s="160"/>
      <c r="IB121" s="160"/>
      <c r="IC121" s="160"/>
      <c r="ID121" s="160"/>
      <c r="IE121" s="160"/>
      <c r="IF121" s="160"/>
      <c r="IG121" s="160"/>
      <c r="IH121" s="160"/>
      <c r="II121" s="160"/>
      <c r="IJ121" s="160"/>
      <c r="IK121" s="160"/>
      <c r="IL121" s="160"/>
      <c r="IM121" s="160"/>
      <c r="IN121" s="160"/>
      <c r="IO121" s="160"/>
      <c r="IP121" s="160"/>
      <c r="IQ121" s="160"/>
      <c r="IR121" s="160"/>
      <c r="IS121" s="160"/>
      <c r="IT121" s="160"/>
      <c r="IU121" s="160"/>
      <c r="IV121" s="160"/>
      <c r="IW121" s="160"/>
    </row>
    <row r="122" customFormat="false" ht="12.75" hidden="false" customHeight="false" outlineLevel="0" collapsed="false">
      <c r="B122" s="45" t="s">
        <v>31</v>
      </c>
      <c r="C122" s="98" t="s">
        <v>52</v>
      </c>
      <c r="D122" s="180" t="s">
        <v>108</v>
      </c>
      <c r="E122" s="45" t="s">
        <v>45</v>
      </c>
      <c r="F122" s="180" t="s">
        <v>107</v>
      </c>
      <c r="G122" s="181" t="n">
        <v>36867</v>
      </c>
      <c r="H122" s="182" t="n">
        <f aca="false">SUM('ENA #QF4447.1'!D10:D21)/12</f>
        <v>4.39</v>
      </c>
      <c r="I122" s="182" t="n">
        <f aca="false">SUM('ENA #QF4447.1'!H10:H21)/12</f>
        <v>3.97616666666667</v>
      </c>
      <c r="J122" s="182" t="n">
        <f aca="false">+H122-I122</f>
        <v>0.413833333333333</v>
      </c>
      <c r="K122" s="165" t="n">
        <f aca="false">-'ENA #QF4447.1'!F22</f>
        <v>1825000</v>
      </c>
      <c r="L122" s="165" t="n">
        <f aca="false">+K122/365</f>
        <v>5000</v>
      </c>
      <c r="M122" s="168" t="n">
        <f aca="false">-'ENA #QF4447.1'!I22</f>
        <v>-758070</v>
      </c>
      <c r="N122" s="168" t="n">
        <f aca="false">-'ENA #QF4447.1'!J22</f>
        <v>-0</v>
      </c>
      <c r="O122" s="168" t="n">
        <f aca="false">-'ENA #QF4447.1'!K22</f>
        <v>-758070</v>
      </c>
      <c r="P122" s="104"/>
      <c r="Q122" s="168" t="n">
        <f aca="false">-O122</f>
        <v>758070</v>
      </c>
      <c r="R122" s="0"/>
      <c r="S122" s="0"/>
      <c r="T122" s="160"/>
      <c r="U122" s="160"/>
      <c r="V122" s="168" t="n">
        <f aca="false">-'ENA #QF4447.1'!L22</f>
        <v>-226285</v>
      </c>
      <c r="W122" s="88" t="str">
        <f aca="false">IF($Y122="NNG",-V122,"")</f>
        <v/>
      </c>
      <c r="X122" s="88" t="n">
        <f aca="false">IF(Y122="TW",-V122,"")</f>
        <v>226285</v>
      </c>
      <c r="Y122" s="45" t="s">
        <v>31</v>
      </c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0"/>
      <c r="BN122" s="160"/>
      <c r="BO122" s="160"/>
      <c r="BP122" s="160"/>
      <c r="BQ122" s="160"/>
      <c r="BR122" s="160"/>
      <c r="BS122" s="160"/>
      <c r="BT122" s="160"/>
      <c r="BU122" s="160"/>
      <c r="BV122" s="160"/>
      <c r="BW122" s="160"/>
      <c r="BX122" s="160"/>
      <c r="BY122" s="160"/>
      <c r="BZ122" s="160"/>
      <c r="CA122" s="160"/>
      <c r="CB122" s="160"/>
      <c r="CC122" s="160"/>
      <c r="CD122" s="160"/>
      <c r="CE122" s="160"/>
      <c r="CF122" s="160"/>
      <c r="CG122" s="160"/>
      <c r="CH122" s="160"/>
      <c r="CI122" s="160"/>
      <c r="CJ122" s="160"/>
      <c r="CK122" s="160"/>
      <c r="CL122" s="160"/>
      <c r="CM122" s="160"/>
      <c r="CN122" s="160"/>
      <c r="CO122" s="160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0"/>
      <c r="DY122" s="160"/>
      <c r="DZ122" s="160"/>
      <c r="EA122" s="160"/>
      <c r="EB122" s="160"/>
      <c r="EC122" s="160"/>
      <c r="ED122" s="160"/>
      <c r="EE122" s="160"/>
      <c r="EF122" s="160"/>
      <c r="EG122" s="160"/>
      <c r="EH122" s="160"/>
      <c r="EI122" s="160"/>
      <c r="EJ122" s="160"/>
      <c r="EK122" s="160"/>
      <c r="EL122" s="160"/>
      <c r="EM122" s="160"/>
      <c r="EN122" s="160"/>
      <c r="EO122" s="160"/>
      <c r="EP122" s="160"/>
      <c r="EQ122" s="160"/>
      <c r="ER122" s="160"/>
      <c r="ES122" s="160"/>
      <c r="ET122" s="160"/>
      <c r="EU122" s="160"/>
      <c r="EV122" s="160"/>
      <c r="EW122" s="160"/>
      <c r="EX122" s="160"/>
      <c r="EY122" s="160"/>
      <c r="EZ122" s="160"/>
      <c r="FA122" s="160"/>
      <c r="FB122" s="160"/>
      <c r="FC122" s="160"/>
      <c r="FD122" s="160"/>
      <c r="FE122" s="160"/>
      <c r="FF122" s="160"/>
      <c r="FG122" s="160"/>
      <c r="FH122" s="160"/>
      <c r="FI122" s="160"/>
      <c r="FJ122" s="160"/>
      <c r="FK122" s="160"/>
      <c r="FL122" s="160"/>
      <c r="FM122" s="160"/>
      <c r="FN122" s="160"/>
      <c r="FO122" s="160"/>
      <c r="FP122" s="160"/>
      <c r="FQ122" s="160"/>
      <c r="FR122" s="160"/>
      <c r="FS122" s="160"/>
      <c r="FT122" s="160"/>
      <c r="FU122" s="160"/>
      <c r="FV122" s="160"/>
      <c r="FW122" s="160"/>
      <c r="FX122" s="160"/>
      <c r="FY122" s="160"/>
      <c r="FZ122" s="160"/>
      <c r="GA122" s="160"/>
      <c r="GB122" s="160"/>
      <c r="GC122" s="160"/>
      <c r="GD122" s="160"/>
      <c r="GE122" s="160"/>
      <c r="GF122" s="160"/>
      <c r="GG122" s="160"/>
      <c r="GH122" s="160"/>
      <c r="GI122" s="160"/>
      <c r="GJ122" s="160"/>
      <c r="GK122" s="160"/>
      <c r="GL122" s="160"/>
      <c r="GM122" s="160"/>
      <c r="GN122" s="160"/>
      <c r="GO122" s="160"/>
      <c r="GP122" s="160"/>
      <c r="GQ122" s="160"/>
      <c r="GR122" s="160"/>
      <c r="GS122" s="160"/>
      <c r="GT122" s="160"/>
      <c r="GU122" s="160"/>
      <c r="GV122" s="160"/>
      <c r="GW122" s="160"/>
      <c r="GX122" s="160"/>
      <c r="GY122" s="160"/>
      <c r="GZ122" s="160"/>
      <c r="HA122" s="160"/>
      <c r="HB122" s="160"/>
      <c r="HC122" s="160"/>
      <c r="HD122" s="160"/>
      <c r="HE122" s="160"/>
      <c r="HF122" s="160"/>
      <c r="HG122" s="160"/>
      <c r="HH122" s="160"/>
      <c r="HI122" s="160"/>
      <c r="HJ122" s="160"/>
      <c r="HK122" s="160"/>
      <c r="HL122" s="160"/>
      <c r="HM122" s="160"/>
      <c r="HN122" s="160"/>
      <c r="HO122" s="160"/>
      <c r="HP122" s="160"/>
      <c r="HQ122" s="160"/>
      <c r="HR122" s="160"/>
      <c r="HS122" s="160"/>
      <c r="HT122" s="160"/>
      <c r="HU122" s="160"/>
      <c r="HV122" s="160"/>
      <c r="HW122" s="160"/>
      <c r="HX122" s="160"/>
      <c r="HY122" s="160"/>
      <c r="HZ122" s="160"/>
      <c r="IA122" s="160"/>
      <c r="IB122" s="160"/>
      <c r="IC122" s="160"/>
      <c r="ID122" s="160"/>
      <c r="IE122" s="160"/>
      <c r="IF122" s="160"/>
      <c r="IG122" s="160"/>
      <c r="IH122" s="160"/>
      <c r="II122" s="160"/>
      <c r="IJ122" s="160"/>
      <c r="IK122" s="160"/>
      <c r="IL122" s="160"/>
      <c r="IM122" s="160"/>
      <c r="IN122" s="160"/>
      <c r="IO122" s="160"/>
      <c r="IP122" s="160"/>
      <c r="IQ122" s="160"/>
      <c r="IR122" s="160"/>
      <c r="IS122" s="160"/>
      <c r="IT122" s="160"/>
      <c r="IU122" s="160"/>
      <c r="IV122" s="160"/>
      <c r="IW122" s="160"/>
    </row>
    <row r="123" customFormat="false" ht="12.75" hidden="false" customHeight="false" outlineLevel="0" collapsed="false">
      <c r="B123" s="45" t="s">
        <v>31</v>
      </c>
      <c r="C123" s="98" t="s">
        <v>52</v>
      </c>
      <c r="D123" s="180" t="s">
        <v>109</v>
      </c>
      <c r="E123" s="45" t="s">
        <v>45</v>
      </c>
      <c r="F123" s="180" t="s">
        <v>107</v>
      </c>
      <c r="G123" s="181" t="n">
        <v>36866</v>
      </c>
      <c r="H123" s="182" t="n">
        <f aca="false">SUM('ENA #QF0967.1'!D10:D21)/12</f>
        <v>4.00616666666667</v>
      </c>
      <c r="I123" s="182" t="n">
        <f aca="false">SUM('ENA #QF0967.1'!H10:H21)/12</f>
        <v>3.968875</v>
      </c>
      <c r="J123" s="182" t="n">
        <f aca="false">+H123-I123</f>
        <v>0.0372916666666661</v>
      </c>
      <c r="K123" s="165" t="n">
        <f aca="false">-'ENA #QF0967.1'!F22</f>
        <v>-1825000</v>
      </c>
      <c r="L123" s="165" t="n">
        <f aca="false">+K123/365</f>
        <v>-5000</v>
      </c>
      <c r="M123" s="168" t="n">
        <f aca="false">-'ENA #QF0967.1'!I22</f>
        <v>68024.9999999999</v>
      </c>
      <c r="N123" s="168" t="n">
        <f aca="false">-'ENA #QF0967.1'!J22</f>
        <v>-0</v>
      </c>
      <c r="O123" s="168" t="n">
        <f aca="false">-'ENA #QF0967.1'!K22</f>
        <v>68024.9999999999</v>
      </c>
      <c r="P123" s="104"/>
      <c r="Q123" s="168" t="n">
        <f aca="false">-O123</f>
        <v>-68024.9999999999</v>
      </c>
      <c r="R123" s="0"/>
      <c r="S123" s="0"/>
      <c r="T123" s="160"/>
      <c r="U123" s="160"/>
      <c r="V123" s="168" t="n">
        <f aca="false">-'ENA #QF0967.1'!L22</f>
        <v>31325.0000000001</v>
      </c>
      <c r="W123" s="88" t="str">
        <f aca="false">IF($Y123="NNG",-V123,"")</f>
        <v/>
      </c>
      <c r="X123" s="88" t="n">
        <f aca="false">IF(Y123="TW",-V123,"")</f>
        <v>-31325.0000000001</v>
      </c>
      <c r="Y123" s="45" t="s">
        <v>31</v>
      </c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0"/>
      <c r="CB123" s="160"/>
      <c r="CC123" s="160"/>
      <c r="CD123" s="160"/>
      <c r="CE123" s="160"/>
      <c r="CF123" s="160"/>
      <c r="CG123" s="160"/>
      <c r="CH123" s="160"/>
      <c r="CI123" s="160"/>
      <c r="CJ123" s="160"/>
      <c r="CK123" s="160"/>
      <c r="CL123" s="160"/>
      <c r="CM123" s="160"/>
      <c r="CN123" s="160"/>
      <c r="CO123" s="160"/>
      <c r="CP123" s="160"/>
      <c r="CQ123" s="160"/>
      <c r="CR123" s="160"/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0"/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0"/>
      <c r="DY123" s="160"/>
      <c r="DZ123" s="160"/>
      <c r="EA123" s="160"/>
      <c r="EB123" s="160"/>
      <c r="EC123" s="160"/>
      <c r="ED123" s="160"/>
      <c r="EE123" s="160"/>
      <c r="EF123" s="160"/>
      <c r="EG123" s="160"/>
      <c r="EH123" s="160"/>
      <c r="EI123" s="160"/>
      <c r="EJ123" s="160"/>
      <c r="EK123" s="160"/>
      <c r="EL123" s="160"/>
      <c r="EM123" s="160"/>
      <c r="EN123" s="160"/>
      <c r="EO123" s="160"/>
      <c r="EP123" s="160"/>
      <c r="EQ123" s="160"/>
      <c r="ER123" s="160"/>
      <c r="ES123" s="160"/>
      <c r="ET123" s="160"/>
      <c r="EU123" s="160"/>
      <c r="EV123" s="160"/>
      <c r="EW123" s="160"/>
      <c r="EX123" s="160"/>
      <c r="EY123" s="160"/>
      <c r="EZ123" s="160"/>
      <c r="FA123" s="160"/>
      <c r="FB123" s="160"/>
      <c r="FC123" s="160"/>
      <c r="FD123" s="160"/>
      <c r="FE123" s="160"/>
      <c r="FF123" s="160"/>
      <c r="FG123" s="160"/>
      <c r="FH123" s="160"/>
      <c r="FI123" s="160"/>
      <c r="FJ123" s="160"/>
      <c r="FK123" s="160"/>
      <c r="FL123" s="160"/>
      <c r="FM123" s="160"/>
      <c r="FN123" s="160"/>
      <c r="FO123" s="160"/>
      <c r="FP123" s="160"/>
      <c r="FQ123" s="160"/>
      <c r="FR123" s="160"/>
      <c r="FS123" s="160"/>
      <c r="FT123" s="160"/>
      <c r="FU123" s="160"/>
      <c r="FV123" s="160"/>
      <c r="FW123" s="160"/>
      <c r="FX123" s="160"/>
      <c r="FY123" s="160"/>
      <c r="FZ123" s="160"/>
      <c r="GA123" s="160"/>
      <c r="GB123" s="160"/>
      <c r="GC123" s="160"/>
      <c r="GD123" s="160"/>
      <c r="GE123" s="160"/>
      <c r="GF123" s="160"/>
      <c r="GG123" s="160"/>
      <c r="GH123" s="160"/>
      <c r="GI123" s="160"/>
      <c r="GJ123" s="160"/>
      <c r="GK123" s="160"/>
      <c r="GL123" s="160"/>
      <c r="GM123" s="160"/>
      <c r="GN123" s="160"/>
      <c r="GO123" s="160"/>
      <c r="GP123" s="160"/>
      <c r="GQ123" s="160"/>
      <c r="GR123" s="160"/>
      <c r="GS123" s="160"/>
      <c r="GT123" s="160"/>
      <c r="GU123" s="160"/>
      <c r="GV123" s="160"/>
      <c r="GW123" s="160"/>
      <c r="GX123" s="160"/>
      <c r="GY123" s="160"/>
      <c r="GZ123" s="160"/>
      <c r="HA123" s="160"/>
      <c r="HB123" s="160"/>
      <c r="HC123" s="160"/>
      <c r="HD123" s="160"/>
      <c r="HE123" s="160"/>
      <c r="HF123" s="160"/>
      <c r="HG123" s="160"/>
      <c r="HH123" s="160"/>
      <c r="HI123" s="160"/>
      <c r="HJ123" s="160"/>
      <c r="HK123" s="160"/>
      <c r="HL123" s="160"/>
      <c r="HM123" s="160"/>
      <c r="HN123" s="160"/>
      <c r="HO123" s="160"/>
      <c r="HP123" s="160"/>
      <c r="HQ123" s="160"/>
      <c r="HR123" s="160"/>
      <c r="HS123" s="160"/>
      <c r="HT123" s="160"/>
      <c r="HU123" s="160"/>
      <c r="HV123" s="160"/>
      <c r="HW123" s="160"/>
      <c r="HX123" s="160"/>
      <c r="HY123" s="160"/>
      <c r="HZ123" s="160"/>
      <c r="IA123" s="160"/>
      <c r="IB123" s="160"/>
      <c r="IC123" s="160"/>
      <c r="ID123" s="160"/>
      <c r="IE123" s="160"/>
      <c r="IF123" s="160"/>
      <c r="IG123" s="160"/>
      <c r="IH123" s="160"/>
      <c r="II123" s="160"/>
      <c r="IJ123" s="160"/>
      <c r="IK123" s="160"/>
      <c r="IL123" s="160"/>
      <c r="IM123" s="160"/>
      <c r="IN123" s="160"/>
      <c r="IO123" s="160"/>
      <c r="IP123" s="160"/>
      <c r="IQ123" s="160"/>
      <c r="IR123" s="160"/>
      <c r="IS123" s="160"/>
      <c r="IT123" s="160"/>
      <c r="IU123" s="160"/>
      <c r="IV123" s="160"/>
      <c r="IW123" s="160"/>
    </row>
    <row r="124" customFormat="false" ht="12.75" hidden="false" customHeight="false" outlineLevel="0" collapsed="false">
      <c r="B124" s="45" t="s">
        <v>31</v>
      </c>
      <c r="C124" s="98" t="s">
        <v>52</v>
      </c>
      <c r="D124" s="180" t="s">
        <v>110</v>
      </c>
      <c r="E124" s="45" t="s">
        <v>45</v>
      </c>
      <c r="F124" s="180" t="s">
        <v>107</v>
      </c>
      <c r="G124" s="181" t="n">
        <v>36867</v>
      </c>
      <c r="H124" s="188" t="n">
        <f aca="false">SUM('ENA #QF5953.1'!D10:D21)/12</f>
        <v>4.01616666666667</v>
      </c>
      <c r="I124" s="188" t="n">
        <f aca="false">SUM('ENA #QF5953.1'!H10:H21)/12</f>
        <v>3.968875</v>
      </c>
      <c r="J124" s="188" t="n">
        <f aca="false">+H124-I124</f>
        <v>0.0472916666666667</v>
      </c>
      <c r="K124" s="184" t="n">
        <f aca="false">-'ENA #QF5953.1'!F22</f>
        <v>1825000</v>
      </c>
      <c r="L124" s="176" t="n">
        <f aca="false">+K124/365</f>
        <v>5000</v>
      </c>
      <c r="M124" s="177" t="n">
        <f aca="false">-'ENA #QF5953.1'!I22</f>
        <v>-86275</v>
      </c>
      <c r="N124" s="177" t="n">
        <f aca="false">-'ENA #QF5953.1'!J22</f>
        <v>-0</v>
      </c>
      <c r="O124" s="177" t="n">
        <f aca="false">-'ENA #QF5953.1'!K22</f>
        <v>-86275</v>
      </c>
      <c r="P124" s="104"/>
      <c r="Q124" s="168" t="n">
        <f aca="false">-O124</f>
        <v>86275</v>
      </c>
      <c r="R124" s="0"/>
      <c r="S124" s="0"/>
      <c r="T124" s="160"/>
      <c r="U124" s="160"/>
      <c r="V124" s="177" t="n">
        <f aca="false">-'ENA #QF5953.1'!L22</f>
        <v>-38875</v>
      </c>
      <c r="W124" s="88" t="str">
        <f aca="false">IF($Y124="NNG",-V124,"")</f>
        <v/>
      </c>
      <c r="X124" s="88" t="n">
        <f aca="false">IF(Y124="TW",-V124,"")</f>
        <v>38875</v>
      </c>
      <c r="Y124" s="45" t="s">
        <v>31</v>
      </c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60"/>
      <c r="BH124" s="160"/>
      <c r="BI124" s="160"/>
      <c r="BJ124" s="160"/>
      <c r="BK124" s="160"/>
      <c r="BL124" s="160"/>
      <c r="BM124" s="160"/>
      <c r="BN124" s="160"/>
      <c r="BO124" s="160"/>
      <c r="BP124" s="160"/>
      <c r="BQ124" s="160"/>
      <c r="BR124" s="160"/>
      <c r="BS124" s="160"/>
      <c r="BT124" s="160"/>
      <c r="BU124" s="160"/>
      <c r="BV124" s="160"/>
      <c r="BW124" s="160"/>
      <c r="BX124" s="160"/>
      <c r="BY124" s="160"/>
      <c r="BZ124" s="160"/>
      <c r="CA124" s="160"/>
      <c r="CB124" s="160"/>
      <c r="CC124" s="160"/>
      <c r="CD124" s="160"/>
      <c r="CE124" s="160"/>
      <c r="CF124" s="160"/>
      <c r="CG124" s="160"/>
      <c r="CH124" s="160"/>
      <c r="CI124" s="160"/>
      <c r="CJ124" s="160"/>
      <c r="CK124" s="160"/>
      <c r="CL124" s="160"/>
      <c r="CM124" s="160"/>
      <c r="CN124" s="160"/>
      <c r="CO124" s="160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0"/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0"/>
      <c r="DY124" s="160"/>
      <c r="DZ124" s="160"/>
      <c r="EA124" s="160"/>
      <c r="EB124" s="160"/>
      <c r="EC124" s="160"/>
      <c r="ED124" s="160"/>
      <c r="EE124" s="160"/>
      <c r="EF124" s="160"/>
      <c r="EG124" s="160"/>
      <c r="EH124" s="160"/>
      <c r="EI124" s="160"/>
      <c r="EJ124" s="160"/>
      <c r="EK124" s="160"/>
      <c r="EL124" s="160"/>
      <c r="EM124" s="160"/>
      <c r="EN124" s="160"/>
      <c r="EO124" s="160"/>
      <c r="EP124" s="160"/>
      <c r="EQ124" s="160"/>
      <c r="ER124" s="160"/>
      <c r="ES124" s="160"/>
      <c r="ET124" s="160"/>
      <c r="EU124" s="160"/>
      <c r="EV124" s="160"/>
      <c r="EW124" s="160"/>
      <c r="EX124" s="160"/>
      <c r="EY124" s="160"/>
      <c r="EZ124" s="160"/>
      <c r="FA124" s="160"/>
      <c r="FB124" s="160"/>
      <c r="FC124" s="160"/>
      <c r="FD124" s="160"/>
      <c r="FE124" s="160"/>
      <c r="FF124" s="160"/>
      <c r="FG124" s="160"/>
      <c r="FH124" s="160"/>
      <c r="FI124" s="160"/>
      <c r="FJ124" s="160"/>
      <c r="FK124" s="160"/>
      <c r="FL124" s="160"/>
      <c r="FM124" s="160"/>
      <c r="FN124" s="160"/>
      <c r="FO124" s="160"/>
      <c r="FP124" s="160"/>
      <c r="FQ124" s="160"/>
      <c r="FR124" s="160"/>
      <c r="FS124" s="160"/>
      <c r="FT124" s="160"/>
      <c r="FU124" s="160"/>
      <c r="FV124" s="160"/>
      <c r="FW124" s="160"/>
      <c r="FX124" s="160"/>
      <c r="FY124" s="160"/>
      <c r="FZ124" s="160"/>
      <c r="GA124" s="160"/>
      <c r="GB124" s="160"/>
      <c r="GC124" s="160"/>
      <c r="GD124" s="160"/>
      <c r="GE124" s="160"/>
      <c r="GF124" s="160"/>
      <c r="GG124" s="160"/>
      <c r="GH124" s="160"/>
      <c r="GI124" s="160"/>
      <c r="GJ124" s="160"/>
      <c r="GK124" s="160"/>
      <c r="GL124" s="160"/>
      <c r="GM124" s="160"/>
      <c r="GN124" s="160"/>
      <c r="GO124" s="160"/>
      <c r="GP124" s="160"/>
      <c r="GQ124" s="160"/>
      <c r="GR124" s="160"/>
      <c r="GS124" s="160"/>
      <c r="GT124" s="160"/>
      <c r="GU124" s="160"/>
      <c r="GV124" s="160"/>
      <c r="GW124" s="160"/>
      <c r="GX124" s="160"/>
      <c r="GY124" s="160"/>
      <c r="GZ124" s="160"/>
      <c r="HA124" s="160"/>
      <c r="HB124" s="160"/>
      <c r="HC124" s="160"/>
      <c r="HD124" s="160"/>
      <c r="HE124" s="160"/>
      <c r="HF124" s="160"/>
      <c r="HG124" s="160"/>
      <c r="HH124" s="160"/>
      <c r="HI124" s="160"/>
      <c r="HJ124" s="160"/>
      <c r="HK124" s="160"/>
      <c r="HL124" s="160"/>
      <c r="HM124" s="160"/>
      <c r="HN124" s="160"/>
      <c r="HO124" s="160"/>
      <c r="HP124" s="160"/>
      <c r="HQ124" s="160"/>
      <c r="HR124" s="160"/>
      <c r="HS124" s="160"/>
      <c r="HT124" s="160"/>
      <c r="HU124" s="160"/>
      <c r="HV124" s="160"/>
      <c r="HW124" s="160"/>
      <c r="HX124" s="160"/>
      <c r="HY124" s="160"/>
      <c r="HZ124" s="160"/>
      <c r="IA124" s="160"/>
      <c r="IB124" s="160"/>
      <c r="IC124" s="160"/>
      <c r="ID124" s="160"/>
      <c r="IE124" s="160"/>
      <c r="IF124" s="160"/>
      <c r="IG124" s="160"/>
      <c r="IH124" s="160"/>
      <c r="II124" s="160"/>
      <c r="IJ124" s="160"/>
      <c r="IK124" s="160"/>
      <c r="IL124" s="160"/>
      <c r="IM124" s="160"/>
      <c r="IN124" s="160"/>
      <c r="IO124" s="160"/>
      <c r="IP124" s="160"/>
      <c r="IQ124" s="160"/>
      <c r="IR124" s="160"/>
      <c r="IS124" s="160"/>
      <c r="IT124" s="160"/>
      <c r="IU124" s="160"/>
      <c r="IV124" s="160"/>
      <c r="IW124" s="160"/>
    </row>
    <row r="125" customFormat="false" ht="12.75" hidden="false" customHeight="false" outlineLevel="0" collapsed="false">
      <c r="A125" s="160"/>
      <c r="B125" s="45"/>
      <c r="C125" s="98"/>
      <c r="D125" s="163"/>
      <c r="E125" s="45"/>
      <c r="F125" s="180"/>
      <c r="G125" s="163"/>
      <c r="H125" s="182" t="n">
        <f aca="false">+H121-H122+H123-H124</f>
        <v>0.0699999999999994</v>
      </c>
      <c r="I125" s="182" t="n">
        <f aca="false">+I121-I122+I123-I124</f>
        <v>0</v>
      </c>
      <c r="J125" s="182" t="n">
        <f aca="false">+J121-J122+J123-J124</f>
        <v>0.0699999999999994</v>
      </c>
      <c r="K125" s="165" t="n">
        <f aca="false">SUM(K121:K124)</f>
        <v>0</v>
      </c>
      <c r="L125" s="165" t="n">
        <f aca="false">SUM(L121:L124)</f>
        <v>0</v>
      </c>
      <c r="M125" s="168" t="n">
        <f aca="false">SUM(M121:M124)</f>
        <v>127750</v>
      </c>
      <c r="N125" s="168" t="n">
        <f aca="false">SUM(N121:N124)</f>
        <v>0</v>
      </c>
      <c r="O125" s="168" t="n">
        <f aca="false">SUM(O121:O124)</f>
        <v>127750</v>
      </c>
      <c r="P125" s="168"/>
      <c r="Q125" s="98"/>
      <c r="R125" s="0"/>
      <c r="S125" s="0"/>
      <c r="T125" s="160"/>
      <c r="U125" s="160"/>
      <c r="V125" s="168" t="n">
        <f aca="false">SUM(V121:V124)</f>
        <v>52850.0000000001</v>
      </c>
      <c r="W125" s="88" t="str">
        <f aca="false">IF($Y125="NNG",-V125,"")</f>
        <v/>
      </c>
      <c r="X125" s="88" t="str">
        <f aca="false">IF(Y125="TW",-V125,"")</f>
        <v/>
      </c>
      <c r="Y125" s="45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60"/>
      <c r="BH125" s="160"/>
      <c r="BI125" s="160"/>
      <c r="BJ125" s="160"/>
      <c r="BK125" s="160"/>
      <c r="BL125" s="160"/>
      <c r="BM125" s="160"/>
      <c r="BN125" s="160"/>
      <c r="BO125" s="160"/>
      <c r="BP125" s="160"/>
      <c r="BQ125" s="160"/>
      <c r="BR125" s="160"/>
      <c r="BS125" s="160"/>
      <c r="BT125" s="160"/>
      <c r="BU125" s="160"/>
      <c r="BV125" s="160"/>
      <c r="BW125" s="160"/>
      <c r="BX125" s="160"/>
      <c r="BY125" s="160"/>
      <c r="BZ125" s="160"/>
      <c r="CA125" s="160"/>
      <c r="CB125" s="160"/>
      <c r="CC125" s="160"/>
      <c r="CD125" s="160"/>
      <c r="CE125" s="160"/>
      <c r="CF125" s="160"/>
      <c r="CG125" s="160"/>
      <c r="CH125" s="160"/>
      <c r="CI125" s="160"/>
      <c r="CJ125" s="160"/>
      <c r="CK125" s="160"/>
      <c r="CL125" s="160"/>
      <c r="CM125" s="160"/>
      <c r="CN125" s="160"/>
      <c r="CO125" s="160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0"/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0"/>
      <c r="DY125" s="160"/>
      <c r="DZ125" s="160"/>
      <c r="EA125" s="160"/>
      <c r="EB125" s="160"/>
      <c r="EC125" s="160"/>
      <c r="ED125" s="160"/>
      <c r="EE125" s="160"/>
      <c r="EF125" s="160"/>
      <c r="EG125" s="160"/>
      <c r="EH125" s="160"/>
      <c r="EI125" s="160"/>
      <c r="EJ125" s="160"/>
      <c r="EK125" s="160"/>
      <c r="EL125" s="160"/>
      <c r="EM125" s="160"/>
      <c r="EN125" s="160"/>
      <c r="EO125" s="160"/>
      <c r="EP125" s="160"/>
      <c r="EQ125" s="160"/>
      <c r="ER125" s="160"/>
      <c r="ES125" s="160"/>
      <c r="ET125" s="160"/>
      <c r="EU125" s="160"/>
      <c r="EV125" s="160"/>
      <c r="EW125" s="160"/>
      <c r="EX125" s="160"/>
      <c r="EY125" s="160"/>
      <c r="EZ125" s="160"/>
      <c r="FA125" s="160"/>
      <c r="FB125" s="160"/>
      <c r="FC125" s="160"/>
      <c r="FD125" s="160"/>
      <c r="FE125" s="160"/>
      <c r="FF125" s="160"/>
      <c r="FG125" s="160"/>
      <c r="FH125" s="160"/>
      <c r="FI125" s="160"/>
      <c r="FJ125" s="160"/>
      <c r="FK125" s="160"/>
      <c r="FL125" s="160"/>
      <c r="FM125" s="160"/>
      <c r="FN125" s="160"/>
      <c r="FO125" s="160"/>
      <c r="FP125" s="160"/>
      <c r="FQ125" s="160"/>
      <c r="FR125" s="160"/>
      <c r="FS125" s="160"/>
      <c r="FT125" s="160"/>
      <c r="FU125" s="160"/>
      <c r="FV125" s="160"/>
      <c r="FW125" s="160"/>
      <c r="FX125" s="160"/>
      <c r="FY125" s="160"/>
      <c r="FZ125" s="160"/>
      <c r="GA125" s="160"/>
      <c r="GB125" s="160"/>
      <c r="GC125" s="160"/>
      <c r="GD125" s="160"/>
      <c r="GE125" s="160"/>
      <c r="GF125" s="160"/>
      <c r="GG125" s="160"/>
      <c r="GH125" s="160"/>
      <c r="GI125" s="160"/>
      <c r="GJ125" s="160"/>
      <c r="GK125" s="160"/>
      <c r="GL125" s="160"/>
      <c r="GM125" s="160"/>
      <c r="GN125" s="160"/>
      <c r="GO125" s="160"/>
      <c r="GP125" s="160"/>
      <c r="GQ125" s="160"/>
      <c r="GR125" s="160"/>
      <c r="GS125" s="160"/>
      <c r="GT125" s="160"/>
      <c r="GU125" s="160"/>
      <c r="GV125" s="160"/>
      <c r="GW125" s="160"/>
      <c r="GX125" s="160"/>
      <c r="GY125" s="160"/>
      <c r="GZ125" s="160"/>
      <c r="HA125" s="160"/>
      <c r="HB125" s="160"/>
      <c r="HC125" s="160"/>
      <c r="HD125" s="160"/>
      <c r="HE125" s="160"/>
      <c r="HF125" s="160"/>
      <c r="HG125" s="160"/>
      <c r="HH125" s="160"/>
      <c r="HI125" s="160"/>
      <c r="HJ125" s="160"/>
      <c r="HK125" s="160"/>
      <c r="HL125" s="160"/>
      <c r="HM125" s="160"/>
      <c r="HN125" s="160"/>
      <c r="HO125" s="160"/>
      <c r="HP125" s="160"/>
      <c r="HQ125" s="160"/>
      <c r="HR125" s="160"/>
      <c r="HS125" s="160"/>
      <c r="HT125" s="160"/>
      <c r="HU125" s="160"/>
      <c r="HV125" s="160"/>
      <c r="HW125" s="160"/>
      <c r="HX125" s="160"/>
      <c r="HY125" s="160"/>
      <c r="HZ125" s="160"/>
      <c r="IA125" s="160"/>
      <c r="IB125" s="160"/>
      <c r="IC125" s="160"/>
      <c r="ID125" s="160"/>
      <c r="IE125" s="160"/>
      <c r="IF125" s="160"/>
      <c r="IG125" s="160"/>
      <c r="IH125" s="160"/>
      <c r="II125" s="160"/>
      <c r="IJ125" s="160"/>
      <c r="IK125" s="160"/>
      <c r="IL125" s="160"/>
      <c r="IM125" s="160"/>
      <c r="IN125" s="160"/>
      <c r="IO125" s="160"/>
      <c r="IP125" s="160"/>
      <c r="IQ125" s="160"/>
      <c r="IR125" s="160"/>
      <c r="IS125" s="160"/>
      <c r="IT125" s="160"/>
      <c r="IU125" s="160"/>
      <c r="IV125" s="160"/>
      <c r="IW125" s="160"/>
    </row>
    <row r="126" customFormat="false" ht="12.75" hidden="false" customHeight="false" outlineLevel="0" collapsed="false">
      <c r="A126" s="160"/>
      <c r="B126" s="45"/>
      <c r="C126" s="98"/>
      <c r="D126" s="163"/>
      <c r="E126" s="45"/>
      <c r="F126" s="180"/>
      <c r="G126" s="163"/>
      <c r="H126" s="182"/>
      <c r="I126" s="182"/>
      <c r="J126" s="182"/>
      <c r="K126" s="165"/>
      <c r="L126" s="190"/>
      <c r="M126" s="168"/>
      <c r="N126" s="168"/>
      <c r="O126" s="168"/>
      <c r="P126" s="168"/>
      <c r="Q126" s="191"/>
      <c r="R126" s="0"/>
      <c r="S126" s="0"/>
      <c r="T126" s="160"/>
      <c r="U126" s="160"/>
      <c r="V126" s="168"/>
      <c r="W126" s="88" t="str">
        <f aca="false">IF($Y126="NNG",-V126,"")</f>
        <v/>
      </c>
      <c r="X126" s="88" t="str">
        <f aca="false">IF(Y126="TW",-V126,"")</f>
        <v/>
      </c>
      <c r="Y126" s="45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AU126" s="160"/>
      <c r="AV126" s="160"/>
      <c r="AW126" s="160"/>
      <c r="AX126" s="160"/>
      <c r="AY126" s="160"/>
      <c r="AZ126" s="160"/>
      <c r="BA126" s="160"/>
      <c r="BB126" s="160"/>
      <c r="BC126" s="160"/>
      <c r="BD126" s="160"/>
      <c r="BE126" s="160"/>
      <c r="BF126" s="160"/>
      <c r="BG126" s="160"/>
      <c r="BH126" s="160"/>
      <c r="BI126" s="160"/>
      <c r="BJ126" s="160"/>
      <c r="BK126" s="160"/>
      <c r="BL126" s="160"/>
      <c r="BM126" s="160"/>
      <c r="BN126" s="160"/>
      <c r="BO126" s="160"/>
      <c r="BP126" s="160"/>
      <c r="BQ126" s="160"/>
      <c r="BR126" s="160"/>
      <c r="BS126" s="160"/>
      <c r="BT126" s="160"/>
      <c r="BU126" s="160"/>
      <c r="BV126" s="160"/>
      <c r="BW126" s="160"/>
      <c r="BX126" s="160"/>
      <c r="BY126" s="160"/>
      <c r="BZ126" s="160"/>
      <c r="CA126" s="160"/>
      <c r="CB126" s="160"/>
      <c r="CC126" s="160"/>
      <c r="CD126" s="160"/>
      <c r="CE126" s="160"/>
      <c r="CF126" s="160"/>
      <c r="CG126" s="160"/>
      <c r="CH126" s="160"/>
      <c r="CI126" s="160"/>
      <c r="CJ126" s="160"/>
      <c r="CK126" s="160"/>
      <c r="CL126" s="160"/>
      <c r="CM126" s="160"/>
      <c r="CN126" s="160"/>
      <c r="CO126" s="160"/>
      <c r="CP126" s="160"/>
      <c r="CQ126" s="160"/>
      <c r="CR126" s="160"/>
      <c r="CS126" s="160"/>
      <c r="CT126" s="160"/>
      <c r="CU126" s="160"/>
      <c r="CV126" s="160"/>
      <c r="CW126" s="160"/>
      <c r="CX126" s="160"/>
      <c r="CY126" s="160"/>
      <c r="CZ126" s="160"/>
      <c r="DA126" s="160"/>
      <c r="DB126" s="160"/>
      <c r="DC126" s="160"/>
      <c r="DD126" s="160"/>
      <c r="DE126" s="160"/>
      <c r="DF126" s="160"/>
      <c r="DG126" s="160"/>
      <c r="DH126" s="160"/>
      <c r="DI126" s="160"/>
      <c r="DJ126" s="160"/>
      <c r="DK126" s="160"/>
      <c r="DL126" s="160"/>
      <c r="DM126" s="160"/>
      <c r="DN126" s="160"/>
      <c r="DO126" s="160"/>
      <c r="DP126" s="160"/>
      <c r="DQ126" s="160"/>
      <c r="DR126" s="160"/>
      <c r="DS126" s="160"/>
      <c r="DT126" s="160"/>
      <c r="DU126" s="160"/>
      <c r="DV126" s="160"/>
      <c r="DW126" s="160"/>
      <c r="DX126" s="160"/>
      <c r="DY126" s="160"/>
      <c r="DZ126" s="160"/>
      <c r="EA126" s="160"/>
      <c r="EB126" s="160"/>
      <c r="EC126" s="160"/>
      <c r="ED126" s="160"/>
      <c r="EE126" s="160"/>
      <c r="EF126" s="160"/>
      <c r="EG126" s="160"/>
      <c r="EH126" s="160"/>
      <c r="EI126" s="160"/>
      <c r="EJ126" s="160"/>
      <c r="EK126" s="160"/>
      <c r="EL126" s="160"/>
      <c r="EM126" s="160"/>
      <c r="EN126" s="160"/>
      <c r="EO126" s="160"/>
      <c r="EP126" s="160"/>
      <c r="EQ126" s="160"/>
      <c r="ER126" s="160"/>
      <c r="ES126" s="160"/>
      <c r="ET126" s="160"/>
      <c r="EU126" s="160"/>
      <c r="EV126" s="160"/>
      <c r="EW126" s="160"/>
      <c r="EX126" s="160"/>
      <c r="EY126" s="160"/>
      <c r="EZ126" s="160"/>
      <c r="FA126" s="160"/>
      <c r="FB126" s="160"/>
      <c r="FC126" s="160"/>
      <c r="FD126" s="160"/>
      <c r="FE126" s="160"/>
      <c r="FF126" s="160"/>
      <c r="FG126" s="160"/>
      <c r="FH126" s="160"/>
      <c r="FI126" s="160"/>
      <c r="FJ126" s="160"/>
      <c r="FK126" s="160"/>
      <c r="FL126" s="160"/>
      <c r="FM126" s="160"/>
      <c r="FN126" s="160"/>
      <c r="FO126" s="160"/>
      <c r="FP126" s="160"/>
      <c r="FQ126" s="160"/>
      <c r="FR126" s="160"/>
      <c r="FS126" s="160"/>
      <c r="FT126" s="160"/>
      <c r="FU126" s="160"/>
      <c r="FV126" s="160"/>
      <c r="FW126" s="160"/>
      <c r="FX126" s="160"/>
      <c r="FY126" s="160"/>
      <c r="FZ126" s="160"/>
      <c r="GA126" s="160"/>
      <c r="GB126" s="160"/>
      <c r="GC126" s="160"/>
      <c r="GD126" s="160"/>
      <c r="GE126" s="160"/>
      <c r="GF126" s="160"/>
      <c r="GG126" s="160"/>
      <c r="GH126" s="160"/>
      <c r="GI126" s="160"/>
      <c r="GJ126" s="160"/>
      <c r="GK126" s="160"/>
      <c r="GL126" s="160"/>
      <c r="GM126" s="160"/>
      <c r="GN126" s="160"/>
      <c r="GO126" s="160"/>
      <c r="GP126" s="160"/>
      <c r="GQ126" s="160"/>
      <c r="GR126" s="160"/>
      <c r="GS126" s="160"/>
      <c r="GT126" s="160"/>
      <c r="GU126" s="160"/>
      <c r="GV126" s="160"/>
      <c r="GW126" s="160"/>
      <c r="GX126" s="160"/>
      <c r="GY126" s="160"/>
      <c r="GZ126" s="160"/>
      <c r="HA126" s="160"/>
      <c r="HB126" s="160"/>
      <c r="HC126" s="160"/>
      <c r="HD126" s="160"/>
      <c r="HE126" s="160"/>
      <c r="HF126" s="160"/>
      <c r="HG126" s="160"/>
      <c r="HH126" s="160"/>
      <c r="HI126" s="160"/>
      <c r="HJ126" s="160"/>
      <c r="HK126" s="160"/>
      <c r="HL126" s="160"/>
      <c r="HM126" s="160"/>
      <c r="HN126" s="160"/>
      <c r="HO126" s="160"/>
      <c r="HP126" s="160"/>
      <c r="HQ126" s="160"/>
      <c r="HR126" s="160"/>
      <c r="HS126" s="160"/>
      <c r="HT126" s="160"/>
      <c r="HU126" s="160"/>
      <c r="HV126" s="160"/>
      <c r="HW126" s="160"/>
      <c r="HX126" s="160"/>
      <c r="HY126" s="160"/>
      <c r="HZ126" s="160"/>
      <c r="IA126" s="160"/>
      <c r="IB126" s="160"/>
      <c r="IC126" s="160"/>
      <c r="ID126" s="160"/>
      <c r="IE126" s="160"/>
      <c r="IF126" s="160"/>
      <c r="IG126" s="160"/>
      <c r="IH126" s="160"/>
      <c r="II126" s="160"/>
      <c r="IJ126" s="160"/>
      <c r="IK126" s="160"/>
      <c r="IL126" s="160"/>
      <c r="IM126" s="160"/>
      <c r="IN126" s="160"/>
      <c r="IO126" s="160"/>
      <c r="IP126" s="160"/>
      <c r="IQ126" s="160"/>
      <c r="IR126" s="160"/>
      <c r="IS126" s="160"/>
      <c r="IT126" s="160"/>
      <c r="IU126" s="160"/>
      <c r="IV126" s="160"/>
      <c r="IW126" s="160"/>
    </row>
    <row r="127" customFormat="false" ht="12.75" hidden="false" customHeight="false" outlineLevel="0" collapsed="false">
      <c r="B127" s="98" t="s">
        <v>30</v>
      </c>
      <c r="C127" s="98" t="s">
        <v>96</v>
      </c>
      <c r="D127" s="98" t="s">
        <v>111</v>
      </c>
      <c r="E127" s="98" t="s">
        <v>45</v>
      </c>
      <c r="F127" s="35" t="s">
        <v>112</v>
      </c>
      <c r="G127" s="99" t="n">
        <v>36924</v>
      </c>
      <c r="H127" s="75" t="n">
        <f aca="false">AVERAGE(HJN1006!D10:D16)</f>
        <v>4.19385714285714</v>
      </c>
      <c r="I127" s="75" t="n">
        <f aca="false">AVERAGE(HJN1006!H10:H16)</f>
        <v>4.182</v>
      </c>
      <c r="J127" s="100" t="n">
        <f aca="false">+H127-I127</f>
        <v>0.011857142857143</v>
      </c>
      <c r="K127" s="101" t="n">
        <f aca="false">-HJN1006!F18</f>
        <v>-1070000</v>
      </c>
      <c r="L127" s="102" t="n">
        <f aca="false">+K127/31</f>
        <v>-34516.1290322581</v>
      </c>
      <c r="M127" s="103" t="n">
        <f aca="false">-HJN1006!I18</f>
        <v>-12805.0000000003</v>
      </c>
      <c r="N127" s="103" t="n">
        <f aca="false">-HJN1006!J18</f>
        <v>5344.99999999989</v>
      </c>
      <c r="O127" s="103" t="n">
        <f aca="false">-HJN1006!K18</f>
        <v>-18150.0000000002</v>
      </c>
      <c r="P127" s="76" t="n">
        <f aca="false">-O127</f>
        <v>18150.0000000002</v>
      </c>
      <c r="Q127" s="86"/>
      <c r="R127" s="0"/>
      <c r="S127" s="0"/>
      <c r="T127" s="88" t="n">
        <f aca="false">IF(Y127="NNG",+S127,"")</f>
        <v>0</v>
      </c>
      <c r="U127" s="88" t="str">
        <f aca="false">IF(Y127="TW",+S127,"")</f>
        <v/>
      </c>
      <c r="V127" s="104" t="n">
        <f aca="false">-HJN1006!L18</f>
        <v>-18150.0000000002</v>
      </c>
      <c r="W127" s="88" t="n">
        <f aca="false">IF($Y127="NNG",-V127,"")</f>
        <v>18150.0000000002</v>
      </c>
      <c r="X127" s="88" t="str">
        <f aca="false">IF(Y127="TW",-V127,"")</f>
        <v/>
      </c>
      <c r="Y127" s="98" t="s">
        <v>30</v>
      </c>
    </row>
    <row r="128" customFormat="false" ht="12.75" hidden="false" customHeight="false" outlineLevel="0" collapsed="false">
      <c r="B128" s="98" t="s">
        <v>30</v>
      </c>
      <c r="C128" s="98" t="s">
        <v>96</v>
      </c>
      <c r="D128" s="98" t="s">
        <v>113</v>
      </c>
      <c r="E128" s="98" t="s">
        <v>45</v>
      </c>
      <c r="F128" s="35" t="s">
        <v>112</v>
      </c>
      <c r="G128" s="99" t="n">
        <v>36924</v>
      </c>
      <c r="H128" s="75" t="n">
        <f aca="false">AVERAGE(HJN1007!D10:D16)</f>
        <v>4.28385714285714</v>
      </c>
      <c r="I128" s="75" t="n">
        <f aca="false">AVERAGE(HJN1007!H10:H16)</f>
        <v>4.21342857142857</v>
      </c>
      <c r="J128" s="100" t="n">
        <f aca="false">+H128-I128</f>
        <v>0.0704285714285717</v>
      </c>
      <c r="K128" s="101" t="n">
        <f aca="false">-HJN1007!F18</f>
        <v>1070000</v>
      </c>
      <c r="L128" s="102" t="n">
        <f aca="false">+K128/31</f>
        <v>34516.1290322581</v>
      </c>
      <c r="M128" s="103" t="n">
        <f aca="false">-HJN1007!I18</f>
        <v>75630.0000000001</v>
      </c>
      <c r="N128" s="103" t="n">
        <f aca="false">-HJN1007!J18</f>
        <v>10155.0000000001</v>
      </c>
      <c r="O128" s="103" t="n">
        <f aca="false">-HJN1007!K18</f>
        <v>65475</v>
      </c>
      <c r="P128" s="76" t="n">
        <f aca="false">-O128</f>
        <v>-65475</v>
      </c>
      <c r="Q128" s="86"/>
      <c r="R128" s="0"/>
      <c r="S128" s="0"/>
      <c r="T128" s="88" t="n">
        <f aca="false">IF(Y128="NNG",+S128,"")</f>
        <v>0</v>
      </c>
      <c r="U128" s="88" t="str">
        <f aca="false">IF(Y128="TW",+S128,"")</f>
        <v/>
      </c>
      <c r="V128" s="104" t="n">
        <f aca="false">-HJN1007!L18</f>
        <v>65475</v>
      </c>
      <c r="W128" s="88" t="n">
        <f aca="false">IF($Y128="NNG",-V128,"")</f>
        <v>-65475</v>
      </c>
      <c r="X128" s="88" t="str">
        <f aca="false">IF(Y128="TW",-V128,"")</f>
        <v/>
      </c>
      <c r="Y128" s="98" t="s">
        <v>30</v>
      </c>
    </row>
    <row r="129" customFormat="false" ht="12.75" hidden="false" customHeight="false" outlineLevel="0" collapsed="false">
      <c r="A129" s="160"/>
      <c r="B129" s="45"/>
      <c r="C129" s="98"/>
      <c r="D129" s="163"/>
      <c r="E129" s="45"/>
      <c r="F129" s="180"/>
      <c r="G129" s="163"/>
      <c r="H129" s="182" t="n">
        <f aca="false">+H127-H128</f>
        <v>-0.0899999999999999</v>
      </c>
      <c r="I129" s="182" t="n">
        <f aca="false">+I127-I128</f>
        <v>-0.0314285714285711</v>
      </c>
      <c r="J129" s="182" t="n">
        <f aca="false">SUM(J127:J128)</f>
        <v>0.0822857142857147</v>
      </c>
      <c r="K129" s="165" t="n">
        <f aca="false">SUM(K127:K128)</f>
        <v>0</v>
      </c>
      <c r="L129" s="165" t="n">
        <f aca="false">SUM(L127:L128)</f>
        <v>0</v>
      </c>
      <c r="M129" s="168" t="n">
        <f aca="false">SUM(M127:M128)</f>
        <v>62824.9999999998</v>
      </c>
      <c r="N129" s="168" t="n">
        <f aca="false">SUM(N127:N128)</f>
        <v>15500</v>
      </c>
      <c r="O129" s="168" t="n">
        <f aca="false">SUM(O127:O128)</f>
        <v>47324.9999999998</v>
      </c>
      <c r="P129" s="104"/>
      <c r="Q129" s="98"/>
      <c r="R129" s="0"/>
      <c r="S129" s="0"/>
      <c r="T129" s="160"/>
      <c r="U129" s="160"/>
      <c r="V129" s="168" t="n">
        <f aca="false">SUM(V127:V128)</f>
        <v>47324.9999999998</v>
      </c>
      <c r="W129" s="88" t="str">
        <f aca="false">IF($Y129="NNG",-V129,"")</f>
        <v/>
      </c>
      <c r="X129" s="88" t="str">
        <f aca="false">IF(Y129="TW",-V129,"")</f>
        <v/>
      </c>
      <c r="Y129" s="45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0"/>
      <c r="BB129" s="160"/>
      <c r="BC129" s="160"/>
      <c r="BD129" s="160"/>
      <c r="BE129" s="160"/>
      <c r="BF129" s="160"/>
      <c r="BG129" s="160"/>
      <c r="BH129" s="160"/>
      <c r="BI129" s="160"/>
      <c r="BJ129" s="160"/>
      <c r="BK129" s="160"/>
      <c r="BL129" s="160"/>
      <c r="BM129" s="160"/>
      <c r="BN129" s="160"/>
      <c r="BO129" s="160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60"/>
      <c r="CB129" s="160"/>
      <c r="CC129" s="160"/>
      <c r="CD129" s="160"/>
      <c r="CE129" s="160"/>
      <c r="CF129" s="160"/>
      <c r="CG129" s="160"/>
      <c r="CH129" s="160"/>
      <c r="CI129" s="160"/>
      <c r="CJ129" s="160"/>
      <c r="CK129" s="160"/>
      <c r="CL129" s="160"/>
      <c r="CM129" s="160"/>
      <c r="CN129" s="160"/>
      <c r="CO129" s="160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  <c r="EA129" s="160"/>
      <c r="EB129" s="160"/>
      <c r="EC129" s="160"/>
      <c r="ED129" s="160"/>
      <c r="EE129" s="160"/>
      <c r="EF129" s="160"/>
      <c r="EG129" s="160"/>
      <c r="EH129" s="160"/>
      <c r="EI129" s="160"/>
      <c r="EJ129" s="160"/>
      <c r="EK129" s="160"/>
      <c r="EL129" s="160"/>
      <c r="EM129" s="160"/>
      <c r="EN129" s="160"/>
      <c r="EO129" s="160"/>
      <c r="EP129" s="160"/>
      <c r="EQ129" s="160"/>
      <c r="ER129" s="160"/>
      <c r="ES129" s="160"/>
      <c r="ET129" s="160"/>
      <c r="EU129" s="160"/>
      <c r="EV129" s="160"/>
      <c r="EW129" s="160"/>
      <c r="EX129" s="160"/>
      <c r="EY129" s="160"/>
      <c r="EZ129" s="160"/>
      <c r="FA129" s="160"/>
      <c r="FB129" s="160"/>
      <c r="FC129" s="160"/>
      <c r="FD129" s="160"/>
      <c r="FE129" s="160"/>
      <c r="FF129" s="160"/>
      <c r="FG129" s="160"/>
      <c r="FH129" s="160"/>
      <c r="FI129" s="160"/>
      <c r="FJ129" s="160"/>
      <c r="FK129" s="160"/>
      <c r="FL129" s="160"/>
      <c r="FM129" s="160"/>
      <c r="FN129" s="160"/>
      <c r="FO129" s="160"/>
      <c r="FP129" s="160"/>
      <c r="FQ129" s="160"/>
      <c r="FR129" s="160"/>
      <c r="FS129" s="160"/>
      <c r="FT129" s="160"/>
      <c r="FU129" s="160"/>
      <c r="FV129" s="160"/>
      <c r="FW129" s="160"/>
      <c r="FX129" s="160"/>
      <c r="FY129" s="160"/>
      <c r="FZ129" s="160"/>
      <c r="GA129" s="160"/>
      <c r="GB129" s="160"/>
      <c r="GC129" s="160"/>
      <c r="GD129" s="160"/>
      <c r="GE129" s="160"/>
      <c r="GF129" s="160"/>
      <c r="GG129" s="160"/>
      <c r="GH129" s="160"/>
      <c r="GI129" s="160"/>
      <c r="GJ129" s="160"/>
      <c r="GK129" s="160"/>
      <c r="GL129" s="160"/>
      <c r="GM129" s="160"/>
      <c r="GN129" s="160"/>
      <c r="GO129" s="160"/>
      <c r="GP129" s="160"/>
      <c r="GQ129" s="160"/>
      <c r="GR129" s="160"/>
      <c r="GS129" s="160"/>
      <c r="GT129" s="160"/>
      <c r="GU129" s="160"/>
      <c r="GV129" s="160"/>
      <c r="GW129" s="160"/>
      <c r="GX129" s="160"/>
      <c r="GY129" s="160"/>
      <c r="GZ129" s="160"/>
      <c r="HA129" s="160"/>
      <c r="HB129" s="160"/>
      <c r="HC129" s="160"/>
      <c r="HD129" s="160"/>
      <c r="HE129" s="160"/>
      <c r="HF129" s="160"/>
      <c r="HG129" s="160"/>
      <c r="HH129" s="160"/>
      <c r="HI129" s="160"/>
      <c r="HJ129" s="160"/>
      <c r="HK129" s="160"/>
      <c r="HL129" s="160"/>
      <c r="HM129" s="160"/>
      <c r="HN129" s="160"/>
      <c r="HO129" s="160"/>
      <c r="HP129" s="160"/>
      <c r="HQ129" s="160"/>
      <c r="HR129" s="160"/>
      <c r="HS129" s="160"/>
      <c r="HT129" s="160"/>
      <c r="HU129" s="160"/>
      <c r="HV129" s="160"/>
      <c r="HW129" s="160"/>
      <c r="HX129" s="160"/>
      <c r="HY129" s="160"/>
      <c r="HZ129" s="160"/>
      <c r="IA129" s="160"/>
      <c r="IB129" s="160"/>
      <c r="IC129" s="160"/>
      <c r="ID129" s="160"/>
      <c r="IE129" s="160"/>
      <c r="IF129" s="160"/>
      <c r="IG129" s="160"/>
      <c r="IH129" s="160"/>
      <c r="II129" s="160"/>
      <c r="IJ129" s="160"/>
      <c r="IK129" s="160"/>
      <c r="IL129" s="160"/>
      <c r="IM129" s="160"/>
      <c r="IN129" s="160"/>
      <c r="IO129" s="160"/>
      <c r="IP129" s="160"/>
      <c r="IQ129" s="160"/>
      <c r="IR129" s="160"/>
      <c r="IS129" s="160"/>
      <c r="IT129" s="160"/>
      <c r="IU129" s="160"/>
      <c r="IV129" s="160"/>
      <c r="IW129" s="160"/>
    </row>
    <row r="130" customFormat="false" ht="12.75" hidden="false" customHeight="false" outlineLevel="0" collapsed="false">
      <c r="B130" s="45"/>
      <c r="C130" s="98"/>
      <c r="D130" s="45"/>
      <c r="E130" s="45"/>
      <c r="F130" s="35"/>
      <c r="G130" s="85"/>
      <c r="H130" s="38"/>
      <c r="I130" s="38"/>
      <c r="J130" s="47"/>
      <c r="K130" s="68"/>
      <c r="L130" s="68"/>
      <c r="M130" s="52"/>
      <c r="N130" s="41"/>
      <c r="O130" s="41"/>
      <c r="P130" s="76"/>
      <c r="Q130" s="86"/>
      <c r="R130" s="0"/>
      <c r="S130" s="0"/>
      <c r="T130" s="88" t="str">
        <f aca="false">IF(Y130="NNG",+S130,"")</f>
        <v/>
      </c>
      <c r="U130" s="88" t="str">
        <f aca="false">IF(Y130="TW",+S130,"")</f>
        <v/>
      </c>
      <c r="V130" s="86"/>
      <c r="W130" s="88" t="str">
        <f aca="false">IF($Y130="NNG",-V130,"")</f>
        <v/>
      </c>
      <c r="X130" s="88" t="str">
        <f aca="false">IF(Y130="TW",-V130,"")</f>
        <v/>
      </c>
      <c r="Y130" s="45"/>
    </row>
    <row r="131" customFormat="false" ht="12.75" hidden="false" customHeight="false" outlineLevel="0" collapsed="false">
      <c r="B131" s="98" t="s">
        <v>30</v>
      </c>
      <c r="C131" s="98" t="s">
        <v>114</v>
      </c>
      <c r="D131" s="98" t="s">
        <v>115</v>
      </c>
      <c r="E131" s="98" t="s">
        <v>45</v>
      </c>
      <c r="F131" s="35" t="s">
        <v>116</v>
      </c>
      <c r="G131" s="99" t="n">
        <v>37007</v>
      </c>
      <c r="H131" s="75" t="n">
        <f aca="false">AVERAGE(HJN1008!D10:D16)</f>
        <v>3.8574</v>
      </c>
      <c r="I131" s="75" t="n">
        <f aca="false">AVERAGE(HJN1008!H10:H16)</f>
        <v>3.8288</v>
      </c>
      <c r="J131" s="100" t="n">
        <f aca="false">+H131-I131</f>
        <v>0.0286000000000004</v>
      </c>
      <c r="K131" s="101" t="n">
        <f aca="false">-HJN1008!F16</f>
        <v>765000</v>
      </c>
      <c r="L131" s="102" t="n">
        <f aca="false">+K131/31</f>
        <v>24677.4193548387</v>
      </c>
      <c r="M131" s="103" t="n">
        <f aca="false">-HJN1008!I16</f>
        <v>21975.0000000001</v>
      </c>
      <c r="N131" s="103" t="n">
        <f aca="false">-HJN1008!J16</f>
        <v>-0</v>
      </c>
      <c r="O131" s="103" t="n">
        <f aca="false">-HJN1008!K16</f>
        <v>21975.0000000001</v>
      </c>
      <c r="P131" s="76" t="n">
        <f aca="false">-O131</f>
        <v>-21975.0000000001</v>
      </c>
      <c r="Q131" s="86"/>
      <c r="R131" s="0"/>
      <c r="S131" s="0"/>
      <c r="T131" s="88" t="n">
        <f aca="false">IF(Y131="NNG",+S131,"")</f>
        <v>0</v>
      </c>
      <c r="U131" s="88" t="str">
        <f aca="false">IF(Y131="TW",+S131,"")</f>
        <v/>
      </c>
      <c r="V131" s="104" t="n">
        <f aca="false">-HJN1008!L16</f>
        <v>21975.0000000001</v>
      </c>
      <c r="W131" s="88" t="n">
        <f aca="false">IF($Y131="NNG",-V131,"")</f>
        <v>-21975.0000000001</v>
      </c>
      <c r="X131" s="88" t="str">
        <f aca="false">IF(Y131="TW",-V131,"")</f>
        <v/>
      </c>
      <c r="Y131" s="98" t="s">
        <v>30</v>
      </c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</row>
    <row r="132" customFormat="false" ht="12.75" hidden="false" customHeight="false" outlineLevel="0" collapsed="false">
      <c r="B132" s="98" t="s">
        <v>30</v>
      </c>
      <c r="C132" s="98" t="s">
        <v>114</v>
      </c>
      <c r="D132" s="98" t="s">
        <v>117</v>
      </c>
      <c r="E132" s="98" t="s">
        <v>45</v>
      </c>
      <c r="F132" s="35" t="s">
        <v>116</v>
      </c>
      <c r="G132" s="99" t="n">
        <v>37007</v>
      </c>
      <c r="H132" s="75" t="n">
        <f aca="false">AVERAGE(HJN1009!D10:D14)</f>
        <v>3.9124</v>
      </c>
      <c r="I132" s="75" t="n">
        <f aca="false">AVERAGE(HJN1009!H10:H14)</f>
        <v>3.8568</v>
      </c>
      <c r="J132" s="100" t="n">
        <f aca="false">+H132-I132</f>
        <v>0.0556000000000005</v>
      </c>
      <c r="K132" s="101" t="n">
        <f aca="false">-HJN1009!F16</f>
        <v>-765000</v>
      </c>
      <c r="L132" s="102" t="n">
        <f aca="false">+K132/31</f>
        <v>-24677.4193548387</v>
      </c>
      <c r="M132" s="103" t="n">
        <f aca="false">-HJN1009!I16</f>
        <v>-42525.0000000001</v>
      </c>
      <c r="N132" s="103" t="n">
        <f aca="false">-HJN1009!J16</f>
        <v>-0</v>
      </c>
      <c r="O132" s="103" t="n">
        <f aca="false">-HJN1009!K16</f>
        <v>-42525.0000000001</v>
      </c>
      <c r="P132" s="76" t="n">
        <f aca="false">-O132</f>
        <v>42525.0000000001</v>
      </c>
      <c r="Q132" s="86"/>
      <c r="R132" s="0"/>
      <c r="S132" s="0"/>
      <c r="T132" s="88" t="n">
        <f aca="false">IF(Y132="NNG",+S132,"")</f>
        <v>0</v>
      </c>
      <c r="U132" s="88" t="str">
        <f aca="false">IF(Y132="TW",+S132,"")</f>
        <v/>
      </c>
      <c r="V132" s="104" t="n">
        <f aca="false">-HJN1009!L16</f>
        <v>-42525.0000000001</v>
      </c>
      <c r="W132" s="88" t="n">
        <f aca="false">IF($Y132="NNG",-V132,"")</f>
        <v>42525.0000000001</v>
      </c>
      <c r="X132" s="88" t="str">
        <f aca="false">IF(Y132="TW",-V132,"")</f>
        <v/>
      </c>
      <c r="Y132" s="98" t="s">
        <v>30</v>
      </c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</row>
    <row r="133" customFormat="false" ht="12.75" hidden="false" customHeight="false" outlineLevel="0" collapsed="false">
      <c r="A133" s="160"/>
      <c r="B133" s="45"/>
      <c r="C133" s="98"/>
      <c r="D133" s="163"/>
      <c r="E133" s="45"/>
      <c r="F133" s="180"/>
      <c r="G133" s="163"/>
      <c r="H133" s="182" t="n">
        <f aca="false">+H131-H132</f>
        <v>-0.0550000000000002</v>
      </c>
      <c r="I133" s="182" t="n">
        <f aca="false">+I131-I132</f>
        <v>-0.028</v>
      </c>
      <c r="J133" s="182" t="n">
        <f aca="false">SUM(J131:J132)</f>
        <v>0.0842000000000009</v>
      </c>
      <c r="K133" s="165" t="n">
        <f aca="false">SUM(K131:K132)</f>
        <v>0</v>
      </c>
      <c r="L133" s="165" t="n">
        <f aca="false">SUM(L131:L132)</f>
        <v>0</v>
      </c>
      <c r="M133" s="168" t="n">
        <f aca="false">SUM(M131:M132)</f>
        <v>-20550</v>
      </c>
      <c r="N133" s="168" t="n">
        <f aca="false">SUM(N131:N132)</f>
        <v>0</v>
      </c>
      <c r="O133" s="168" t="n">
        <f aca="false">SUM(O131:O132)</f>
        <v>-20550</v>
      </c>
      <c r="P133" s="104"/>
      <c r="Q133" s="98"/>
      <c r="R133" s="0"/>
      <c r="S133" s="0"/>
      <c r="T133" s="160"/>
      <c r="U133" s="160"/>
      <c r="V133" s="168" t="n">
        <f aca="false">SUM(V131:V132)</f>
        <v>-20550</v>
      </c>
      <c r="W133" s="88" t="str">
        <f aca="false">IF($Y133="NNG",-V133,"")</f>
        <v/>
      </c>
      <c r="X133" s="88" t="str">
        <f aca="false">IF(Y133="TW",-V133,"")</f>
        <v/>
      </c>
      <c r="Y133" s="45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0"/>
      <c r="CB133" s="160"/>
      <c r="CC133" s="160"/>
      <c r="CD133" s="160"/>
      <c r="CE133" s="160"/>
      <c r="CF133" s="160"/>
      <c r="CG133" s="160"/>
      <c r="CH133" s="160"/>
      <c r="CI133" s="160"/>
      <c r="CJ133" s="160"/>
      <c r="CK133" s="160"/>
      <c r="CL133" s="160"/>
      <c r="CM133" s="160"/>
      <c r="CN133" s="160"/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0"/>
      <c r="DF133" s="160"/>
      <c r="DG133" s="160"/>
      <c r="DH133" s="160"/>
      <c r="DI133" s="160"/>
      <c r="DJ133" s="160"/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/>
      <c r="DY133" s="160"/>
      <c r="DZ133" s="160"/>
      <c r="EA133" s="160"/>
      <c r="EB133" s="160"/>
      <c r="EC133" s="160"/>
      <c r="ED133" s="160"/>
      <c r="EE133" s="160"/>
      <c r="EF133" s="160"/>
      <c r="EG133" s="160"/>
      <c r="EH133" s="160"/>
      <c r="EI133" s="160"/>
      <c r="EJ133" s="160"/>
      <c r="EK133" s="160"/>
      <c r="EL133" s="160"/>
      <c r="EM133" s="160"/>
      <c r="EN133" s="160"/>
      <c r="EO133" s="160"/>
      <c r="EP133" s="160"/>
      <c r="EQ133" s="160"/>
      <c r="ER133" s="160"/>
      <c r="ES133" s="160"/>
      <c r="ET133" s="160"/>
      <c r="EU133" s="160"/>
      <c r="EV133" s="160"/>
      <c r="EW133" s="160"/>
      <c r="EX133" s="160"/>
      <c r="EY133" s="160"/>
      <c r="EZ133" s="160"/>
      <c r="FA133" s="160"/>
      <c r="FB133" s="160"/>
      <c r="FC133" s="160"/>
      <c r="FD133" s="160"/>
      <c r="FE133" s="160"/>
      <c r="FF133" s="160"/>
      <c r="FG133" s="160"/>
      <c r="FH133" s="160"/>
      <c r="FI133" s="160"/>
      <c r="FJ133" s="160"/>
      <c r="FK133" s="160"/>
      <c r="FL133" s="160"/>
      <c r="FM133" s="160"/>
      <c r="FN133" s="160"/>
      <c r="FO133" s="160"/>
      <c r="FP133" s="160"/>
      <c r="FQ133" s="160"/>
      <c r="FR133" s="160"/>
      <c r="FS133" s="160"/>
      <c r="FT133" s="160"/>
      <c r="FU133" s="160"/>
      <c r="FV133" s="160"/>
      <c r="FW133" s="160"/>
      <c r="FX133" s="160"/>
      <c r="FY133" s="160"/>
      <c r="FZ133" s="160"/>
      <c r="GA133" s="160"/>
      <c r="GB133" s="160"/>
      <c r="GC133" s="160"/>
      <c r="GD133" s="160"/>
      <c r="GE133" s="160"/>
      <c r="GF133" s="160"/>
      <c r="GG133" s="160"/>
      <c r="GH133" s="160"/>
      <c r="GI133" s="160"/>
      <c r="GJ133" s="160"/>
      <c r="GK133" s="160"/>
      <c r="GL133" s="160"/>
      <c r="GM133" s="160"/>
      <c r="GN133" s="160"/>
      <c r="GO133" s="160"/>
      <c r="GP133" s="160"/>
      <c r="GQ133" s="160"/>
      <c r="GR133" s="160"/>
      <c r="GS133" s="160"/>
      <c r="GT133" s="160"/>
      <c r="GU133" s="160"/>
      <c r="GV133" s="160"/>
      <c r="GW133" s="160"/>
      <c r="GX133" s="160"/>
      <c r="GY133" s="160"/>
      <c r="GZ133" s="160"/>
      <c r="HA133" s="160"/>
      <c r="HB133" s="160"/>
      <c r="HC133" s="160"/>
      <c r="HD133" s="160"/>
      <c r="HE133" s="160"/>
      <c r="HF133" s="160"/>
      <c r="HG133" s="160"/>
      <c r="HH133" s="160"/>
      <c r="HI133" s="160"/>
      <c r="HJ133" s="160"/>
      <c r="HK133" s="160"/>
      <c r="HL133" s="160"/>
      <c r="HM133" s="160"/>
      <c r="HN133" s="160"/>
      <c r="HO133" s="160"/>
      <c r="HP133" s="160"/>
      <c r="HQ133" s="160"/>
      <c r="HR133" s="160"/>
      <c r="HS133" s="160"/>
      <c r="HT133" s="160"/>
      <c r="HU133" s="160"/>
      <c r="HV133" s="160"/>
      <c r="HW133" s="160"/>
      <c r="HX133" s="160"/>
      <c r="HY133" s="160"/>
      <c r="HZ133" s="160"/>
      <c r="IA133" s="160"/>
      <c r="IB133" s="160"/>
      <c r="IC133" s="160"/>
      <c r="ID133" s="160"/>
      <c r="IE133" s="160"/>
      <c r="IF133" s="160"/>
      <c r="IG133" s="160"/>
      <c r="IH133" s="160"/>
      <c r="II133" s="160"/>
      <c r="IJ133" s="160"/>
      <c r="IK133" s="160"/>
      <c r="IL133" s="160"/>
      <c r="IM133" s="160"/>
      <c r="IN133" s="160"/>
      <c r="IO133" s="160"/>
      <c r="IP133" s="160"/>
      <c r="IQ133" s="160"/>
      <c r="IR133" s="160"/>
      <c r="IS133" s="160"/>
      <c r="IT133" s="160"/>
      <c r="IU133" s="160"/>
      <c r="IV133" s="160"/>
      <c r="IW133" s="160"/>
    </row>
    <row r="134" customFormat="false" ht="12.75" hidden="false" customHeight="false" outlineLevel="0" collapsed="false">
      <c r="B134" s="45"/>
      <c r="C134" s="98"/>
      <c r="D134" s="45"/>
      <c r="E134" s="45"/>
      <c r="F134" s="35"/>
      <c r="G134" s="85"/>
      <c r="H134" s="38"/>
      <c r="I134" s="38"/>
      <c r="J134" s="47"/>
      <c r="K134" s="68"/>
      <c r="L134" s="68"/>
      <c r="M134" s="52"/>
      <c r="N134" s="41"/>
      <c r="O134" s="41"/>
      <c r="P134" s="76"/>
      <c r="Q134" s="86"/>
      <c r="R134" s="0"/>
      <c r="S134" s="0"/>
      <c r="T134" s="88" t="str">
        <f aca="false">IF(Y134="NNG",+S134,"")</f>
        <v/>
      </c>
      <c r="U134" s="88" t="str">
        <f aca="false">IF(Y134="TW",+S134,"")</f>
        <v/>
      </c>
      <c r="V134" s="86"/>
      <c r="W134" s="88" t="str">
        <f aca="false">IF($Y134="NNG",-V134,"")</f>
        <v/>
      </c>
      <c r="X134" s="88" t="str">
        <f aca="false">IF(Y134="TW",-V134,"")</f>
        <v/>
      </c>
      <c r="Y134" s="45"/>
    </row>
    <row r="135" customFormat="false" ht="8.1" hidden="false" customHeight="true" outlineLevel="0" collapsed="false">
      <c r="A135" s="160"/>
      <c r="B135" s="45"/>
      <c r="C135" s="98"/>
      <c r="D135" s="163"/>
      <c r="E135" s="45"/>
      <c r="F135" s="180"/>
      <c r="G135" s="163"/>
      <c r="H135" s="182"/>
      <c r="I135" s="182"/>
      <c r="J135" s="182"/>
      <c r="K135" s="165"/>
      <c r="L135" s="165"/>
      <c r="M135" s="168"/>
      <c r="N135" s="185"/>
      <c r="O135" s="185"/>
      <c r="P135" s="104"/>
      <c r="Q135" s="98"/>
      <c r="R135" s="0"/>
      <c r="S135" s="0"/>
      <c r="T135" s="160"/>
      <c r="U135" s="160"/>
      <c r="V135" s="185"/>
      <c r="W135" s="88" t="str">
        <f aca="false">IF($Y135="NNG",-V135,"")</f>
        <v/>
      </c>
      <c r="X135" s="88" t="str">
        <f aca="false">IF(Y135="TW",-V135,"")</f>
        <v/>
      </c>
      <c r="Y135" s="45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  <c r="BI135" s="160"/>
      <c r="BJ135" s="160"/>
      <c r="BK135" s="160"/>
      <c r="BL135" s="160"/>
      <c r="BM135" s="160"/>
      <c r="BN135" s="160"/>
      <c r="BO135" s="160"/>
      <c r="BP135" s="160"/>
      <c r="BQ135" s="160"/>
      <c r="BR135" s="160"/>
      <c r="BS135" s="160"/>
      <c r="BT135" s="160"/>
      <c r="BU135" s="160"/>
      <c r="BV135" s="160"/>
      <c r="BW135" s="160"/>
      <c r="BX135" s="160"/>
      <c r="BY135" s="160"/>
      <c r="BZ135" s="160"/>
      <c r="CA135" s="160"/>
      <c r="CB135" s="160"/>
      <c r="CC135" s="160"/>
      <c r="CD135" s="160"/>
      <c r="CE135" s="160"/>
      <c r="CF135" s="160"/>
      <c r="CG135" s="160"/>
      <c r="CH135" s="160"/>
      <c r="CI135" s="160"/>
      <c r="CJ135" s="160"/>
      <c r="CK135" s="160"/>
      <c r="CL135" s="160"/>
      <c r="CM135" s="160"/>
      <c r="CN135" s="160"/>
      <c r="CO135" s="160"/>
      <c r="CP135" s="160"/>
      <c r="CQ135" s="160"/>
      <c r="CR135" s="160"/>
      <c r="CS135" s="160"/>
      <c r="CT135" s="160"/>
      <c r="CU135" s="160"/>
      <c r="CV135" s="160"/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/>
      <c r="DH135" s="160"/>
      <c r="DI135" s="160"/>
      <c r="DJ135" s="160"/>
      <c r="DK135" s="160"/>
      <c r="DL135" s="160"/>
      <c r="DM135" s="160"/>
      <c r="DN135" s="160"/>
      <c r="DO135" s="160"/>
      <c r="DP135" s="160"/>
      <c r="DQ135" s="160"/>
      <c r="DR135" s="160"/>
      <c r="DS135" s="160"/>
      <c r="DT135" s="160"/>
      <c r="DU135" s="160"/>
      <c r="DV135" s="160"/>
      <c r="DW135" s="160"/>
      <c r="DX135" s="160"/>
      <c r="DY135" s="160"/>
      <c r="DZ135" s="160"/>
      <c r="EA135" s="160"/>
      <c r="EB135" s="160"/>
      <c r="EC135" s="160"/>
      <c r="ED135" s="160"/>
      <c r="EE135" s="160"/>
      <c r="EF135" s="160"/>
      <c r="EG135" s="160"/>
      <c r="EH135" s="160"/>
      <c r="EI135" s="160"/>
      <c r="EJ135" s="160"/>
      <c r="EK135" s="160"/>
      <c r="EL135" s="160"/>
      <c r="EM135" s="160"/>
      <c r="EN135" s="160"/>
      <c r="EO135" s="160"/>
      <c r="EP135" s="160"/>
      <c r="EQ135" s="160"/>
      <c r="ER135" s="160"/>
      <c r="ES135" s="160"/>
      <c r="ET135" s="160"/>
      <c r="EU135" s="160"/>
      <c r="EV135" s="160"/>
      <c r="EW135" s="160"/>
      <c r="EX135" s="160"/>
      <c r="EY135" s="160"/>
      <c r="EZ135" s="160"/>
      <c r="FA135" s="160"/>
      <c r="FB135" s="160"/>
      <c r="FC135" s="160"/>
      <c r="FD135" s="160"/>
      <c r="FE135" s="160"/>
      <c r="FF135" s="160"/>
      <c r="FG135" s="160"/>
      <c r="FH135" s="160"/>
      <c r="FI135" s="160"/>
      <c r="FJ135" s="160"/>
      <c r="FK135" s="160"/>
      <c r="FL135" s="160"/>
      <c r="FM135" s="160"/>
      <c r="FN135" s="160"/>
      <c r="FO135" s="160"/>
      <c r="FP135" s="160"/>
      <c r="FQ135" s="160"/>
      <c r="FR135" s="160"/>
      <c r="FS135" s="160"/>
      <c r="FT135" s="160"/>
      <c r="FU135" s="160"/>
      <c r="FV135" s="160"/>
      <c r="FW135" s="160"/>
      <c r="FX135" s="160"/>
      <c r="FY135" s="160"/>
      <c r="FZ135" s="160"/>
      <c r="GA135" s="160"/>
      <c r="GB135" s="160"/>
      <c r="GC135" s="160"/>
      <c r="GD135" s="160"/>
      <c r="GE135" s="160"/>
      <c r="GF135" s="160"/>
      <c r="GG135" s="160"/>
      <c r="GH135" s="160"/>
      <c r="GI135" s="160"/>
      <c r="GJ135" s="160"/>
      <c r="GK135" s="160"/>
      <c r="GL135" s="160"/>
      <c r="GM135" s="160"/>
      <c r="GN135" s="160"/>
      <c r="GO135" s="160"/>
      <c r="GP135" s="160"/>
      <c r="GQ135" s="160"/>
      <c r="GR135" s="160"/>
      <c r="GS135" s="160"/>
      <c r="GT135" s="160"/>
      <c r="GU135" s="160"/>
      <c r="GV135" s="160"/>
      <c r="GW135" s="160"/>
      <c r="GX135" s="160"/>
      <c r="GY135" s="160"/>
      <c r="GZ135" s="160"/>
      <c r="HA135" s="160"/>
      <c r="HB135" s="160"/>
      <c r="HC135" s="160"/>
      <c r="HD135" s="160"/>
      <c r="HE135" s="160"/>
      <c r="HF135" s="160"/>
      <c r="HG135" s="160"/>
      <c r="HH135" s="160"/>
      <c r="HI135" s="160"/>
      <c r="HJ135" s="160"/>
      <c r="HK135" s="160"/>
      <c r="HL135" s="160"/>
      <c r="HM135" s="160"/>
      <c r="HN135" s="160"/>
      <c r="HO135" s="160"/>
      <c r="HP135" s="160"/>
      <c r="HQ135" s="160"/>
      <c r="HR135" s="160"/>
      <c r="HS135" s="160"/>
      <c r="HT135" s="160"/>
      <c r="HU135" s="160"/>
      <c r="HV135" s="160"/>
      <c r="HW135" s="160"/>
      <c r="HX135" s="160"/>
      <c r="HY135" s="160"/>
      <c r="HZ135" s="160"/>
      <c r="IA135" s="160"/>
      <c r="IB135" s="160"/>
      <c r="IC135" s="160"/>
      <c r="ID135" s="160"/>
      <c r="IE135" s="160"/>
      <c r="IF135" s="160"/>
      <c r="IG135" s="160"/>
      <c r="IH135" s="160"/>
      <c r="II135" s="160"/>
      <c r="IJ135" s="160"/>
      <c r="IK135" s="160"/>
      <c r="IL135" s="160"/>
      <c r="IM135" s="160"/>
      <c r="IN135" s="160"/>
      <c r="IO135" s="160"/>
      <c r="IP135" s="160"/>
      <c r="IQ135" s="160"/>
      <c r="IR135" s="160"/>
      <c r="IS135" s="160"/>
      <c r="IT135" s="160"/>
      <c r="IU135" s="160"/>
      <c r="IV135" s="160"/>
      <c r="IW135" s="160"/>
    </row>
    <row r="136" customFormat="false" ht="12.75" hidden="false" customHeight="false" outlineLevel="0" collapsed="false">
      <c r="A136" s="97"/>
      <c r="B136" s="45" t="s">
        <v>30</v>
      </c>
      <c r="C136" s="98" t="s">
        <v>96</v>
      </c>
      <c r="D136" s="98" t="s">
        <v>118</v>
      </c>
      <c r="E136" s="45" t="s">
        <v>45</v>
      </c>
      <c r="F136" s="180" t="s">
        <v>119</v>
      </c>
      <c r="G136" s="181" t="n">
        <v>37033</v>
      </c>
      <c r="H136" s="182" t="n">
        <f aca="false">HJN1010!D41</f>
        <v>3.6275</v>
      </c>
      <c r="I136" s="182" t="n">
        <f aca="false">HJN1010!H41</f>
        <v>3.6385</v>
      </c>
      <c r="J136" s="182" t="n">
        <f aca="false">+H136-I136</f>
        <v>-0.0110000000000001</v>
      </c>
      <c r="K136" s="192" t="n">
        <f aca="false">-HJN1010!F41</f>
        <v>300000</v>
      </c>
      <c r="L136" s="102" t="n">
        <f aca="false">+K136/30</f>
        <v>10000</v>
      </c>
      <c r="M136" s="168" t="n">
        <f aca="false">-HJN1010!I41</f>
        <v>-3299.99999999997</v>
      </c>
      <c r="N136" s="168" t="n">
        <f aca="false">-HJN1010!J41</f>
        <v>-0</v>
      </c>
      <c r="O136" s="168" t="n">
        <f aca="false">-HJN1010!K41</f>
        <v>-3299.99999999997</v>
      </c>
      <c r="P136" s="104" t="n">
        <f aca="false">-O136</f>
        <v>3299.99999999997</v>
      </c>
      <c r="Q136" s="98"/>
      <c r="R136" s="0"/>
      <c r="S136" s="0"/>
      <c r="T136" s="160"/>
      <c r="U136" s="160"/>
      <c r="V136" s="168" t="n">
        <f aca="false">HJN1010!L41</f>
        <v>3299.99999999997</v>
      </c>
      <c r="W136" s="88" t="n">
        <f aca="false">IF($Y136="NNG",-V136,"")</f>
        <v>-3299.99999999997</v>
      </c>
      <c r="X136" s="88" t="str">
        <f aca="false">IF(Y136="TW",-V136,"")</f>
        <v/>
      </c>
      <c r="Y136" s="45" t="s">
        <v>30</v>
      </c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0"/>
      <c r="BN136" s="160"/>
      <c r="BO136" s="160"/>
      <c r="BP136" s="160"/>
      <c r="BQ136" s="160"/>
      <c r="BR136" s="160"/>
      <c r="BS136" s="160"/>
      <c r="BT136" s="160"/>
      <c r="BU136" s="160"/>
      <c r="BV136" s="160"/>
      <c r="BW136" s="160"/>
      <c r="BX136" s="160"/>
      <c r="BY136" s="160"/>
      <c r="BZ136" s="160"/>
      <c r="CA136" s="160"/>
      <c r="CB136" s="160"/>
      <c r="CC136" s="160"/>
      <c r="CD136" s="160"/>
      <c r="CE136" s="160"/>
      <c r="CF136" s="160"/>
      <c r="CG136" s="160"/>
      <c r="CH136" s="160"/>
      <c r="CI136" s="160"/>
      <c r="CJ136" s="160"/>
      <c r="CK136" s="160"/>
      <c r="CL136" s="160"/>
      <c r="CM136" s="160"/>
      <c r="CN136" s="160"/>
      <c r="CO136" s="160"/>
      <c r="CP136" s="160"/>
      <c r="CQ136" s="160"/>
      <c r="CR136" s="160"/>
      <c r="CS136" s="160"/>
      <c r="CT136" s="160"/>
      <c r="CU136" s="160"/>
      <c r="CV136" s="160"/>
      <c r="CW136" s="160"/>
      <c r="CX136" s="160"/>
      <c r="CY136" s="160"/>
      <c r="CZ136" s="160"/>
      <c r="DA136" s="160"/>
      <c r="DB136" s="160"/>
      <c r="DC136" s="160"/>
      <c r="DD136" s="160"/>
      <c r="DE136" s="160"/>
      <c r="DF136" s="160"/>
      <c r="DG136" s="160"/>
      <c r="DH136" s="160"/>
      <c r="DI136" s="160"/>
      <c r="DJ136" s="160"/>
      <c r="DK136" s="160"/>
      <c r="DL136" s="160"/>
      <c r="DM136" s="160"/>
      <c r="DN136" s="160"/>
      <c r="DO136" s="160"/>
      <c r="DP136" s="160"/>
      <c r="DQ136" s="160"/>
      <c r="DR136" s="160"/>
      <c r="DS136" s="160"/>
      <c r="DT136" s="160"/>
      <c r="DU136" s="160"/>
      <c r="DV136" s="160"/>
      <c r="DW136" s="160"/>
      <c r="DX136" s="160"/>
      <c r="DY136" s="160"/>
      <c r="DZ136" s="160"/>
      <c r="EA136" s="160"/>
      <c r="EB136" s="160"/>
      <c r="EC136" s="160"/>
      <c r="ED136" s="160"/>
      <c r="EE136" s="160"/>
      <c r="EF136" s="160"/>
      <c r="EG136" s="160"/>
      <c r="EH136" s="160"/>
      <c r="EI136" s="160"/>
      <c r="EJ136" s="160"/>
      <c r="EK136" s="160"/>
      <c r="EL136" s="160"/>
      <c r="EM136" s="160"/>
      <c r="EN136" s="160"/>
      <c r="EO136" s="160"/>
      <c r="EP136" s="160"/>
      <c r="EQ136" s="160"/>
      <c r="ER136" s="160"/>
      <c r="ES136" s="160"/>
      <c r="ET136" s="160"/>
      <c r="EU136" s="160"/>
      <c r="EV136" s="160"/>
      <c r="EW136" s="160"/>
      <c r="EX136" s="160"/>
      <c r="EY136" s="160"/>
      <c r="EZ136" s="160"/>
      <c r="FA136" s="160"/>
      <c r="FB136" s="160"/>
      <c r="FC136" s="160"/>
      <c r="FD136" s="160"/>
      <c r="FE136" s="160"/>
      <c r="FF136" s="160"/>
      <c r="FG136" s="160"/>
      <c r="FH136" s="160"/>
      <c r="FI136" s="160"/>
      <c r="FJ136" s="160"/>
      <c r="FK136" s="160"/>
      <c r="FL136" s="160"/>
      <c r="FM136" s="160"/>
      <c r="FN136" s="160"/>
      <c r="FO136" s="160"/>
      <c r="FP136" s="160"/>
      <c r="FQ136" s="160"/>
      <c r="FR136" s="160"/>
      <c r="FS136" s="160"/>
      <c r="FT136" s="160"/>
      <c r="FU136" s="160"/>
      <c r="FV136" s="160"/>
      <c r="FW136" s="160"/>
      <c r="FX136" s="160"/>
      <c r="FY136" s="160"/>
      <c r="FZ136" s="160"/>
      <c r="GA136" s="160"/>
      <c r="GB136" s="160"/>
      <c r="GC136" s="160"/>
      <c r="GD136" s="160"/>
      <c r="GE136" s="160"/>
      <c r="GF136" s="160"/>
      <c r="GG136" s="160"/>
      <c r="GH136" s="160"/>
      <c r="GI136" s="160"/>
      <c r="GJ136" s="160"/>
      <c r="GK136" s="160"/>
      <c r="GL136" s="160"/>
      <c r="GM136" s="160"/>
      <c r="GN136" s="160"/>
      <c r="GO136" s="160"/>
      <c r="GP136" s="160"/>
      <c r="GQ136" s="160"/>
      <c r="GR136" s="160"/>
      <c r="GS136" s="160"/>
      <c r="GT136" s="160"/>
      <c r="GU136" s="160"/>
      <c r="GV136" s="160"/>
      <c r="GW136" s="160"/>
      <c r="GX136" s="160"/>
      <c r="GY136" s="160"/>
      <c r="GZ136" s="160"/>
      <c r="HA136" s="160"/>
      <c r="HB136" s="160"/>
      <c r="HC136" s="160"/>
      <c r="HD136" s="160"/>
      <c r="HE136" s="160"/>
      <c r="HF136" s="160"/>
      <c r="HG136" s="160"/>
      <c r="HH136" s="160"/>
      <c r="HI136" s="160"/>
      <c r="HJ136" s="160"/>
      <c r="HK136" s="160"/>
      <c r="HL136" s="160"/>
      <c r="HM136" s="160"/>
      <c r="HN136" s="160"/>
      <c r="HO136" s="160"/>
      <c r="HP136" s="160"/>
      <c r="HQ136" s="160"/>
      <c r="HR136" s="160"/>
      <c r="HS136" s="160"/>
      <c r="HT136" s="160"/>
      <c r="HU136" s="160"/>
      <c r="HV136" s="160"/>
      <c r="HW136" s="160"/>
      <c r="HX136" s="160"/>
      <c r="HY136" s="160"/>
      <c r="HZ136" s="160"/>
      <c r="IA136" s="160"/>
      <c r="IB136" s="160"/>
      <c r="IC136" s="160"/>
      <c r="ID136" s="160"/>
      <c r="IE136" s="160"/>
      <c r="IF136" s="160"/>
      <c r="IG136" s="160"/>
      <c r="IH136" s="160"/>
      <c r="II136" s="160"/>
      <c r="IJ136" s="160"/>
      <c r="IK136" s="160"/>
      <c r="IL136" s="160"/>
      <c r="IM136" s="160"/>
      <c r="IN136" s="160"/>
      <c r="IO136" s="160"/>
      <c r="IP136" s="160"/>
      <c r="IQ136" s="160"/>
      <c r="IR136" s="160"/>
      <c r="IS136" s="160"/>
      <c r="IT136" s="160"/>
      <c r="IU136" s="160"/>
      <c r="IV136" s="160"/>
      <c r="IW136" s="160"/>
    </row>
    <row r="137" customFormat="false" ht="12.75" hidden="false" customHeight="false" outlineLevel="0" collapsed="false">
      <c r="A137" s="97"/>
      <c r="B137" s="45" t="s">
        <v>30</v>
      </c>
      <c r="C137" s="98" t="s">
        <v>96</v>
      </c>
      <c r="D137" s="98" t="s">
        <v>120</v>
      </c>
      <c r="E137" s="45" t="s">
        <v>45</v>
      </c>
      <c r="F137" s="180" t="s">
        <v>119</v>
      </c>
      <c r="G137" s="181" t="n">
        <v>37033</v>
      </c>
      <c r="H137" s="188" t="n">
        <f aca="false">HJN1011!D41</f>
        <v>3.6325</v>
      </c>
      <c r="I137" s="188" t="n">
        <f aca="false">HJN1011!H41</f>
        <v>3.62116666666667</v>
      </c>
      <c r="J137" s="183" t="n">
        <f aca="false">+H137-I137</f>
        <v>0.011333333333333</v>
      </c>
      <c r="K137" s="176" t="n">
        <f aca="false">-HJN1011!F41</f>
        <v>-300000</v>
      </c>
      <c r="L137" s="112" t="n">
        <f aca="false">+K137/30</f>
        <v>-10000</v>
      </c>
      <c r="M137" s="189" t="n">
        <f aca="false">-HJN1011!I41</f>
        <v>-3399.9999999999</v>
      </c>
      <c r="N137" s="189" t="n">
        <f aca="false">-HJN1011!J41</f>
        <v>-0</v>
      </c>
      <c r="O137" s="189" t="n">
        <f aca="false">-HJN1011!K41</f>
        <v>-3399.9999999999</v>
      </c>
      <c r="P137" s="104" t="n">
        <f aca="false">-O137</f>
        <v>3399.9999999999</v>
      </c>
      <c r="Q137" s="98"/>
      <c r="R137" s="0"/>
      <c r="S137" s="0"/>
      <c r="T137" s="160"/>
      <c r="U137" s="160"/>
      <c r="V137" s="168" t="n">
        <f aca="false">HJN1011!L41</f>
        <v>3399.9999999999</v>
      </c>
      <c r="W137" s="88" t="n">
        <f aca="false">IF($Y137="NNG",-V137,"")</f>
        <v>-3399.9999999999</v>
      </c>
      <c r="X137" s="88" t="str">
        <f aca="false">IF(Y137="TW",-V137,"")</f>
        <v/>
      </c>
      <c r="Y137" s="45" t="s">
        <v>30</v>
      </c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160"/>
      <c r="BN137" s="160"/>
      <c r="BO137" s="160"/>
      <c r="BP137" s="160"/>
      <c r="BQ137" s="160"/>
      <c r="BR137" s="160"/>
      <c r="BS137" s="160"/>
      <c r="BT137" s="160"/>
      <c r="BU137" s="160"/>
      <c r="BV137" s="160"/>
      <c r="BW137" s="160"/>
      <c r="BX137" s="160"/>
      <c r="BY137" s="160"/>
      <c r="BZ137" s="160"/>
      <c r="CA137" s="160"/>
      <c r="CB137" s="160"/>
      <c r="CC137" s="160"/>
      <c r="CD137" s="160"/>
      <c r="CE137" s="160"/>
      <c r="CF137" s="160"/>
      <c r="CG137" s="160"/>
      <c r="CH137" s="160"/>
      <c r="CI137" s="160"/>
      <c r="CJ137" s="160"/>
      <c r="CK137" s="160"/>
      <c r="CL137" s="160"/>
      <c r="CM137" s="160"/>
      <c r="CN137" s="160"/>
      <c r="CO137" s="160"/>
      <c r="CP137" s="160"/>
      <c r="CQ137" s="160"/>
      <c r="CR137" s="160"/>
      <c r="CS137" s="160"/>
      <c r="CT137" s="160"/>
      <c r="CU137" s="160"/>
      <c r="CV137" s="160"/>
      <c r="CW137" s="160"/>
      <c r="CX137" s="160"/>
      <c r="CY137" s="160"/>
      <c r="CZ137" s="160"/>
      <c r="DA137" s="160"/>
      <c r="DB137" s="160"/>
      <c r="DC137" s="160"/>
      <c r="DD137" s="160"/>
      <c r="DE137" s="160"/>
      <c r="DF137" s="160"/>
      <c r="DG137" s="160"/>
      <c r="DH137" s="160"/>
      <c r="DI137" s="160"/>
      <c r="DJ137" s="160"/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0"/>
      <c r="DY137" s="160"/>
      <c r="DZ137" s="160"/>
      <c r="EA137" s="160"/>
      <c r="EB137" s="160"/>
      <c r="EC137" s="160"/>
      <c r="ED137" s="160"/>
      <c r="EE137" s="160"/>
      <c r="EF137" s="160"/>
      <c r="EG137" s="160"/>
      <c r="EH137" s="160"/>
      <c r="EI137" s="160"/>
      <c r="EJ137" s="160"/>
      <c r="EK137" s="160"/>
      <c r="EL137" s="160"/>
      <c r="EM137" s="160"/>
      <c r="EN137" s="160"/>
      <c r="EO137" s="160"/>
      <c r="EP137" s="160"/>
      <c r="EQ137" s="160"/>
      <c r="ER137" s="160"/>
      <c r="ES137" s="160"/>
      <c r="ET137" s="160"/>
      <c r="EU137" s="160"/>
      <c r="EV137" s="160"/>
      <c r="EW137" s="160"/>
      <c r="EX137" s="160"/>
      <c r="EY137" s="160"/>
      <c r="EZ137" s="160"/>
      <c r="FA137" s="160"/>
      <c r="FB137" s="160"/>
      <c r="FC137" s="160"/>
      <c r="FD137" s="160"/>
      <c r="FE137" s="160"/>
      <c r="FF137" s="160"/>
      <c r="FG137" s="160"/>
      <c r="FH137" s="160"/>
      <c r="FI137" s="160"/>
      <c r="FJ137" s="160"/>
      <c r="FK137" s="160"/>
      <c r="FL137" s="160"/>
      <c r="FM137" s="160"/>
      <c r="FN137" s="160"/>
      <c r="FO137" s="160"/>
      <c r="FP137" s="160"/>
      <c r="FQ137" s="160"/>
      <c r="FR137" s="160"/>
      <c r="FS137" s="160"/>
      <c r="FT137" s="160"/>
      <c r="FU137" s="160"/>
      <c r="FV137" s="160"/>
      <c r="FW137" s="160"/>
      <c r="FX137" s="160"/>
      <c r="FY137" s="160"/>
      <c r="FZ137" s="160"/>
      <c r="GA137" s="160"/>
      <c r="GB137" s="160"/>
      <c r="GC137" s="160"/>
      <c r="GD137" s="160"/>
      <c r="GE137" s="160"/>
      <c r="GF137" s="160"/>
      <c r="GG137" s="160"/>
      <c r="GH137" s="160"/>
      <c r="GI137" s="160"/>
      <c r="GJ137" s="160"/>
      <c r="GK137" s="160"/>
      <c r="GL137" s="160"/>
      <c r="GM137" s="160"/>
      <c r="GN137" s="160"/>
      <c r="GO137" s="160"/>
      <c r="GP137" s="160"/>
      <c r="GQ137" s="160"/>
      <c r="GR137" s="160"/>
      <c r="GS137" s="160"/>
      <c r="GT137" s="160"/>
      <c r="GU137" s="160"/>
      <c r="GV137" s="160"/>
      <c r="GW137" s="160"/>
      <c r="GX137" s="160"/>
      <c r="GY137" s="160"/>
      <c r="GZ137" s="160"/>
      <c r="HA137" s="160"/>
      <c r="HB137" s="160"/>
      <c r="HC137" s="160"/>
      <c r="HD137" s="160"/>
      <c r="HE137" s="160"/>
      <c r="HF137" s="160"/>
      <c r="HG137" s="160"/>
      <c r="HH137" s="160"/>
      <c r="HI137" s="160"/>
      <c r="HJ137" s="160"/>
      <c r="HK137" s="160"/>
      <c r="HL137" s="160"/>
      <c r="HM137" s="160"/>
      <c r="HN137" s="160"/>
      <c r="HO137" s="160"/>
      <c r="HP137" s="160"/>
      <c r="HQ137" s="160"/>
      <c r="HR137" s="160"/>
      <c r="HS137" s="160"/>
      <c r="HT137" s="160"/>
      <c r="HU137" s="160"/>
      <c r="HV137" s="160"/>
      <c r="HW137" s="160"/>
      <c r="HX137" s="160"/>
      <c r="HY137" s="160"/>
      <c r="HZ137" s="160"/>
      <c r="IA137" s="160"/>
      <c r="IB137" s="160"/>
      <c r="IC137" s="160"/>
      <c r="ID137" s="160"/>
      <c r="IE137" s="160"/>
      <c r="IF137" s="160"/>
      <c r="IG137" s="160"/>
      <c r="IH137" s="160"/>
      <c r="II137" s="160"/>
      <c r="IJ137" s="160"/>
      <c r="IK137" s="160"/>
      <c r="IL137" s="160"/>
      <c r="IM137" s="160"/>
      <c r="IN137" s="160"/>
      <c r="IO137" s="160"/>
      <c r="IP137" s="160"/>
      <c r="IQ137" s="160"/>
      <c r="IR137" s="160"/>
      <c r="IS137" s="160"/>
      <c r="IT137" s="160"/>
      <c r="IU137" s="160"/>
      <c r="IV137" s="160"/>
      <c r="IW137" s="160"/>
    </row>
    <row r="138" customFormat="false" ht="12.75" hidden="false" customHeight="false" outlineLevel="0" collapsed="false">
      <c r="A138" s="160"/>
      <c r="B138" s="45"/>
      <c r="C138" s="98"/>
      <c r="D138" s="180"/>
      <c r="E138" s="45"/>
      <c r="F138" s="180"/>
      <c r="G138" s="163"/>
      <c r="H138" s="182" t="n">
        <f aca="false">+H136-H137</f>
        <v>-0.00499999999999989</v>
      </c>
      <c r="I138" s="182" t="n">
        <f aca="false">+I136-I137</f>
        <v>0.0173333333333332</v>
      </c>
      <c r="J138" s="182" t="n">
        <f aca="false">SUM(J136:J137)</f>
        <v>0.000333333333332853</v>
      </c>
      <c r="K138" s="165" t="n">
        <f aca="false">SUM(K136:K137)</f>
        <v>0</v>
      </c>
      <c r="L138" s="165" t="n">
        <f aca="false">SUM(L136:L137)</f>
        <v>0</v>
      </c>
      <c r="M138" s="168" t="n">
        <f aca="false">SUM(M136:M137)</f>
        <v>-6699.99999999987</v>
      </c>
      <c r="N138" s="168" t="n">
        <f aca="false">SUM(N136:N137)</f>
        <v>0</v>
      </c>
      <c r="O138" s="168" t="n">
        <f aca="false">SUM(O136:O137)</f>
        <v>-6699.99999999987</v>
      </c>
      <c r="P138" s="104"/>
      <c r="Q138" s="98"/>
      <c r="R138" s="0"/>
      <c r="S138" s="0"/>
      <c r="T138" s="160"/>
      <c r="U138" s="160"/>
      <c r="V138" s="168" t="n">
        <f aca="false">SUM(V136:V137)</f>
        <v>6699.99999999987</v>
      </c>
      <c r="W138" s="88" t="str">
        <f aca="false">IF($Y138="NNG",-V138,"")</f>
        <v/>
      </c>
      <c r="X138" s="88" t="str">
        <f aca="false">IF(Y138="TW",-V138,"")</f>
        <v/>
      </c>
      <c r="Y138" s="45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0"/>
      <c r="BN138" s="160"/>
      <c r="BO138" s="160"/>
      <c r="BP138" s="160"/>
      <c r="BQ138" s="160"/>
      <c r="BR138" s="160"/>
      <c r="BS138" s="160"/>
      <c r="BT138" s="160"/>
      <c r="BU138" s="160"/>
      <c r="BV138" s="160"/>
      <c r="BW138" s="160"/>
      <c r="BX138" s="160"/>
      <c r="BY138" s="160"/>
      <c r="BZ138" s="160"/>
      <c r="CA138" s="160"/>
      <c r="CB138" s="160"/>
      <c r="CC138" s="160"/>
      <c r="CD138" s="160"/>
      <c r="CE138" s="160"/>
      <c r="CF138" s="160"/>
      <c r="CG138" s="160"/>
      <c r="CH138" s="160"/>
      <c r="CI138" s="160"/>
      <c r="CJ138" s="160"/>
      <c r="CK138" s="160"/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0"/>
      <c r="DY138" s="160"/>
      <c r="DZ138" s="160"/>
      <c r="EA138" s="160"/>
      <c r="EB138" s="160"/>
      <c r="EC138" s="160"/>
      <c r="ED138" s="160"/>
      <c r="EE138" s="160"/>
      <c r="EF138" s="160"/>
      <c r="EG138" s="160"/>
      <c r="EH138" s="160"/>
      <c r="EI138" s="160"/>
      <c r="EJ138" s="160"/>
      <c r="EK138" s="160"/>
      <c r="EL138" s="160"/>
      <c r="EM138" s="160"/>
      <c r="EN138" s="160"/>
      <c r="EO138" s="160"/>
      <c r="EP138" s="160"/>
      <c r="EQ138" s="160"/>
      <c r="ER138" s="160"/>
      <c r="ES138" s="160"/>
      <c r="ET138" s="160"/>
      <c r="EU138" s="160"/>
      <c r="EV138" s="160"/>
      <c r="EW138" s="160"/>
      <c r="EX138" s="160"/>
      <c r="EY138" s="160"/>
      <c r="EZ138" s="160"/>
      <c r="FA138" s="160"/>
      <c r="FB138" s="160"/>
      <c r="FC138" s="160"/>
      <c r="FD138" s="160"/>
      <c r="FE138" s="160"/>
      <c r="FF138" s="160"/>
      <c r="FG138" s="160"/>
      <c r="FH138" s="160"/>
      <c r="FI138" s="160"/>
      <c r="FJ138" s="160"/>
      <c r="FK138" s="160"/>
      <c r="FL138" s="160"/>
      <c r="FM138" s="160"/>
      <c r="FN138" s="160"/>
      <c r="FO138" s="160"/>
      <c r="FP138" s="160"/>
      <c r="FQ138" s="160"/>
      <c r="FR138" s="160"/>
      <c r="FS138" s="160"/>
      <c r="FT138" s="160"/>
      <c r="FU138" s="160"/>
      <c r="FV138" s="160"/>
      <c r="FW138" s="160"/>
      <c r="FX138" s="160"/>
      <c r="FY138" s="160"/>
      <c r="FZ138" s="160"/>
      <c r="GA138" s="160"/>
      <c r="GB138" s="160"/>
      <c r="GC138" s="160"/>
      <c r="GD138" s="160"/>
      <c r="GE138" s="160"/>
      <c r="GF138" s="160"/>
      <c r="GG138" s="160"/>
      <c r="GH138" s="160"/>
      <c r="GI138" s="160"/>
      <c r="GJ138" s="160"/>
      <c r="GK138" s="160"/>
      <c r="GL138" s="160"/>
      <c r="GM138" s="160"/>
      <c r="GN138" s="160"/>
      <c r="GO138" s="160"/>
      <c r="GP138" s="160"/>
      <c r="GQ138" s="160"/>
      <c r="GR138" s="160"/>
      <c r="GS138" s="160"/>
      <c r="GT138" s="160"/>
      <c r="GU138" s="160"/>
      <c r="GV138" s="160"/>
      <c r="GW138" s="160"/>
      <c r="GX138" s="160"/>
      <c r="GY138" s="160"/>
      <c r="GZ138" s="160"/>
      <c r="HA138" s="160"/>
      <c r="HB138" s="160"/>
      <c r="HC138" s="160"/>
      <c r="HD138" s="160"/>
      <c r="HE138" s="160"/>
      <c r="HF138" s="160"/>
      <c r="HG138" s="160"/>
      <c r="HH138" s="160"/>
      <c r="HI138" s="160"/>
      <c r="HJ138" s="160"/>
      <c r="HK138" s="160"/>
      <c r="HL138" s="160"/>
      <c r="HM138" s="160"/>
      <c r="HN138" s="160"/>
      <c r="HO138" s="160"/>
      <c r="HP138" s="160"/>
      <c r="HQ138" s="160"/>
      <c r="HR138" s="160"/>
      <c r="HS138" s="160"/>
      <c r="HT138" s="160"/>
      <c r="HU138" s="160"/>
      <c r="HV138" s="160"/>
      <c r="HW138" s="160"/>
      <c r="HX138" s="160"/>
      <c r="HY138" s="160"/>
      <c r="HZ138" s="160"/>
      <c r="IA138" s="160"/>
      <c r="IB138" s="160"/>
      <c r="IC138" s="160"/>
      <c r="ID138" s="160"/>
      <c r="IE138" s="160"/>
      <c r="IF138" s="160"/>
      <c r="IG138" s="160"/>
      <c r="IH138" s="160"/>
      <c r="II138" s="160"/>
      <c r="IJ138" s="160"/>
      <c r="IK138" s="160"/>
      <c r="IL138" s="160"/>
      <c r="IM138" s="160"/>
      <c r="IN138" s="160"/>
      <c r="IO138" s="160"/>
      <c r="IP138" s="160"/>
      <c r="IQ138" s="160"/>
      <c r="IR138" s="160"/>
      <c r="IS138" s="160"/>
      <c r="IT138" s="160"/>
      <c r="IU138" s="160"/>
      <c r="IV138" s="160"/>
      <c r="IW138" s="160"/>
    </row>
    <row r="139" customFormat="false" ht="11.25" hidden="false" customHeight="true" outlineLevel="0" collapsed="false">
      <c r="A139" s="160"/>
      <c r="B139" s="45"/>
      <c r="C139" s="98"/>
      <c r="D139" s="163"/>
      <c r="E139" s="45"/>
      <c r="F139" s="180"/>
      <c r="G139" s="163"/>
      <c r="H139" s="170"/>
      <c r="I139" s="170"/>
      <c r="J139" s="170"/>
      <c r="K139" s="165"/>
      <c r="L139" s="165"/>
      <c r="M139" s="168"/>
      <c r="N139" s="185"/>
      <c r="O139" s="185"/>
      <c r="P139" s="104"/>
      <c r="Q139" s="98"/>
      <c r="R139" s="0"/>
      <c r="S139" s="0"/>
      <c r="T139" s="160"/>
      <c r="U139" s="160"/>
      <c r="V139" s="185"/>
      <c r="W139" s="88" t="str">
        <f aca="false">IF($Y139="NNG",-V139,"")</f>
        <v/>
      </c>
      <c r="X139" s="88" t="str">
        <f aca="false">IF(Y139="TW",-V139,"")</f>
        <v/>
      </c>
      <c r="Y139" s="45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160"/>
      <c r="BN139" s="160"/>
      <c r="BO139" s="160"/>
      <c r="BP139" s="160"/>
      <c r="BQ139" s="160"/>
      <c r="BR139" s="160"/>
      <c r="BS139" s="160"/>
      <c r="BT139" s="160"/>
      <c r="BU139" s="160"/>
      <c r="BV139" s="160"/>
      <c r="BW139" s="160"/>
      <c r="BX139" s="160"/>
      <c r="BY139" s="160"/>
      <c r="BZ139" s="160"/>
      <c r="CA139" s="160"/>
      <c r="CB139" s="160"/>
      <c r="CC139" s="160"/>
      <c r="CD139" s="160"/>
      <c r="CE139" s="160"/>
      <c r="CF139" s="160"/>
      <c r="CG139" s="160"/>
      <c r="CH139" s="160"/>
      <c r="CI139" s="160"/>
      <c r="CJ139" s="160"/>
      <c r="CK139" s="160"/>
      <c r="CL139" s="160"/>
      <c r="CM139" s="160"/>
      <c r="CN139" s="160"/>
      <c r="CO139" s="160"/>
      <c r="CP139" s="160"/>
      <c r="CQ139" s="160"/>
      <c r="CR139" s="160"/>
      <c r="CS139" s="160"/>
      <c r="CT139" s="160"/>
      <c r="CU139" s="160"/>
      <c r="CV139" s="160"/>
      <c r="CW139" s="160"/>
      <c r="CX139" s="160"/>
      <c r="CY139" s="160"/>
      <c r="CZ139" s="160"/>
      <c r="DA139" s="160"/>
      <c r="DB139" s="160"/>
      <c r="DC139" s="160"/>
      <c r="DD139" s="160"/>
      <c r="DE139" s="160"/>
      <c r="DF139" s="160"/>
      <c r="DG139" s="160"/>
      <c r="DH139" s="160"/>
      <c r="DI139" s="160"/>
      <c r="DJ139" s="160"/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DU139" s="160"/>
      <c r="DV139" s="160"/>
      <c r="DW139" s="160"/>
      <c r="DX139" s="160"/>
      <c r="DY139" s="160"/>
      <c r="DZ139" s="160"/>
      <c r="EA139" s="160"/>
      <c r="EB139" s="160"/>
      <c r="EC139" s="160"/>
      <c r="ED139" s="160"/>
      <c r="EE139" s="160"/>
      <c r="EF139" s="160"/>
      <c r="EG139" s="160"/>
      <c r="EH139" s="160"/>
      <c r="EI139" s="160"/>
      <c r="EJ139" s="160"/>
      <c r="EK139" s="160"/>
      <c r="EL139" s="160"/>
      <c r="EM139" s="160"/>
      <c r="EN139" s="160"/>
      <c r="EO139" s="160"/>
      <c r="EP139" s="160"/>
      <c r="EQ139" s="160"/>
      <c r="ER139" s="160"/>
      <c r="ES139" s="160"/>
      <c r="ET139" s="160"/>
      <c r="EU139" s="160"/>
      <c r="EV139" s="160"/>
      <c r="EW139" s="160"/>
      <c r="EX139" s="160"/>
      <c r="EY139" s="160"/>
      <c r="EZ139" s="160"/>
      <c r="FA139" s="160"/>
      <c r="FB139" s="160"/>
      <c r="FC139" s="160"/>
      <c r="FD139" s="160"/>
      <c r="FE139" s="160"/>
      <c r="FF139" s="160"/>
      <c r="FG139" s="160"/>
      <c r="FH139" s="160"/>
      <c r="FI139" s="160"/>
      <c r="FJ139" s="160"/>
      <c r="FK139" s="160"/>
      <c r="FL139" s="160"/>
      <c r="FM139" s="160"/>
      <c r="FN139" s="160"/>
      <c r="FO139" s="160"/>
      <c r="FP139" s="160"/>
      <c r="FQ139" s="160"/>
      <c r="FR139" s="160"/>
      <c r="FS139" s="160"/>
      <c r="FT139" s="160"/>
      <c r="FU139" s="160"/>
      <c r="FV139" s="160"/>
      <c r="FW139" s="160"/>
      <c r="FX139" s="160"/>
      <c r="FY139" s="160"/>
      <c r="FZ139" s="160"/>
      <c r="GA139" s="160"/>
      <c r="GB139" s="160"/>
      <c r="GC139" s="160"/>
      <c r="GD139" s="160"/>
      <c r="GE139" s="160"/>
      <c r="GF139" s="160"/>
      <c r="GG139" s="160"/>
      <c r="GH139" s="160"/>
      <c r="GI139" s="160"/>
      <c r="GJ139" s="160"/>
      <c r="GK139" s="160"/>
      <c r="GL139" s="160"/>
      <c r="GM139" s="160"/>
      <c r="GN139" s="160"/>
      <c r="GO139" s="160"/>
      <c r="GP139" s="160"/>
      <c r="GQ139" s="160"/>
      <c r="GR139" s="160"/>
      <c r="GS139" s="160"/>
      <c r="GT139" s="160"/>
      <c r="GU139" s="160"/>
      <c r="GV139" s="160"/>
      <c r="GW139" s="160"/>
      <c r="GX139" s="160"/>
      <c r="GY139" s="160"/>
      <c r="GZ139" s="160"/>
      <c r="HA139" s="160"/>
      <c r="HB139" s="160"/>
      <c r="HC139" s="160"/>
      <c r="HD139" s="160"/>
      <c r="HE139" s="160"/>
      <c r="HF139" s="160"/>
      <c r="HG139" s="160"/>
      <c r="HH139" s="160"/>
      <c r="HI139" s="160"/>
      <c r="HJ139" s="160"/>
      <c r="HK139" s="160"/>
      <c r="HL139" s="160"/>
      <c r="HM139" s="160"/>
      <c r="HN139" s="160"/>
      <c r="HO139" s="160"/>
      <c r="HP139" s="160"/>
      <c r="HQ139" s="160"/>
      <c r="HR139" s="160"/>
      <c r="HS139" s="160"/>
      <c r="HT139" s="160"/>
      <c r="HU139" s="160"/>
      <c r="HV139" s="160"/>
      <c r="HW139" s="160"/>
      <c r="HX139" s="160"/>
      <c r="HY139" s="160"/>
      <c r="HZ139" s="160"/>
      <c r="IA139" s="160"/>
      <c r="IB139" s="160"/>
      <c r="IC139" s="160"/>
      <c r="ID139" s="160"/>
      <c r="IE139" s="160"/>
      <c r="IF139" s="160"/>
      <c r="IG139" s="160"/>
      <c r="IH139" s="160"/>
      <c r="II139" s="160"/>
      <c r="IJ139" s="160"/>
      <c r="IK139" s="160"/>
      <c r="IL139" s="160"/>
      <c r="IM139" s="160"/>
      <c r="IN139" s="160"/>
      <c r="IO139" s="160"/>
      <c r="IP139" s="160"/>
      <c r="IQ139" s="160"/>
      <c r="IR139" s="160"/>
      <c r="IS139" s="160"/>
      <c r="IT139" s="160"/>
      <c r="IU139" s="160"/>
      <c r="IV139" s="160"/>
      <c r="IW139" s="160"/>
    </row>
    <row r="140" customFormat="false" ht="12" hidden="false" customHeight="false" outlineLevel="0" collapsed="false">
      <c r="B140" s="45"/>
      <c r="C140" s="45"/>
      <c r="D140" s="45"/>
      <c r="E140" s="193"/>
      <c r="F140" s="60"/>
      <c r="G140" s="146"/>
      <c r="H140" s="46"/>
      <c r="I140" s="60"/>
      <c r="J140" s="60"/>
      <c r="K140" s="137" t="n">
        <f aca="false">+K119+K115+K113+K108+K125+K138</f>
        <v>62401635.28848</v>
      </c>
      <c r="L140" s="137" t="n">
        <f aca="false">+L119+L115+L113+L108+L125+L138</f>
        <v>85481.692176</v>
      </c>
      <c r="M140" s="194" t="n">
        <f aca="false">+M119+M115+M113+M108+M125+M138+M129+M133</f>
        <v>17087686.0382211</v>
      </c>
      <c r="N140" s="194" t="n">
        <f aca="false">+N119+N115+N113+N108+N125+N138+N129+N133</f>
        <v>700725.775111721</v>
      </c>
      <c r="O140" s="194" t="n">
        <f aca="false">+O119+O115+O113+O108+O125+O138+O129+O133</f>
        <v>16386960.2631094</v>
      </c>
      <c r="P140" s="195" t="n">
        <f aca="false">SUM(P103:P139)</f>
        <v>-16259210.2631094</v>
      </c>
      <c r="Q140" s="194" t="n">
        <f aca="false">SUM(Q103:Q139)</f>
        <v>-127750</v>
      </c>
      <c r="R140" s="196"/>
      <c r="S140" s="196"/>
      <c r="T140" s="196" t="n">
        <f aca="false">SUM(T106:T139)</f>
        <v>0</v>
      </c>
      <c r="U140" s="196" t="n">
        <f aca="false">SUM(U106:U139)</f>
        <v>0</v>
      </c>
      <c r="V140" s="196" t="n">
        <f aca="false">+V108+V113+V115+V119+V125+V129+V133+V138</f>
        <v>1621241.45261287</v>
      </c>
      <c r="W140" s="196" t="n">
        <f aca="false">SUM(W106:W139)</f>
        <v>-1568391.45261287</v>
      </c>
      <c r="X140" s="196" t="n">
        <f aca="false">SUM(X106:X139)</f>
        <v>-52850.0000000001</v>
      </c>
      <c r="Y140" s="197"/>
    </row>
    <row r="141" customFormat="false" ht="12" hidden="false" customHeight="false" outlineLevel="0" collapsed="false">
      <c r="B141" s="141"/>
      <c r="C141" s="141"/>
      <c r="D141" s="141"/>
      <c r="E141" s="198"/>
      <c r="F141" s="143"/>
      <c r="G141" s="13"/>
      <c r="H141" s="142"/>
      <c r="I141" s="143"/>
      <c r="J141" s="143"/>
      <c r="K141" s="199"/>
      <c r="L141" s="199"/>
      <c r="M141" s="200"/>
      <c r="N141" s="200"/>
      <c r="O141" s="200"/>
      <c r="P141" s="201"/>
      <c r="Q141" s="202"/>
      <c r="R141" s="200"/>
      <c r="S141" s="200"/>
      <c r="T141" s="200"/>
      <c r="U141" s="200"/>
      <c r="V141" s="200"/>
      <c r="W141" s="200"/>
      <c r="X141" s="200"/>
      <c r="Y141" s="141"/>
    </row>
    <row r="142" customFormat="false" ht="11.25" hidden="false" customHeight="false" outlineLevel="0" collapsed="false">
      <c r="B142" s="146"/>
      <c r="C142" s="146"/>
      <c r="D142" s="145"/>
      <c r="E142" s="146"/>
      <c r="F142" s="146"/>
      <c r="G142" s="146"/>
      <c r="H142" s="146"/>
      <c r="I142" s="146"/>
      <c r="J142" s="146"/>
      <c r="K142" s="203"/>
      <c r="L142" s="203"/>
      <c r="M142" s="204"/>
      <c r="N142" s="204"/>
      <c r="O142" s="204"/>
      <c r="P142" s="205"/>
      <c r="V142" s="67"/>
    </row>
    <row r="143" customFormat="false" ht="12" hidden="false" customHeight="true" outlineLevel="0" collapsed="false">
      <c r="B143" s="8" t="s">
        <v>121</v>
      </c>
      <c r="C143" s="8"/>
      <c r="D143" s="206"/>
      <c r="E143" s="8"/>
      <c r="F143" s="8"/>
      <c r="M143" s="1" t="s">
        <v>122</v>
      </c>
      <c r="P143" s="93"/>
      <c r="Q143" s="93" t="n">
        <v>16534530.85</v>
      </c>
    </row>
    <row r="144" customFormat="false" ht="11.25" hidden="false" customHeight="false" outlineLevel="0" collapsed="false">
      <c r="B144" s="8" t="s">
        <v>123</v>
      </c>
      <c r="C144" s="8"/>
      <c r="D144" s="206"/>
      <c r="E144" s="8"/>
      <c r="F144" s="8"/>
      <c r="M144" s="1" t="s">
        <v>124</v>
      </c>
    </row>
    <row r="145" customFormat="false" ht="11.25" hidden="false" customHeight="false" outlineLevel="0" collapsed="false">
      <c r="B145" s="8"/>
      <c r="C145" s="8"/>
      <c r="D145" s="206"/>
      <c r="E145" s="8"/>
      <c r="F145" s="8"/>
      <c r="M145" s="1" t="s">
        <v>125</v>
      </c>
      <c r="P145" s="93" t="n">
        <v>185.308221087083</v>
      </c>
      <c r="Q145" s="93"/>
      <c r="R145" s="205"/>
    </row>
    <row r="146" customFormat="false" ht="11.25" hidden="false" customHeight="false" outlineLevel="0" collapsed="false">
      <c r="B146" s="8"/>
      <c r="C146" s="8"/>
      <c r="D146" s="206"/>
      <c r="E146" s="8"/>
      <c r="F146" s="8"/>
      <c r="M146" s="1" t="s">
        <v>126</v>
      </c>
      <c r="P146" s="93"/>
      <c r="Q146" s="93"/>
      <c r="R146" s="205"/>
    </row>
    <row r="147" customFormat="false" ht="11.25" hidden="false" customHeight="false" outlineLevel="0" collapsed="false">
      <c r="B147" s="8" t="s">
        <v>127</v>
      </c>
      <c r="C147" s="8"/>
      <c r="D147" s="206"/>
      <c r="E147" s="8"/>
      <c r="F147" s="8"/>
      <c r="M147" s="1" t="s">
        <v>128</v>
      </c>
      <c r="P147" s="93" t="n">
        <f aca="false">+O138</f>
        <v>-6699.99999999987</v>
      </c>
      <c r="Q147" s="93"/>
    </row>
    <row r="148" customFormat="false" ht="11.25" hidden="false" customHeight="false" outlineLevel="0" collapsed="false">
      <c r="B148" s="8" t="s">
        <v>129</v>
      </c>
      <c r="C148" s="8"/>
      <c r="D148" s="206"/>
      <c r="E148" s="8"/>
      <c r="F148" s="8"/>
      <c r="M148" s="1" t="s">
        <v>130</v>
      </c>
      <c r="P148" s="207" t="n">
        <f aca="false">561077.58-N140+1125-2532.7</f>
        <v>-141055.895111721</v>
      </c>
      <c r="Q148" s="205" t="n">
        <f aca="false">SUM(P145:P148)</f>
        <v>-147570.586890634</v>
      </c>
      <c r="R148" s="205"/>
    </row>
    <row r="149" customFormat="false" ht="11.25" hidden="false" customHeight="false" outlineLevel="0" collapsed="false">
      <c r="B149" s="8"/>
      <c r="C149" s="8"/>
      <c r="D149" s="206"/>
      <c r="E149" s="8"/>
      <c r="F149" s="8"/>
      <c r="P149" s="205"/>
      <c r="Q149" s="14"/>
    </row>
    <row r="150" customFormat="false" ht="11.25" hidden="false" customHeight="false" outlineLevel="0" collapsed="false">
      <c r="B150" s="208"/>
      <c r="M150" s="1" t="s">
        <v>131</v>
      </c>
      <c r="P150" s="93"/>
      <c r="Q150" s="93" t="n">
        <f aca="false">+Q148+Q143</f>
        <v>16386960.2631094</v>
      </c>
      <c r="R150" s="205" t="n">
        <f aca="false">+Q150-O140</f>
        <v>0</v>
      </c>
    </row>
    <row r="151" customFormat="false" ht="11.25" hidden="false" customHeight="false" outlineLevel="0" collapsed="false">
      <c r="M151" s="1" t="s">
        <v>132</v>
      </c>
      <c r="P151" s="93"/>
      <c r="Q151" s="44" t="n">
        <f aca="false">-P91-Q91</f>
        <v>4972180</v>
      </c>
    </row>
    <row r="152" customFormat="false" ht="12" hidden="false" customHeight="false" outlineLevel="0" collapsed="false">
      <c r="O152" s="1" t="s">
        <v>133</v>
      </c>
      <c r="P152" s="93"/>
      <c r="Q152" s="209" t="n">
        <f aca="false">+Q150+Q151</f>
        <v>21359140.2631094</v>
      </c>
    </row>
    <row r="153" customFormat="false" ht="12" hidden="false" customHeight="false" outlineLevel="0" collapsed="false"/>
    <row r="154" customFormat="false" ht="11.25" hidden="false" customHeight="false" outlineLevel="0" collapsed="false">
      <c r="P154" s="93"/>
    </row>
    <row r="155" customFormat="false" ht="11.25" hidden="false" customHeight="false" outlineLevel="0" collapsed="false">
      <c r="O155" s="210"/>
      <c r="V155" s="210"/>
    </row>
    <row r="156" customFormat="false" ht="12.75" hidden="false" customHeight="false" outlineLevel="0" collapsed="false">
      <c r="M156" s="0"/>
      <c r="N156" s="0"/>
      <c r="O156" s="210"/>
      <c r="V156" s="210"/>
    </row>
    <row r="157" customFormat="false" ht="12.75" hidden="false" customHeight="false" outlineLevel="0" collapsed="false">
      <c r="M157" s="0"/>
      <c r="N157" s="0"/>
      <c r="O157" s="210"/>
      <c r="V157" s="210"/>
    </row>
    <row r="158" customFormat="false" ht="12.75" hidden="false" customHeight="false" outlineLevel="0" collapsed="false">
      <c r="M158" s="0"/>
      <c r="N158" s="0"/>
      <c r="O158" s="210"/>
      <c r="V158" s="210"/>
    </row>
    <row r="159" customFormat="false" ht="12.75" hidden="false" customHeight="false" outlineLevel="0" collapsed="false">
      <c r="M159" s="0"/>
      <c r="N159" s="0"/>
      <c r="O159" s="210"/>
      <c r="V159" s="210"/>
    </row>
    <row r="160" customFormat="false" ht="12.75" hidden="false" customHeight="false" outlineLevel="0" collapsed="false">
      <c r="M160" s="0"/>
      <c r="N160" s="0"/>
      <c r="O160" s="210"/>
      <c r="V160" s="210"/>
    </row>
    <row r="161" customFormat="false" ht="12.75" hidden="false" customHeight="false" outlineLevel="0" collapsed="false">
      <c r="M161" s="0"/>
      <c r="N161" s="0"/>
      <c r="O161" s="211"/>
      <c r="V161" s="212"/>
    </row>
  </sheetData>
  <mergeCells count="9">
    <mergeCell ref="B1:Q1"/>
    <mergeCell ref="B2:Q2"/>
    <mergeCell ref="M8:P8"/>
    <mergeCell ref="W8:X8"/>
    <mergeCell ref="W9:X9"/>
    <mergeCell ref="M102:P102"/>
    <mergeCell ref="P103:Q103"/>
    <mergeCell ref="W103:X103"/>
    <mergeCell ref="W104:X104"/>
  </mergeCells>
  <printOptions headings="false" gridLines="false" gridLinesSet="true" horizontalCentered="true" verticalCentered="true"/>
  <pageMargins left="0.2" right="0.220138888888889" top="0.25" bottom="0.35" header="0.511811023622047" footer="0.220138888888889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&amp;L&amp;"Arial,Italic"&amp;8&amp;D&amp;T&amp;R&amp;"Arial,Italic"&amp;8&amp;F&amp;A</oddFooter>
  </headerFooter>
  <rowBreaks count="1" manualBreakCount="1">
    <brk id="96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0.28"/>
    <col collapsed="false" customWidth="true" hidden="false" outlineLevel="0" max="4" min="4" style="0" width="15.4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8.7"/>
    <col collapsed="false" customWidth="true" hidden="false" outlineLevel="0" max="9" min="9" style="0" width="15.41"/>
    <col collapsed="false" customWidth="true" hidden="false" outlineLevel="0" max="11" min="10" style="0" width="13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164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31</v>
      </c>
      <c r="E6" s="385"/>
      <c r="F6" s="385"/>
      <c r="G6" s="385"/>
      <c r="H6" s="385" t="s">
        <v>44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165</v>
      </c>
      <c r="I7" s="388" t="s">
        <v>23</v>
      </c>
      <c r="J7" s="388" t="s">
        <v>24</v>
      </c>
      <c r="K7" s="389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166</v>
      </c>
      <c r="E8" s="415"/>
      <c r="F8" s="415"/>
      <c r="G8" s="416"/>
      <c r="H8" s="388" t="s">
        <v>167</v>
      </c>
      <c r="I8" s="388" t="s">
        <v>145</v>
      </c>
      <c r="J8" s="388" t="s">
        <v>145</v>
      </c>
      <c r="K8" s="389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 t="n">
        <v>-0.27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37257</v>
      </c>
      <c r="B10" s="359"/>
      <c r="C10" s="360" t="s">
        <v>44</v>
      </c>
      <c r="D10" s="361" t="n">
        <f aca="false">+[3]NYMEX!$C15+$D$9</f>
        <v>4.171</v>
      </c>
      <c r="E10" s="359"/>
      <c r="F10" s="395" t="n">
        <f aca="false">27500*31</f>
        <v>852500</v>
      </c>
      <c r="G10" s="361"/>
      <c r="H10" s="361" t="n">
        <f aca="false">'[3]ELpaso SJ &amp; Prm'!$F16</f>
        <v>4.201</v>
      </c>
      <c r="I10" s="396" t="n">
        <f aca="false">(+D10-H10)*F10</f>
        <v>-25575.0000000002</v>
      </c>
      <c r="J10" s="397"/>
      <c r="K10" s="397" t="n">
        <f aca="false">+I10</f>
        <v>-25575.0000000002</v>
      </c>
      <c r="L10" s="366" t="n">
        <f aca="false">IF(K10=0,0,IF(A10&lt;(Summary!$K$3+365),K10,0))</f>
        <v>-25575.0000000002</v>
      </c>
    </row>
    <row r="11" customFormat="false" ht="12.75" hidden="false" customHeight="false" outlineLevel="0" collapsed="false">
      <c r="A11" s="358" t="n">
        <v>37288</v>
      </c>
      <c r="B11" s="359"/>
      <c r="C11" s="360" t="s">
        <v>44</v>
      </c>
      <c r="D11" s="361" t="n">
        <f aca="false">+[3]NYMEX!$C16+$D$9</f>
        <v>4.054</v>
      </c>
      <c r="E11" s="359"/>
      <c r="F11" s="395" t="n">
        <f aca="false">27500*28</f>
        <v>770000</v>
      </c>
      <c r="G11" s="361"/>
      <c r="H11" s="361" t="n">
        <f aca="false">'[3]ELpaso SJ &amp; Prm'!$F17</f>
        <v>4.084</v>
      </c>
      <c r="I11" s="396" t="n">
        <f aca="false">(+D11-H11)*F11</f>
        <v>-23099.9999999995</v>
      </c>
      <c r="J11" s="397"/>
      <c r="K11" s="397" t="n">
        <f aca="false">+I11</f>
        <v>-23099.9999999995</v>
      </c>
      <c r="L11" s="366" t="n">
        <f aca="false">IF(K11=0,0,IF(A11&lt;(Summary!$K$3+365),K11,0))</f>
        <v>-23099.9999999995</v>
      </c>
    </row>
    <row r="12" customFormat="false" ht="12.75" hidden="false" customHeight="false" outlineLevel="0" collapsed="false">
      <c r="A12" s="358" t="n">
        <v>37316</v>
      </c>
      <c r="B12" s="359"/>
      <c r="C12" s="360" t="s">
        <v>44</v>
      </c>
      <c r="D12" s="361" t="n">
        <f aca="false">+[3]NYMEX!$C17+$D$9</f>
        <v>3.885</v>
      </c>
      <c r="E12" s="359"/>
      <c r="F12" s="395" t="n">
        <f aca="false">27500*31</f>
        <v>852500</v>
      </c>
      <c r="G12" s="359"/>
      <c r="H12" s="361" t="n">
        <f aca="false">'[3]ELpaso SJ &amp; Prm'!$F18</f>
        <v>3.915</v>
      </c>
      <c r="I12" s="396" t="n">
        <f aca="false">(+D12-H12)*F12</f>
        <v>-25574.9999999998</v>
      </c>
      <c r="J12" s="397"/>
      <c r="K12" s="397" t="n">
        <f aca="false">+I12</f>
        <v>-25574.9999999998</v>
      </c>
      <c r="L12" s="366" t="n">
        <f aca="false">IF(K12=0,0,IF(A12&lt;(Summary!$K$3+365),K12,0))</f>
        <v>-25574.9999999998</v>
      </c>
    </row>
    <row r="13" customFormat="false" ht="12.75" hidden="false" customHeight="false" outlineLevel="0" collapsed="false">
      <c r="A13" s="358" t="n">
        <v>37347</v>
      </c>
      <c r="B13" s="359"/>
      <c r="C13" s="360" t="s">
        <v>44</v>
      </c>
      <c r="D13" s="361" t="n">
        <f aca="false">+[3]NYMEX!$C18+$D$9</f>
        <v>3.54</v>
      </c>
      <c r="E13" s="359"/>
      <c r="F13" s="395" t="n">
        <f aca="false">27500*30</f>
        <v>825000</v>
      </c>
      <c r="G13" s="359"/>
      <c r="H13" s="361" t="n">
        <f aca="false">'[3]ELpaso SJ &amp; Prm'!$F19</f>
        <v>3.43</v>
      </c>
      <c r="I13" s="396" t="n">
        <f aca="false">(+D13-H13)*F13</f>
        <v>90749.9999999999</v>
      </c>
      <c r="J13" s="359"/>
      <c r="K13" s="397" t="n">
        <f aca="false">+I13</f>
        <v>90749.9999999999</v>
      </c>
      <c r="L13" s="366" t="n">
        <f aca="false">IF(K13=0,0,IF(A13&lt;(Summary!$K$3+365),K13,0))</f>
        <v>90749.9999999999</v>
      </c>
    </row>
    <row r="14" customFormat="false" ht="12.75" hidden="false" customHeight="false" outlineLevel="0" collapsed="false">
      <c r="A14" s="358" t="n">
        <v>37377</v>
      </c>
      <c r="B14" s="359"/>
      <c r="C14" s="360" t="s">
        <v>44</v>
      </c>
      <c r="D14" s="361" t="n">
        <f aca="false">+[3]NYMEX!$C19+$D$9</f>
        <v>3.465</v>
      </c>
      <c r="E14" s="359"/>
      <c r="F14" s="395" t="n">
        <f aca="false">27500*31</f>
        <v>852500</v>
      </c>
      <c r="G14" s="359"/>
      <c r="H14" s="361" t="n">
        <f aca="false">'[3]ELpaso SJ &amp; Prm'!$F20</f>
        <v>3.355</v>
      </c>
      <c r="I14" s="396" t="n">
        <f aca="false">(+D14-H14)*F14</f>
        <v>93774.9999999999</v>
      </c>
      <c r="J14" s="359"/>
      <c r="K14" s="397" t="n">
        <f aca="false">+I14</f>
        <v>93774.9999999999</v>
      </c>
      <c r="L14" s="366" t="n">
        <f aca="false">IF(K14=0,0,IF(A14&lt;(Summary!$K$3+365),K14,0))</f>
        <v>93774.9999999999</v>
      </c>
    </row>
    <row r="15" customFormat="false" ht="12.75" hidden="false" customHeight="false" outlineLevel="0" collapsed="false">
      <c r="A15" s="358" t="n">
        <v>37408</v>
      </c>
      <c r="B15" s="359"/>
      <c r="C15" s="360" t="s">
        <v>44</v>
      </c>
      <c r="D15" s="361" t="n">
        <f aca="false">+[3]NYMEX!$C20+$D$9</f>
        <v>3.51</v>
      </c>
      <c r="E15" s="359"/>
      <c r="F15" s="395" t="n">
        <f aca="false">27500*30</f>
        <v>825000</v>
      </c>
      <c r="G15" s="359"/>
      <c r="H15" s="361" t="n">
        <f aca="false">'[3]ELpaso SJ &amp; Prm'!$F21</f>
        <v>3.4</v>
      </c>
      <c r="I15" s="396" t="n">
        <f aca="false">(+D15-H15)*F15</f>
        <v>90749.9999999999</v>
      </c>
      <c r="J15" s="359"/>
      <c r="K15" s="397" t="n">
        <f aca="false">+I15</f>
        <v>90749.9999999999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37438</v>
      </c>
      <c r="B16" s="359"/>
      <c r="C16" s="360" t="s">
        <v>44</v>
      </c>
      <c r="D16" s="361" t="n">
        <f aca="false">+[3]NYMEX!$C21+$D$9</f>
        <v>3.545</v>
      </c>
      <c r="E16" s="359"/>
      <c r="F16" s="395" t="n">
        <f aca="false">27500*31</f>
        <v>852500</v>
      </c>
      <c r="G16" s="359"/>
      <c r="H16" s="361" t="n">
        <f aca="false">'[3]ELpaso SJ &amp; Prm'!$F22</f>
        <v>3.435</v>
      </c>
      <c r="I16" s="396" t="n">
        <f aca="false">(+D16-H16)*F16</f>
        <v>93774.9999999999</v>
      </c>
      <c r="J16" s="359"/>
      <c r="K16" s="397" t="n">
        <f aca="false">+I16</f>
        <v>93774.9999999999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37469</v>
      </c>
      <c r="B17" s="359"/>
      <c r="C17" s="360" t="s">
        <v>44</v>
      </c>
      <c r="D17" s="361" t="n">
        <f aca="false">+[3]NYMEX!$C22+$D$9</f>
        <v>3.565</v>
      </c>
      <c r="E17" s="359"/>
      <c r="F17" s="395" t="n">
        <f aca="false">27500*31</f>
        <v>852500</v>
      </c>
      <c r="G17" s="359"/>
      <c r="H17" s="361" t="n">
        <f aca="false">'[3]ELpaso SJ &amp; Prm'!$F23</f>
        <v>3.455</v>
      </c>
      <c r="I17" s="396" t="n">
        <f aca="false">(+D17-H17)*F17</f>
        <v>93774.9999999999</v>
      </c>
      <c r="J17" s="359"/>
      <c r="K17" s="397" t="n">
        <f aca="false">+I17</f>
        <v>93774.9999999999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37500</v>
      </c>
      <c r="B18" s="359"/>
      <c r="C18" s="360" t="s">
        <v>44</v>
      </c>
      <c r="D18" s="361" t="n">
        <f aca="false">+[3]NYMEX!$C23+$D$9</f>
        <v>3.582</v>
      </c>
      <c r="E18" s="359"/>
      <c r="F18" s="395" t="n">
        <f aca="false">27500*30</f>
        <v>825000</v>
      </c>
      <c r="G18" s="359"/>
      <c r="H18" s="361" t="n">
        <f aca="false">'[3]ELpaso SJ &amp; Prm'!$F24</f>
        <v>3.472</v>
      </c>
      <c r="I18" s="396" t="n">
        <f aca="false">(+D18-H18)*F18</f>
        <v>90749.9999999999</v>
      </c>
      <c r="J18" s="359"/>
      <c r="K18" s="397" t="n">
        <f aca="false">+I18</f>
        <v>90749.9999999999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37530</v>
      </c>
      <c r="B19" s="359"/>
      <c r="C19" s="360" t="s">
        <v>44</v>
      </c>
      <c r="D19" s="361" t="n">
        <f aca="false">+[3]NYMEX!$C24+$D$9</f>
        <v>3.599</v>
      </c>
      <c r="E19" s="359"/>
      <c r="F19" s="395" t="n">
        <f aca="false">27500*31</f>
        <v>852500</v>
      </c>
      <c r="G19" s="359"/>
      <c r="H19" s="361" t="n">
        <f aca="false">'[3]ELpaso SJ &amp; Prm'!$F25</f>
        <v>3.489</v>
      </c>
      <c r="I19" s="396" t="n">
        <f aca="false">(+D19-H19)*F19</f>
        <v>93774.9999999999</v>
      </c>
      <c r="J19" s="359"/>
      <c r="K19" s="397" t="n">
        <f aca="false">+I19</f>
        <v>93774.9999999999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37561</v>
      </c>
      <c r="B20" s="359"/>
      <c r="C20" s="360" t="s">
        <v>44</v>
      </c>
      <c r="D20" s="361" t="n">
        <f aca="false">+[3]NYMEX!$C25+$D$9</f>
        <v>3.714</v>
      </c>
      <c r="E20" s="359"/>
      <c r="F20" s="395" t="n">
        <f aca="false">27500*30</f>
        <v>825000</v>
      </c>
      <c r="G20" s="359"/>
      <c r="H20" s="361" t="n">
        <f aca="false">'[3]ELpaso SJ &amp; Prm'!$F26</f>
        <v>3.794</v>
      </c>
      <c r="I20" s="396" t="n">
        <f aca="false">(+D20-H20)*F20</f>
        <v>-66000.0000000001</v>
      </c>
      <c r="J20" s="359"/>
      <c r="K20" s="397" t="n">
        <f aca="false">+I20</f>
        <v>-66000.0000000001</v>
      </c>
      <c r="L20" s="366" t="n">
        <f aca="false">IF(K20=0,0,IF(A20&lt;(Summary!$K$3+365),K20,0))</f>
        <v>0</v>
      </c>
    </row>
    <row r="21" customFormat="false" ht="12.75" hidden="false" customHeight="false" outlineLevel="0" collapsed="false">
      <c r="A21" s="358" t="n">
        <v>37591</v>
      </c>
      <c r="B21" s="359"/>
      <c r="C21" s="360" t="s">
        <v>44</v>
      </c>
      <c r="D21" s="361" t="n">
        <f aca="false">+[3]NYMEX!$C26+$D$9</f>
        <v>3.844</v>
      </c>
      <c r="E21" s="359"/>
      <c r="F21" s="419" t="n">
        <f aca="false">27500*31</f>
        <v>852500</v>
      </c>
      <c r="G21" s="359"/>
      <c r="H21" s="361" t="n">
        <f aca="false">'[3]ELpaso SJ &amp; Prm'!$F27</f>
        <v>3.924</v>
      </c>
      <c r="I21" s="420" t="n">
        <f aca="false">(+D21-H21)*F21</f>
        <v>-68200.0000000001</v>
      </c>
      <c r="J21" s="420"/>
      <c r="K21" s="421" t="n">
        <f aca="false">+I21</f>
        <v>-68200.0000000001</v>
      </c>
      <c r="L21" s="366" t="n">
        <f aca="false">IF(K21=0,0,IF(A21&lt;(Summary!$K$3+365),K21,0))</f>
        <v>0</v>
      </c>
    </row>
    <row r="22" customFormat="false" ht="12.75" hidden="false" customHeight="false" outlineLevel="0" collapsed="false">
      <c r="A22" s="358"/>
      <c r="B22" s="359"/>
      <c r="C22" s="360"/>
      <c r="D22" s="361"/>
      <c r="E22" s="359"/>
      <c r="F22" s="395" t="n">
        <f aca="false">SUM(F10:F21)</f>
        <v>10037500</v>
      </c>
      <c r="G22" s="359"/>
      <c r="H22" s="361"/>
      <c r="I22" s="396" t="n">
        <f aca="false">SUM(I10:I21)</f>
        <v>438900</v>
      </c>
      <c r="J22" s="396" t="n">
        <f aca="false">SUM(J10:J21)</f>
        <v>0</v>
      </c>
      <c r="K22" s="396" t="n">
        <f aca="false">SUM(K10:K21)</f>
        <v>438900</v>
      </c>
      <c r="L22" s="396" t="n">
        <f aca="false">SUM(L10:L21)</f>
        <v>110275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395"/>
      <c r="H23" s="430"/>
      <c r="I23" s="396"/>
      <c r="J23" s="398"/>
      <c r="K23" s="423"/>
      <c r="L23" s="396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0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10037500</v>
      </c>
      <c r="G25" s="359"/>
      <c r="H25" s="361"/>
      <c r="I25" s="425" t="n">
        <f aca="false">+I22</f>
        <v>438900</v>
      </c>
      <c r="J25" s="425" t="n">
        <f aca="false">+J22</f>
        <v>0</v>
      </c>
      <c r="K25" s="425" t="n">
        <f aca="false">+K22</f>
        <v>438900</v>
      </c>
      <c r="L25" s="425" t="n">
        <f aca="false">+L22</f>
        <v>110275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  <c r="L26" s="405"/>
    </row>
    <row r="28" customFormat="false" ht="12.75" hidden="false" customHeight="false" outlineLevel="0" collapsed="false">
      <c r="A28" s="8" t="s">
        <v>148</v>
      </c>
    </row>
    <row r="31" customFormat="false" ht="12.75" hidden="false" customHeight="false" outlineLevel="0" collapsed="false">
      <c r="G31" s="431"/>
    </row>
    <row r="32" customFormat="false" ht="12.75" hidden="false" customHeight="false" outlineLevel="0" collapsed="false">
      <c r="G32" s="431"/>
    </row>
    <row r="33" customFormat="false" ht="12.75" hidden="false" customHeight="false" outlineLevel="0" collapsed="false">
      <c r="G33" s="431"/>
    </row>
    <row r="34" customFormat="false" ht="12.75" hidden="false" customHeight="false" outlineLevel="0" collapsed="false">
      <c r="G34" s="431"/>
    </row>
    <row r="35" customFormat="false" ht="12.75" hidden="false" customHeight="false" outlineLevel="0" collapsed="false">
      <c r="G35" s="431"/>
    </row>
    <row r="36" customFormat="false" ht="12.75" hidden="false" customHeight="false" outlineLevel="0" collapsed="false">
      <c r="G36" s="431"/>
    </row>
    <row r="37" customFormat="false" ht="12.75" hidden="false" customHeight="false" outlineLevel="0" collapsed="false">
      <c r="G37" s="431"/>
    </row>
    <row r="38" customFormat="false" ht="12.75" hidden="false" customHeight="false" outlineLevel="0" collapsed="false">
      <c r="G38" s="431"/>
    </row>
    <row r="39" customFormat="false" ht="12.75" hidden="false" customHeight="false" outlineLevel="0" collapsed="false">
      <c r="G39" s="431"/>
    </row>
    <row r="40" customFormat="false" ht="12.75" hidden="false" customHeight="false" outlineLevel="0" collapsed="false">
      <c r="G40" s="431"/>
    </row>
    <row r="41" customFormat="false" ht="12.75" hidden="false" customHeight="false" outlineLevel="0" collapsed="false">
      <c r="G41" s="431"/>
    </row>
    <row r="42" customFormat="false" ht="12.75" hidden="false" customHeight="false" outlineLevel="0" collapsed="false">
      <c r="G42" s="431"/>
    </row>
    <row r="43" customFormat="false" ht="12.75" hidden="false" customHeight="false" outlineLevel="0" collapsed="false">
      <c r="G43" s="431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7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10.71"/>
    <col collapsed="false" customWidth="true" hidden="false" outlineLevel="0" max="3" min="3" style="0" width="10.28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8.99"/>
    <col collapsed="false" customWidth="true" hidden="false" outlineLevel="0" max="8" min="8" style="0" width="16.7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168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44</v>
      </c>
      <c r="E6" s="385"/>
      <c r="F6" s="385"/>
      <c r="G6" s="385"/>
      <c r="H6" s="385" t="s">
        <v>31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162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169</v>
      </c>
      <c r="E8" s="415"/>
      <c r="F8" s="415"/>
      <c r="G8" s="416"/>
      <c r="H8" s="388" t="s">
        <v>170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 t="n">
        <v>1.05</v>
      </c>
      <c r="E9" s="391"/>
      <c r="F9" s="391"/>
      <c r="G9" s="393"/>
      <c r="H9" s="392" t="s">
        <v>171</v>
      </c>
      <c r="I9" s="392"/>
      <c r="J9" s="392"/>
      <c r="K9" s="392"/>
      <c r="L9" s="432" t="s">
        <v>146</v>
      </c>
    </row>
    <row r="10" customFormat="false" ht="12.75" hidden="false" customHeight="false" outlineLevel="0" collapsed="false">
      <c r="A10" s="409" t="n">
        <v>37257</v>
      </c>
      <c r="B10" s="367"/>
      <c r="C10" s="410" t="s">
        <v>44</v>
      </c>
      <c r="D10" s="363" t="n">
        <f aca="false">+[3]NYMEX!$C15+$D$9</f>
        <v>5.491</v>
      </c>
      <c r="E10" s="367"/>
      <c r="F10" s="362" t="n">
        <f aca="false">27500*31</f>
        <v>852500</v>
      </c>
      <c r="G10" s="363"/>
      <c r="H10" s="363" t="n">
        <f aca="false">+'[3]NGI Socal'!$E10</f>
        <v>7.691</v>
      </c>
      <c r="I10" s="364" t="n">
        <f aca="false">(-D10+H10)*F10</f>
        <v>1875500</v>
      </c>
      <c r="J10" s="365"/>
      <c r="K10" s="365" t="n">
        <f aca="false">+I10</f>
        <v>1875500</v>
      </c>
      <c r="L10" s="433" t="n">
        <f aca="false">IF(K10=0,0,IF(A10&lt;(Summary!$K$3+365),K10,0))</f>
        <v>1875500</v>
      </c>
    </row>
    <row r="11" customFormat="false" ht="12.75" hidden="false" customHeight="false" outlineLevel="0" collapsed="false">
      <c r="A11" s="409" t="n">
        <v>37288</v>
      </c>
      <c r="B11" s="367"/>
      <c r="C11" s="410" t="s">
        <v>44</v>
      </c>
      <c r="D11" s="363" t="n">
        <f aca="false">+[3]NYMEX!$C16+$D$9</f>
        <v>5.374</v>
      </c>
      <c r="E11" s="367"/>
      <c r="F11" s="362" t="n">
        <f aca="false">27500*28</f>
        <v>770000</v>
      </c>
      <c r="G11" s="363"/>
      <c r="H11" s="363" t="n">
        <f aca="false">+'[3]NGI Socal'!$E11</f>
        <v>7.204</v>
      </c>
      <c r="I11" s="364" t="n">
        <f aca="false">+F11*(+H11-D11)</f>
        <v>1409100</v>
      </c>
      <c r="J11" s="365"/>
      <c r="K11" s="365" t="n">
        <f aca="false">+I11</f>
        <v>1409100</v>
      </c>
      <c r="L11" s="433" t="n">
        <f aca="false">IF(K11=0,0,IF(A11&lt;(Summary!$K$3+365),K11,0))</f>
        <v>1409100</v>
      </c>
    </row>
    <row r="12" customFormat="false" ht="12.75" hidden="false" customHeight="false" outlineLevel="0" collapsed="false">
      <c r="A12" s="409" t="n">
        <v>37316</v>
      </c>
      <c r="B12" s="367"/>
      <c r="C12" s="410" t="s">
        <v>44</v>
      </c>
      <c r="D12" s="363" t="n">
        <f aca="false">+[3]NYMEX!$C17+$D$9</f>
        <v>5.205</v>
      </c>
      <c r="E12" s="367"/>
      <c r="F12" s="362" t="n">
        <f aca="false">27500*31</f>
        <v>852500</v>
      </c>
      <c r="G12" s="367"/>
      <c r="H12" s="363" t="n">
        <f aca="false">+'[3]NGI Socal'!$E12</f>
        <v>5.385</v>
      </c>
      <c r="I12" s="364" t="n">
        <f aca="false">+F12*(+H12-D12)</f>
        <v>153450</v>
      </c>
      <c r="J12" s="365"/>
      <c r="K12" s="365" t="n">
        <f aca="false">+I12</f>
        <v>153450</v>
      </c>
      <c r="L12" s="433" t="n">
        <f aca="false">IF(K12=0,0,IF(A12&lt;(Summary!$K$3+365),K12,0))</f>
        <v>153450</v>
      </c>
    </row>
    <row r="13" customFormat="false" ht="12.75" hidden="false" customHeight="false" outlineLevel="0" collapsed="false">
      <c r="A13" s="409" t="n">
        <v>37347</v>
      </c>
      <c r="B13" s="367"/>
      <c r="C13" s="410" t="s">
        <v>44</v>
      </c>
      <c r="D13" s="363" t="n">
        <f aca="false">+[3]NYMEX!$C18+$D$9</f>
        <v>4.86</v>
      </c>
      <c r="E13" s="367"/>
      <c r="F13" s="362" t="n">
        <f aca="false">27500*30</f>
        <v>825000</v>
      </c>
      <c r="G13" s="367"/>
      <c r="H13" s="363" t="n">
        <f aca="false">+'[3]NGI Socal'!$E13</f>
        <v>5.105</v>
      </c>
      <c r="I13" s="364" t="n">
        <f aca="false">+F13*(+H13-D13)</f>
        <v>202125</v>
      </c>
      <c r="J13" s="367"/>
      <c r="K13" s="365" t="n">
        <f aca="false">+I13</f>
        <v>202125</v>
      </c>
      <c r="L13" s="433" t="n">
        <f aca="false">IF(K13=0,0,IF(A13&lt;(Summary!$K$3+365),K13,0))</f>
        <v>202125</v>
      </c>
    </row>
    <row r="14" customFormat="false" ht="12.75" hidden="false" customHeight="false" outlineLevel="0" collapsed="false">
      <c r="A14" s="409" t="n">
        <v>37377</v>
      </c>
      <c r="B14" s="367"/>
      <c r="C14" s="410" t="s">
        <v>44</v>
      </c>
      <c r="D14" s="363" t="n">
        <f aca="false">+[3]NYMEX!$C19+$D$9</f>
        <v>4.785</v>
      </c>
      <c r="E14" s="367"/>
      <c r="F14" s="362" t="n">
        <f aca="false">27500*31</f>
        <v>852500</v>
      </c>
      <c r="G14" s="367"/>
      <c r="H14" s="363" t="n">
        <f aca="false">+'[3]NGI Socal'!$E14</f>
        <v>4.43</v>
      </c>
      <c r="I14" s="364" t="n">
        <f aca="false">+F14*(+H14-D14)</f>
        <v>-302637.5</v>
      </c>
      <c r="J14" s="367"/>
      <c r="K14" s="365" t="n">
        <f aca="false">+I14</f>
        <v>-302637.5</v>
      </c>
      <c r="L14" s="433" t="n">
        <f aca="false">IF(K14=0,0,IF(A14&lt;(Summary!$K$3+365),K14,0))</f>
        <v>-302637.5</v>
      </c>
    </row>
    <row r="15" customFormat="false" ht="12.75" hidden="false" customHeight="false" outlineLevel="0" collapsed="false">
      <c r="A15" s="409" t="n">
        <v>37408</v>
      </c>
      <c r="B15" s="367"/>
      <c r="C15" s="410" t="s">
        <v>44</v>
      </c>
      <c r="D15" s="363" t="n">
        <f aca="false">+[3]NYMEX!$C20+$D$9</f>
        <v>4.83</v>
      </c>
      <c r="E15" s="367"/>
      <c r="F15" s="362" t="n">
        <f aca="false">27500*30</f>
        <v>825000</v>
      </c>
      <c r="G15" s="367"/>
      <c r="H15" s="363" t="n">
        <f aca="false">+'[3]NGI Socal'!$E15</f>
        <v>4.575</v>
      </c>
      <c r="I15" s="364" t="n">
        <f aca="false">+F15*(+H15-D15)</f>
        <v>-210375</v>
      </c>
      <c r="J15" s="367"/>
      <c r="K15" s="365" t="n">
        <f aca="false">+I15</f>
        <v>-210375</v>
      </c>
      <c r="L15" s="433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37438</v>
      </c>
      <c r="B16" s="359"/>
      <c r="C16" s="360" t="s">
        <v>44</v>
      </c>
      <c r="D16" s="363" t="n">
        <f aca="false">+[3]NYMEX!$C21+$D$9</f>
        <v>4.865</v>
      </c>
      <c r="E16" s="359"/>
      <c r="F16" s="395" t="n">
        <f aca="false">27500*31</f>
        <v>852500</v>
      </c>
      <c r="G16" s="359"/>
      <c r="H16" s="363" t="n">
        <f aca="false">+'[3]NGI Socal'!$E16</f>
        <v>5.08</v>
      </c>
      <c r="I16" s="396" t="n">
        <f aca="false">+F16*(+H16-D16)</f>
        <v>183287.5</v>
      </c>
      <c r="J16" s="359"/>
      <c r="K16" s="397" t="n">
        <f aca="false">+I16</f>
        <v>183287.5</v>
      </c>
      <c r="L16" s="433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37469</v>
      </c>
      <c r="B17" s="359"/>
      <c r="C17" s="360" t="s">
        <v>44</v>
      </c>
      <c r="D17" s="363" t="n">
        <f aca="false">+[3]NYMEX!$C22+$D$9</f>
        <v>4.885</v>
      </c>
      <c r="E17" s="359"/>
      <c r="F17" s="395" t="n">
        <f aca="false">27500*31</f>
        <v>852500</v>
      </c>
      <c r="G17" s="359"/>
      <c r="H17" s="363" t="n">
        <f aca="false">+'[3]NGI Socal'!$E17</f>
        <v>5.1</v>
      </c>
      <c r="I17" s="396" t="n">
        <f aca="false">+F17*(+H17-D17)</f>
        <v>183287.5</v>
      </c>
      <c r="J17" s="359"/>
      <c r="K17" s="397" t="n">
        <f aca="false">+I17</f>
        <v>183287.5</v>
      </c>
      <c r="L17" s="433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37500</v>
      </c>
      <c r="B18" s="359"/>
      <c r="C18" s="360" t="s">
        <v>44</v>
      </c>
      <c r="D18" s="363" t="n">
        <f aca="false">+[3]NYMEX!$C23+$D$9</f>
        <v>4.902</v>
      </c>
      <c r="E18" s="359"/>
      <c r="F18" s="395" t="n">
        <f aca="false">27500*30</f>
        <v>825000</v>
      </c>
      <c r="G18" s="359"/>
      <c r="H18" s="363" t="n">
        <f aca="false">+'[3]NGI Socal'!$E18</f>
        <v>5.117</v>
      </c>
      <c r="I18" s="396" t="n">
        <f aca="false">+F18*(+H18-D18)</f>
        <v>177375</v>
      </c>
      <c r="J18" s="359"/>
      <c r="K18" s="397" t="n">
        <f aca="false">+I18</f>
        <v>177375</v>
      </c>
      <c r="L18" s="433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37530</v>
      </c>
      <c r="B19" s="359"/>
      <c r="C19" s="360" t="s">
        <v>44</v>
      </c>
      <c r="D19" s="363" t="n">
        <f aca="false">+[3]NYMEX!$C24+$D$9</f>
        <v>4.919</v>
      </c>
      <c r="E19" s="359"/>
      <c r="F19" s="395" t="n">
        <f aca="false">27500*31</f>
        <v>852500</v>
      </c>
      <c r="G19" s="359"/>
      <c r="H19" s="363" t="n">
        <f aca="false">+'[3]NGI Socal'!$E19</f>
        <v>4.284</v>
      </c>
      <c r="I19" s="396" t="n">
        <f aca="false">+F19*(+H19-D19)</f>
        <v>-541337.500000001</v>
      </c>
      <c r="J19" s="359"/>
      <c r="K19" s="397" t="n">
        <f aca="false">+I19</f>
        <v>-541337.500000001</v>
      </c>
      <c r="L19" s="433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37561</v>
      </c>
      <c r="B20" s="359"/>
      <c r="C20" s="360" t="s">
        <v>44</v>
      </c>
      <c r="D20" s="363" t="n">
        <f aca="false">+[3]NYMEX!$C25+$D$9</f>
        <v>5.034</v>
      </c>
      <c r="E20" s="359"/>
      <c r="F20" s="395" t="n">
        <f aca="false">27500*30</f>
        <v>825000</v>
      </c>
      <c r="G20" s="359"/>
      <c r="H20" s="363" t="n">
        <f aca="false">+'[3]NGI Socal'!$E20</f>
        <v>4.964</v>
      </c>
      <c r="I20" s="396" t="n">
        <f aca="false">+F20*(+H20-D20)</f>
        <v>-57749.9999999995</v>
      </c>
      <c r="J20" s="359"/>
      <c r="K20" s="397" t="n">
        <f aca="false">+I20</f>
        <v>-57749.9999999995</v>
      </c>
      <c r="L20" s="433" t="n">
        <f aca="false">IF(K20=0,0,IF(A20&lt;(Summary!$K$3+365),K20,0))</f>
        <v>0</v>
      </c>
    </row>
    <row r="21" customFormat="false" ht="12.75" hidden="false" customHeight="false" outlineLevel="0" collapsed="false">
      <c r="A21" s="358" t="n">
        <v>37591</v>
      </c>
      <c r="B21" s="359"/>
      <c r="C21" s="360" t="s">
        <v>44</v>
      </c>
      <c r="D21" s="434" t="n">
        <f aca="false">+[3]NYMEX!$C26+$D$9</f>
        <v>5.164</v>
      </c>
      <c r="E21" s="359"/>
      <c r="F21" s="419" t="n">
        <f aca="false">27500*31</f>
        <v>852500</v>
      </c>
      <c r="G21" s="359"/>
      <c r="H21" s="434" t="n">
        <f aca="false">+'[3]NGI Socal'!$E21</f>
        <v>5.094</v>
      </c>
      <c r="I21" s="420" t="n">
        <f aca="false">+F21*(+H21-D21)</f>
        <v>-59675.0000000002</v>
      </c>
      <c r="J21" s="420"/>
      <c r="K21" s="421" t="n">
        <f aca="false">+I21</f>
        <v>-59675.0000000002</v>
      </c>
      <c r="L21" s="433" t="n">
        <f aca="false">IF(K21=0,0,IF(A21&lt;(Summary!$K$3+365),K21,0))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AVERAGE(D10:D21)</f>
        <v>5.02616666666667</v>
      </c>
      <c r="E22" s="359"/>
      <c r="F22" s="395" t="n">
        <f aca="false">SUM(F10:F21)</f>
        <v>10037500</v>
      </c>
      <c r="G22" s="359"/>
      <c r="H22" s="361" t="n">
        <f aca="false">AVERAGE(H10:H21)</f>
        <v>5.33575</v>
      </c>
      <c r="I22" s="396" t="n">
        <f aca="false">SUM(I10:I21)</f>
        <v>3012350</v>
      </c>
      <c r="J22" s="396" t="n">
        <f aca="false">SUM(J10:J21)</f>
        <v>0</v>
      </c>
      <c r="K22" s="396" t="n">
        <f aca="false">SUM(K10:K21)</f>
        <v>3012350</v>
      </c>
      <c r="L22" s="396" t="n">
        <f aca="false">SUM(L10:L21)</f>
        <v>3337537.5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9"/>
      <c r="H23" s="361"/>
      <c r="I23" s="396"/>
      <c r="J23" s="398"/>
      <c r="K23" s="423"/>
      <c r="L23" s="423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3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10037500</v>
      </c>
      <c r="G25" s="359"/>
      <c r="H25" s="361"/>
      <c r="I25" s="425" t="n">
        <f aca="false">+I22</f>
        <v>3012350</v>
      </c>
      <c r="J25" s="425" t="n">
        <f aca="false">+J22</f>
        <v>0</v>
      </c>
      <c r="K25" s="425" t="n">
        <f aca="false">+K22</f>
        <v>3012350</v>
      </c>
      <c r="L25" s="425" t="n">
        <f aca="false">+L22</f>
        <v>3337537.5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  <c r="L26" s="405"/>
    </row>
    <row r="28" customFormat="false" ht="12.75" hidden="false" customHeight="false" outlineLevel="0" collapsed="false">
      <c r="A28" s="8" t="s">
        <v>148</v>
      </c>
    </row>
    <row r="30" customFormat="false" ht="12.75" hidden="false" customHeight="false" outlineLevel="0" collapsed="false">
      <c r="D30" s="0" t="s">
        <v>71</v>
      </c>
    </row>
    <row r="31" customFormat="false" ht="12.75" hidden="false" customHeight="false" outlineLevel="0" collapsed="false">
      <c r="D31" s="0" t="s">
        <v>157</v>
      </c>
    </row>
    <row r="32" customFormat="false" ht="12.75" hidden="false" customHeight="false" outlineLevel="0" collapsed="false">
      <c r="D32" s="0" t="s">
        <v>172</v>
      </c>
    </row>
    <row r="33" customFormat="false" ht="12.75" hidden="false" customHeight="false" outlineLevel="0" collapsed="false">
      <c r="D33" s="0" t="n">
        <v>-0.05</v>
      </c>
    </row>
    <row r="35" customFormat="false" ht="12.75" hidden="false" customHeight="false" outlineLevel="0" collapsed="false">
      <c r="A35" s="358" t="n">
        <v>37257</v>
      </c>
      <c r="D35" s="435" t="n">
        <f aca="false">+'[3]NGI Socal'!$F10+$D$33</f>
        <v>7.941</v>
      </c>
      <c r="F35" s="395" t="n">
        <f aca="false">27500*31</f>
        <v>852500</v>
      </c>
      <c r="H35" s="361" t="n">
        <f aca="false">+'[3]ELpaso SJ &amp; Prm'!$G16</f>
        <v>4.2085</v>
      </c>
      <c r="I35" s="431" t="n">
        <f aca="false">(+H35-D35)*F35</f>
        <v>-3181956.25</v>
      </c>
    </row>
    <row r="36" customFormat="false" ht="12.75" hidden="false" customHeight="false" outlineLevel="0" collapsed="false">
      <c r="A36" s="358" t="n">
        <v>37288</v>
      </c>
      <c r="D36" s="435" t="n">
        <f aca="false">+'[3]NGI Socal'!$F11+$D$33</f>
        <v>7.454</v>
      </c>
      <c r="F36" s="395" t="n">
        <f aca="false">27500*28</f>
        <v>770000</v>
      </c>
      <c r="H36" s="361" t="n">
        <f aca="false">+'[3]ELpaso SJ &amp; Prm'!$G17</f>
        <v>4.0915</v>
      </c>
      <c r="I36" s="431" t="n">
        <f aca="false">(+H36-D36)*F36</f>
        <v>-2589125</v>
      </c>
    </row>
    <row r="37" customFormat="false" ht="12.75" hidden="false" customHeight="false" outlineLevel="0" collapsed="false">
      <c r="A37" s="358" t="n">
        <v>37316</v>
      </c>
      <c r="D37" s="435" t="n">
        <f aca="false">+'[3]NGI Socal'!$F12+$D$33</f>
        <v>5.635</v>
      </c>
      <c r="F37" s="395" t="n">
        <f aca="false">27500*31</f>
        <v>852500</v>
      </c>
      <c r="H37" s="361" t="n">
        <f aca="false">+'[3]ELpaso SJ &amp; Prm'!$G18</f>
        <v>3.9225</v>
      </c>
      <c r="I37" s="431" t="n">
        <f aca="false">(+H37-D37)*F37</f>
        <v>-1459906.25</v>
      </c>
    </row>
    <row r="38" customFormat="false" ht="12.75" hidden="false" customHeight="false" outlineLevel="0" collapsed="false">
      <c r="A38" s="358" t="n">
        <v>37347</v>
      </c>
      <c r="D38" s="435" t="n">
        <f aca="false">+'[3]NGI Socal'!$F13+$D$33</f>
        <v>5.215</v>
      </c>
      <c r="F38" s="395" t="n">
        <f aca="false">27500*30</f>
        <v>825000</v>
      </c>
      <c r="H38" s="361" t="n">
        <f aca="false">+'[3]ELpaso SJ &amp; Prm'!$G19</f>
        <v>3.435</v>
      </c>
      <c r="I38" s="431" t="n">
        <f aca="false">(+H38-D38)*F38</f>
        <v>-1468500</v>
      </c>
    </row>
    <row r="39" customFormat="false" ht="12.75" hidden="false" customHeight="false" outlineLevel="0" collapsed="false">
      <c r="A39" s="358" t="n">
        <v>37377</v>
      </c>
      <c r="D39" s="435" t="n">
        <f aca="false">+'[3]NGI Socal'!$F14+$D$33</f>
        <v>4.54</v>
      </c>
      <c r="F39" s="395" t="n">
        <f aca="false">27500*31</f>
        <v>852500</v>
      </c>
      <c r="H39" s="361" t="n">
        <f aca="false">+'[3]ELpaso SJ &amp; Prm'!$G20</f>
        <v>3.36</v>
      </c>
      <c r="I39" s="431" t="n">
        <f aca="false">(+H39-D39)*F39</f>
        <v>-1005950</v>
      </c>
    </row>
    <row r="40" customFormat="false" ht="12.75" hidden="false" customHeight="false" outlineLevel="0" collapsed="false">
      <c r="A40" s="358" t="n">
        <v>37408</v>
      </c>
      <c r="D40" s="435" t="n">
        <f aca="false">+'[3]NGI Socal'!$F15+$D$33</f>
        <v>4.685</v>
      </c>
      <c r="F40" s="395" t="n">
        <f aca="false">27500*30</f>
        <v>825000</v>
      </c>
      <c r="H40" s="361" t="n">
        <f aca="false">+'[3]ELpaso SJ &amp; Prm'!$G21</f>
        <v>3.405</v>
      </c>
      <c r="I40" s="431" t="n">
        <f aca="false">(+H40-D40)*F40</f>
        <v>-1056000</v>
      </c>
    </row>
    <row r="41" customFormat="false" ht="12.75" hidden="false" customHeight="false" outlineLevel="0" collapsed="false">
      <c r="A41" s="358" t="n">
        <v>37438</v>
      </c>
      <c r="D41" s="435" t="n">
        <f aca="false">+'[3]NGI Socal'!$F16+$D$33</f>
        <v>5.19</v>
      </c>
      <c r="F41" s="395" t="n">
        <f aca="false">27500*31</f>
        <v>852500</v>
      </c>
      <c r="H41" s="361" t="n">
        <f aca="false">+'[3]ELpaso SJ &amp; Prm'!$G22</f>
        <v>3.44</v>
      </c>
      <c r="I41" s="431" t="n">
        <f aca="false">(+H41-D41)*F41</f>
        <v>-1491875</v>
      </c>
    </row>
    <row r="42" customFormat="false" ht="12.75" hidden="false" customHeight="false" outlineLevel="0" collapsed="false">
      <c r="A42" s="358" t="n">
        <v>37469</v>
      </c>
      <c r="D42" s="435" t="n">
        <f aca="false">+'[3]NGI Socal'!$F17+$D$33</f>
        <v>5.21</v>
      </c>
      <c r="F42" s="395" t="n">
        <f aca="false">27500*31</f>
        <v>852500</v>
      </c>
      <c r="H42" s="361" t="n">
        <f aca="false">+'[3]ELpaso SJ &amp; Prm'!$G23</f>
        <v>3.46</v>
      </c>
      <c r="I42" s="431" t="n">
        <f aca="false">(+H42-D42)*F42</f>
        <v>-1491875</v>
      </c>
    </row>
    <row r="43" customFormat="false" ht="12.75" hidden="false" customHeight="false" outlineLevel="0" collapsed="false">
      <c r="A43" s="358" t="n">
        <v>37500</v>
      </c>
      <c r="D43" s="435" t="n">
        <f aca="false">+'[3]NGI Socal'!$F18+$D$33</f>
        <v>5.227</v>
      </c>
      <c r="F43" s="395" t="n">
        <f aca="false">27500*30</f>
        <v>825000</v>
      </c>
      <c r="H43" s="361" t="n">
        <f aca="false">+'[3]ELpaso SJ &amp; Prm'!$G24</f>
        <v>3.477</v>
      </c>
      <c r="I43" s="431" t="n">
        <f aca="false">(+H43-D43)*F43</f>
        <v>-1443750</v>
      </c>
    </row>
    <row r="44" customFormat="false" ht="12.75" hidden="false" customHeight="false" outlineLevel="0" collapsed="false">
      <c r="A44" s="358" t="n">
        <v>37530</v>
      </c>
      <c r="D44" s="435" t="n">
        <f aca="false">+'[3]NGI Socal'!$F19+$D$33</f>
        <v>4.394</v>
      </c>
      <c r="F44" s="395" t="n">
        <f aca="false">27500*31</f>
        <v>852500</v>
      </c>
      <c r="H44" s="361" t="n">
        <f aca="false">+'[3]ELpaso SJ &amp; Prm'!$G25</f>
        <v>3.494</v>
      </c>
      <c r="I44" s="431" t="n">
        <f aca="false">(+H44-D44)*F44</f>
        <v>-767250</v>
      </c>
    </row>
    <row r="45" customFormat="false" ht="12.75" hidden="false" customHeight="false" outlineLevel="0" collapsed="false">
      <c r="A45" s="358" t="n">
        <v>37561</v>
      </c>
      <c r="D45" s="435" t="n">
        <f aca="false">+'[3]NGI Socal'!$F20+$D$33</f>
        <v>5.014</v>
      </c>
      <c r="F45" s="395" t="n">
        <f aca="false">27500*30</f>
        <v>825000</v>
      </c>
      <c r="H45" s="361" t="n">
        <f aca="false">+'[3]ELpaso SJ &amp; Prm'!$G26</f>
        <v>3.8015</v>
      </c>
      <c r="I45" s="431" t="n">
        <f aca="false">(+H45-D45)*F45</f>
        <v>-1000312.5</v>
      </c>
    </row>
    <row r="46" customFormat="false" ht="12.75" hidden="false" customHeight="false" outlineLevel="0" collapsed="false">
      <c r="A46" s="358" t="n">
        <v>37591</v>
      </c>
      <c r="D46" s="435" t="n">
        <f aca="false">+'[3]NGI Socal'!$F21+$D$33</f>
        <v>5.144</v>
      </c>
      <c r="F46" s="419" t="n">
        <f aca="false">27500*31</f>
        <v>852500</v>
      </c>
      <c r="H46" s="361" t="n">
        <f aca="false">+'[3]ELpaso SJ &amp; Prm'!$G27</f>
        <v>3.9315</v>
      </c>
      <c r="I46" s="431" t="n">
        <f aca="false">(+H46-D46)*F46</f>
        <v>-1033656.25</v>
      </c>
    </row>
    <row r="47" customFormat="false" ht="12.75" hidden="false" customHeight="false" outlineLevel="0" collapsed="false">
      <c r="I47" s="431" t="n">
        <f aca="false">SUM(I35:I46)</f>
        <v>-17990156.25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10.71"/>
    <col collapsed="false" customWidth="true" hidden="false" outlineLevel="0" max="3" min="3" style="0" width="12.14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9.28"/>
    <col collapsed="false" customWidth="true" hidden="false" outlineLevel="0" max="8" min="8" style="0" width="16.7"/>
    <col collapsed="false" customWidth="true" hidden="false" outlineLevel="0" max="9" min="9" style="0" width="12.28"/>
    <col collapsed="false" customWidth="true" hidden="false" outlineLevel="0" max="10" min="10" style="0" width="9.85"/>
    <col collapsed="false" customWidth="true" hidden="false" outlineLevel="0" max="11" min="11" style="0" width="13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173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63</v>
      </c>
      <c r="E6" s="385"/>
      <c r="F6" s="385"/>
      <c r="G6" s="385"/>
      <c r="H6" s="385" t="s">
        <v>31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162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 t="s">
        <v>163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 t="n">
        <v>0.85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37561</v>
      </c>
      <c r="B10" s="359"/>
      <c r="C10" s="360" t="s">
        <v>44</v>
      </c>
      <c r="D10" s="361" t="n">
        <f aca="false">+[3]NYMEX!$C25+$D$9</f>
        <v>4.834</v>
      </c>
      <c r="E10" s="359"/>
      <c r="F10" s="395" t="n">
        <f aca="false">21500*30</f>
        <v>645000</v>
      </c>
      <c r="G10" s="395"/>
      <c r="H10" s="361" t="n">
        <f aca="false">+'[3]NGI Socal'!$E20</f>
        <v>4.964</v>
      </c>
      <c r="I10" s="396" t="n">
        <f aca="false">SUM(-D10+H10)*F10</f>
        <v>83850.0000000005</v>
      </c>
      <c r="J10" s="397"/>
      <c r="K10" s="397" t="n">
        <f aca="false">+I10</f>
        <v>83850.0000000005</v>
      </c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37591</v>
      </c>
      <c r="B11" s="359"/>
      <c r="C11" s="360" t="s">
        <v>44</v>
      </c>
      <c r="D11" s="361" t="n">
        <f aca="false">+[3]NYMEX!$C26+$D$9</f>
        <v>4.964</v>
      </c>
      <c r="E11" s="359"/>
      <c r="F11" s="395" t="n">
        <f aca="false">21500*31</f>
        <v>666500</v>
      </c>
      <c r="G11" s="395"/>
      <c r="H11" s="361" t="n">
        <f aca="false">+'[3]NGI Socal'!$E21</f>
        <v>5.094</v>
      </c>
      <c r="I11" s="396" t="n">
        <f aca="false">SUM(-D11+H11)*F11</f>
        <v>86644.9999999999</v>
      </c>
      <c r="J11" s="397"/>
      <c r="K11" s="397" t="n">
        <f aca="false">+I11</f>
        <v>86644.9999999999</v>
      </c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358"/>
      <c r="B12" s="359"/>
      <c r="C12" s="360"/>
      <c r="D12" s="418"/>
      <c r="E12" s="359"/>
      <c r="F12" s="419"/>
      <c r="G12" s="395"/>
      <c r="H12" s="418"/>
      <c r="I12" s="420"/>
      <c r="J12" s="420"/>
      <c r="K12" s="421"/>
      <c r="L12" s="359"/>
    </row>
    <row r="13" customFormat="false" ht="12.75" hidden="false" customHeight="false" outlineLevel="0" collapsed="false">
      <c r="A13" s="358"/>
      <c r="B13" s="359"/>
      <c r="C13" s="360"/>
      <c r="D13" s="361" t="n">
        <f aca="false">SUM(D10:D12)/2</f>
        <v>4.899</v>
      </c>
      <c r="E13" s="359"/>
      <c r="F13" s="395" t="n">
        <f aca="false">SUM(F10:F12)</f>
        <v>1311500</v>
      </c>
      <c r="G13" s="359"/>
      <c r="H13" s="361" t="n">
        <f aca="false">SUM(H10:H12)/2</f>
        <v>5.029</v>
      </c>
      <c r="I13" s="396" t="n">
        <f aca="false">SUM(I10:I12)</f>
        <v>170495</v>
      </c>
      <c r="J13" s="396" t="n">
        <f aca="false">SUM(J10:J12)</f>
        <v>0</v>
      </c>
      <c r="K13" s="396" t="n">
        <f aca="false">SUM(K10:K12)</f>
        <v>170495</v>
      </c>
      <c r="L13" s="396" t="n">
        <f aca="false">SUM(L10:L12)</f>
        <v>0</v>
      </c>
    </row>
    <row r="14" customFormat="false" ht="12.75" hidden="false" customHeight="false" outlineLevel="0" collapsed="false">
      <c r="A14" s="358"/>
      <c r="B14" s="359"/>
      <c r="C14" s="360"/>
      <c r="D14" s="361"/>
      <c r="E14" s="359"/>
      <c r="F14" s="395"/>
      <c r="G14" s="422"/>
      <c r="H14" s="361"/>
      <c r="I14" s="396"/>
      <c r="J14" s="398"/>
      <c r="K14" s="423"/>
      <c r="L14" s="396"/>
    </row>
    <row r="15" customFormat="false" ht="12.75" hidden="false" customHeight="false" outlineLevel="0" collapsed="false">
      <c r="A15" s="358"/>
      <c r="B15" s="359"/>
      <c r="C15" s="360"/>
      <c r="D15" s="361"/>
      <c r="E15" s="359"/>
      <c r="F15" s="395"/>
      <c r="G15" s="359"/>
      <c r="H15" s="361"/>
      <c r="I15" s="396"/>
      <c r="J15" s="398"/>
      <c r="K15" s="423"/>
      <c r="L15" s="396"/>
    </row>
    <row r="16" customFormat="false" ht="13.5" hidden="false" customHeight="false" outlineLevel="0" collapsed="false">
      <c r="A16" s="358"/>
      <c r="B16" s="359"/>
      <c r="C16" s="360"/>
      <c r="D16" s="361"/>
      <c r="E16" s="359"/>
      <c r="F16" s="424" t="n">
        <f aca="false">+F13</f>
        <v>1311500</v>
      </c>
      <c r="G16" s="359"/>
      <c r="H16" s="361"/>
      <c r="I16" s="425" t="n">
        <f aca="false">+I13</f>
        <v>170495</v>
      </c>
      <c r="J16" s="425" t="n">
        <f aca="false">+J13</f>
        <v>0</v>
      </c>
      <c r="K16" s="425" t="n">
        <f aca="false">+K13</f>
        <v>170495</v>
      </c>
      <c r="L16" s="425" t="n">
        <f aca="false">+L13</f>
        <v>0</v>
      </c>
    </row>
    <row r="17" customFormat="false" ht="13.5" hidden="false" customHeight="false" outlineLevel="0" collapsed="false">
      <c r="A17" s="380"/>
      <c r="B17" s="380"/>
      <c r="C17" s="380"/>
      <c r="D17" s="380"/>
      <c r="E17" s="380"/>
      <c r="F17" s="380"/>
      <c r="G17" s="380"/>
      <c r="H17" s="380"/>
      <c r="I17" s="380"/>
      <c r="J17" s="405"/>
      <c r="K17" s="405"/>
      <c r="L17" s="380"/>
    </row>
    <row r="19" customFormat="false" ht="12.75" hidden="false" customHeight="false" outlineLevel="0" collapsed="false">
      <c r="A19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4.99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174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31</v>
      </c>
      <c r="E6" s="385"/>
      <c r="F6" s="385"/>
      <c r="G6" s="385"/>
      <c r="H6" s="385" t="s">
        <v>63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175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 t="s">
        <v>160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 t="n">
        <v>-0.15</v>
      </c>
      <c r="E9" s="391"/>
      <c r="F9" s="391"/>
      <c r="G9" s="393"/>
      <c r="H9" s="392"/>
      <c r="I9" s="392"/>
      <c r="J9" s="392"/>
      <c r="K9" s="394"/>
      <c r="L9" s="436" t="s">
        <v>146</v>
      </c>
    </row>
    <row r="10" customFormat="false" ht="12.75" hidden="false" customHeight="false" outlineLevel="0" collapsed="false">
      <c r="A10" s="358" t="n">
        <v>37562</v>
      </c>
      <c r="B10" s="359"/>
      <c r="C10" s="360" t="s">
        <v>44</v>
      </c>
      <c r="D10" s="361" t="n">
        <f aca="false">+[3]NYMEX!$C25+$D$9</f>
        <v>3.834</v>
      </c>
      <c r="E10" s="359"/>
      <c r="F10" s="395" t="n">
        <f aca="false">-21500*30</f>
        <v>-645000</v>
      </c>
      <c r="G10" s="395"/>
      <c r="H10" s="361" t="n">
        <f aca="false">+'[3]ELpaso SJ &amp; Prm'!$F26</f>
        <v>3.794</v>
      </c>
      <c r="I10" s="396" t="n">
        <f aca="false">SUM(-D10+H10)*F10</f>
        <v>25800</v>
      </c>
      <c r="J10" s="397"/>
      <c r="K10" s="397" t="n">
        <f aca="false">+I10</f>
        <v>25800</v>
      </c>
      <c r="L10" s="437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37591</v>
      </c>
      <c r="B11" s="359"/>
      <c r="C11" s="360" t="s">
        <v>44</v>
      </c>
      <c r="D11" s="361" t="n">
        <f aca="false">+[3]NYMEX!$C26+$D$9</f>
        <v>3.964</v>
      </c>
      <c r="E11" s="359"/>
      <c r="F11" s="395" t="n">
        <f aca="false">-21500*31</f>
        <v>-666500</v>
      </c>
      <c r="G11" s="395"/>
      <c r="H11" s="361" t="n">
        <f aca="false">+'[3]ELpaso SJ &amp; Prm'!$F27</f>
        <v>3.924</v>
      </c>
      <c r="I11" s="396" t="n">
        <f aca="false">SUM(-D11+H11)*F11</f>
        <v>26660</v>
      </c>
      <c r="J11" s="397"/>
      <c r="K11" s="397" t="n">
        <f aca="false">+I11</f>
        <v>26660</v>
      </c>
      <c r="L11" s="437" t="n">
        <f aca="false">IF(K11=0,0,IF(A11&lt;(Summary!$K$3+365),K11,0))</f>
        <v>0</v>
      </c>
    </row>
    <row r="12" customFormat="false" ht="12.75" hidden="false" customHeight="false" outlineLevel="0" collapsed="false">
      <c r="A12" s="358"/>
      <c r="B12" s="359"/>
      <c r="C12" s="360"/>
      <c r="D12" s="418"/>
      <c r="E12" s="359"/>
      <c r="F12" s="419"/>
      <c r="G12" s="395"/>
      <c r="H12" s="418"/>
      <c r="I12" s="420"/>
      <c r="J12" s="420"/>
      <c r="K12" s="421"/>
    </row>
    <row r="13" customFormat="false" ht="12.75" hidden="false" customHeight="false" outlineLevel="0" collapsed="false">
      <c r="A13" s="358"/>
      <c r="B13" s="359"/>
      <c r="C13" s="360"/>
      <c r="D13" s="361" t="n">
        <f aca="false">SUM(D10:D12)/2</f>
        <v>3.899</v>
      </c>
      <c r="E13" s="359"/>
      <c r="F13" s="395" t="n">
        <f aca="false">SUM(F10:F12)</f>
        <v>-1311500</v>
      </c>
      <c r="G13" s="359"/>
      <c r="H13" s="361" t="n">
        <f aca="false">SUM(H10:H12)/2</f>
        <v>3.859</v>
      </c>
      <c r="I13" s="396" t="n">
        <f aca="false">SUM(I10:I12)</f>
        <v>52460</v>
      </c>
      <c r="J13" s="396" t="n">
        <f aca="false">SUM(J10:J12)</f>
        <v>0</v>
      </c>
      <c r="K13" s="396" t="n">
        <f aca="false">SUM(K10:K12)</f>
        <v>52460</v>
      </c>
      <c r="L13" s="396" t="n">
        <f aca="false">SUM(L10:L12)</f>
        <v>0</v>
      </c>
    </row>
    <row r="14" customFormat="false" ht="12.75" hidden="false" customHeight="false" outlineLevel="0" collapsed="false">
      <c r="A14" s="358"/>
      <c r="B14" s="359"/>
      <c r="C14" s="360"/>
      <c r="D14" s="361"/>
      <c r="E14" s="359"/>
      <c r="F14" s="395"/>
      <c r="G14" s="422"/>
      <c r="H14" s="361"/>
      <c r="I14" s="396"/>
      <c r="J14" s="398"/>
      <c r="K14" s="423"/>
      <c r="L14" s="423"/>
    </row>
    <row r="15" customFormat="false" ht="12.75" hidden="false" customHeight="false" outlineLevel="0" collapsed="false">
      <c r="A15" s="358"/>
      <c r="B15" s="359"/>
      <c r="C15" s="360"/>
      <c r="D15" s="361"/>
      <c r="E15" s="359"/>
      <c r="F15" s="395"/>
      <c r="G15" s="359"/>
      <c r="H15" s="361"/>
      <c r="I15" s="396"/>
      <c r="J15" s="398"/>
      <c r="K15" s="423"/>
      <c r="L15" s="423"/>
    </row>
    <row r="16" customFormat="false" ht="13.5" hidden="false" customHeight="false" outlineLevel="0" collapsed="false">
      <c r="A16" s="358"/>
      <c r="B16" s="359"/>
      <c r="C16" s="360"/>
      <c r="D16" s="361"/>
      <c r="E16" s="359"/>
      <c r="F16" s="424" t="n">
        <f aca="false">+F13</f>
        <v>-1311500</v>
      </c>
      <c r="G16" s="359"/>
      <c r="H16" s="361"/>
      <c r="I16" s="425" t="n">
        <f aca="false">+I13</f>
        <v>52460</v>
      </c>
      <c r="J16" s="425" t="n">
        <f aca="false">+J13</f>
        <v>0</v>
      </c>
      <c r="K16" s="425" t="n">
        <f aca="false">+K13</f>
        <v>52460</v>
      </c>
      <c r="L16" s="425" t="n">
        <f aca="false">+L13</f>
        <v>0</v>
      </c>
    </row>
    <row r="17" customFormat="false" ht="13.5" hidden="false" customHeight="false" outlineLevel="0" collapsed="false">
      <c r="A17" s="380"/>
      <c r="B17" s="380"/>
      <c r="C17" s="380"/>
      <c r="D17" s="380"/>
      <c r="E17" s="380"/>
      <c r="F17" s="380"/>
      <c r="G17" s="380"/>
      <c r="H17" s="380"/>
      <c r="I17" s="380"/>
      <c r="J17" s="405"/>
      <c r="K17" s="405"/>
      <c r="L17" s="405"/>
    </row>
    <row r="19" customFormat="false" ht="12.75" hidden="false" customHeight="false" outlineLevel="0" collapsed="false">
      <c r="A19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4.99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176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63</v>
      </c>
      <c r="E6" s="385"/>
      <c r="F6" s="385"/>
      <c r="G6" s="385"/>
      <c r="H6" s="385" t="s">
        <v>31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162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 t="s">
        <v>163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 t="n">
        <v>1.03</v>
      </c>
      <c r="E9" s="391"/>
      <c r="F9" s="391"/>
      <c r="G9" s="393"/>
      <c r="H9" s="392"/>
      <c r="I9" s="392"/>
      <c r="J9" s="392"/>
      <c r="K9" s="394"/>
      <c r="L9" s="436" t="s">
        <v>146</v>
      </c>
    </row>
    <row r="10" customFormat="false" ht="12.75" hidden="false" customHeight="false" outlineLevel="0" collapsed="false">
      <c r="A10" s="358" t="n">
        <v>37622</v>
      </c>
      <c r="B10" s="359"/>
      <c r="C10" s="360" t="s">
        <v>44</v>
      </c>
      <c r="D10" s="361" t="n">
        <f aca="false">+'[3]Henry Hub'!$E16+$D$9</f>
        <v>5.204</v>
      </c>
      <c r="E10" s="359"/>
      <c r="F10" s="395" t="n">
        <f aca="false">37500*31</f>
        <v>1162500</v>
      </c>
      <c r="G10" s="395" t="n">
        <f aca="false">+F10/31</f>
        <v>37500</v>
      </c>
      <c r="H10" s="361" t="n">
        <f aca="false">+'[3]NGI Socal'!$E22</f>
        <v>4.954</v>
      </c>
      <c r="I10" s="396" t="n">
        <f aca="false">SUM(-D10+H10)*F10</f>
        <v>-290625</v>
      </c>
      <c r="J10" s="397"/>
      <c r="K10" s="397" t="n">
        <f aca="false">+I10</f>
        <v>-290625</v>
      </c>
      <c r="L10" s="437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37653</v>
      </c>
      <c r="B11" s="359"/>
      <c r="C11" s="360" t="s">
        <v>44</v>
      </c>
      <c r="D11" s="361" t="n">
        <f aca="false">+'[3]Henry Hub'!$E17+$D$9</f>
        <v>5.084</v>
      </c>
      <c r="E11" s="361" t="n">
        <f aca="false">+'[3]Henry Hub'!$E17+$D$9</f>
        <v>5.084</v>
      </c>
      <c r="F11" s="395" t="n">
        <f aca="false">37500*28</f>
        <v>1050000</v>
      </c>
      <c r="G11" s="395" t="n">
        <f aca="false">+F11/28</f>
        <v>37500</v>
      </c>
      <c r="H11" s="361" t="n">
        <f aca="false">+'[3]NGI Socal'!$E23</f>
        <v>4.834</v>
      </c>
      <c r="I11" s="396" t="n">
        <f aca="false">SUM(-D11+H11)*F11</f>
        <v>-262500</v>
      </c>
      <c r="J11" s="397"/>
      <c r="K11" s="397" t="n">
        <f aca="false">+I11</f>
        <v>-262500</v>
      </c>
      <c r="L11" s="437" t="n">
        <f aca="false">IF(K11=0,0,IF(A11&lt;(Summary!$K$3+365),K11,0))</f>
        <v>0</v>
      </c>
    </row>
    <row r="12" customFormat="false" ht="12.75" hidden="false" customHeight="false" outlineLevel="0" collapsed="false">
      <c r="A12" s="358" t="n">
        <v>37681</v>
      </c>
      <c r="B12" s="359"/>
      <c r="C12" s="360" t="s">
        <v>44</v>
      </c>
      <c r="D12" s="361" t="n">
        <f aca="false">+'[3]Henry Hub'!$E18+$D$9</f>
        <v>4.937</v>
      </c>
      <c r="E12" s="359"/>
      <c r="F12" s="395" t="n">
        <f aca="false">37500*31</f>
        <v>1162500</v>
      </c>
      <c r="G12" s="395" t="n">
        <f aca="false">+F12/31</f>
        <v>37500</v>
      </c>
      <c r="H12" s="361" t="n">
        <f aca="false">+'[3]NGI Socal'!$E24</f>
        <v>4.687</v>
      </c>
      <c r="I12" s="396" t="n">
        <f aca="false">SUM(-D12+H12)*F12</f>
        <v>-290625</v>
      </c>
      <c r="J12" s="397"/>
      <c r="K12" s="397" t="n">
        <f aca="false">+I12</f>
        <v>-290625</v>
      </c>
      <c r="L12" s="437" t="n">
        <f aca="false">IF(K12=0,0,IF(A12&lt;(Summary!$K$3+365),K12,0))</f>
        <v>0</v>
      </c>
    </row>
    <row r="13" customFormat="false" ht="12.75" hidden="false" customHeight="false" outlineLevel="0" collapsed="false">
      <c r="A13" s="358" t="n">
        <v>37712</v>
      </c>
      <c r="B13" s="359"/>
      <c r="C13" s="360" t="s">
        <v>44</v>
      </c>
      <c r="D13" s="361" t="n">
        <f aca="false">+'[3]Henry Hub'!$E19+$D$9</f>
        <v>4.674</v>
      </c>
      <c r="E13" s="359"/>
      <c r="F13" s="395" t="n">
        <f aca="false">37500*30</f>
        <v>1125000</v>
      </c>
      <c r="G13" s="395" t="n">
        <f aca="false">+F13/30</f>
        <v>37500</v>
      </c>
      <c r="H13" s="361" t="n">
        <f aca="false">+'[3]NGI Socal'!$E25</f>
        <v>4.064</v>
      </c>
      <c r="I13" s="396" t="n">
        <f aca="false">SUM(-D13+H13)*F13</f>
        <v>-686250</v>
      </c>
      <c r="J13" s="359"/>
      <c r="K13" s="397" t="n">
        <f aca="false">+I13</f>
        <v>-686250</v>
      </c>
      <c r="L13" s="437" t="n">
        <f aca="false">IF(K13=0,0,IF(A13&lt;(Summary!$K$3+365),K13,0))</f>
        <v>0</v>
      </c>
    </row>
    <row r="14" customFormat="false" ht="12.75" hidden="false" customHeight="false" outlineLevel="0" collapsed="false">
      <c r="A14" s="358" t="n">
        <v>37742</v>
      </c>
      <c r="B14" s="359"/>
      <c r="C14" s="360" t="s">
        <v>44</v>
      </c>
      <c r="D14" s="361" t="n">
        <f aca="false">+'[3]Henry Hub'!$E20+$D$9</f>
        <v>4.659</v>
      </c>
      <c r="E14" s="359"/>
      <c r="F14" s="395" t="n">
        <f aca="false">37500*31</f>
        <v>1162500</v>
      </c>
      <c r="G14" s="395" t="n">
        <f aca="false">+F14/31</f>
        <v>37500</v>
      </c>
      <c r="H14" s="361" t="n">
        <f aca="false">+'[3]NGI Socal'!$E26</f>
        <v>4.049</v>
      </c>
      <c r="I14" s="396" t="n">
        <f aca="false">SUM(-D14+H14)*F14</f>
        <v>-709124.999999999</v>
      </c>
      <c r="J14" s="359"/>
      <c r="K14" s="397" t="n">
        <f aca="false">+I14</f>
        <v>-709124.999999999</v>
      </c>
      <c r="L14" s="437" t="n">
        <f aca="false">IF(K14=0,0,IF(A14&lt;(Summary!$K$3+365),K14,0))</f>
        <v>0</v>
      </c>
    </row>
    <row r="15" customFormat="false" ht="12.75" hidden="false" customHeight="false" outlineLevel="0" collapsed="false">
      <c r="A15" s="358" t="n">
        <v>37773</v>
      </c>
      <c r="B15" s="359"/>
      <c r="C15" s="360" t="s">
        <v>44</v>
      </c>
      <c r="D15" s="361" t="n">
        <f aca="false">+'[3]Henry Hub'!$E21+$D$9</f>
        <v>4.699</v>
      </c>
      <c r="E15" s="359"/>
      <c r="F15" s="395" t="n">
        <f aca="false">37500*30</f>
        <v>1125000</v>
      </c>
      <c r="G15" s="395" t="n">
        <f aca="false">+F15/30</f>
        <v>37500</v>
      </c>
      <c r="H15" s="361" t="n">
        <f aca="false">+'[3]NGI Socal'!$E27</f>
        <v>4.089</v>
      </c>
      <c r="I15" s="396" t="n">
        <f aca="false">SUM(-D15+H15)*F15</f>
        <v>-686249.999999999</v>
      </c>
      <c r="J15" s="359"/>
      <c r="K15" s="397" t="n">
        <f aca="false">+I15</f>
        <v>-686249.999999999</v>
      </c>
      <c r="L15" s="437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37803</v>
      </c>
      <c r="B16" s="359"/>
      <c r="C16" s="360" t="s">
        <v>44</v>
      </c>
      <c r="D16" s="361" t="n">
        <f aca="false">+'[3]Henry Hub'!$E22+$D$9</f>
        <v>4.754</v>
      </c>
      <c r="E16" s="359"/>
      <c r="F16" s="395" t="n">
        <f aca="false">37500*31</f>
        <v>1162500</v>
      </c>
      <c r="G16" s="395" t="n">
        <f aca="false">+F16/31</f>
        <v>37500</v>
      </c>
      <c r="H16" s="361" t="n">
        <f aca="false">+'[3]NGI Socal'!$E28</f>
        <v>4.144</v>
      </c>
      <c r="I16" s="396" t="n">
        <f aca="false">SUM(-D16+H16)*F16</f>
        <v>-709125</v>
      </c>
      <c r="J16" s="359"/>
      <c r="K16" s="397" t="n">
        <f aca="false">+I16</f>
        <v>-709125</v>
      </c>
      <c r="L16" s="437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37834</v>
      </c>
      <c r="B17" s="359"/>
      <c r="C17" s="360" t="s">
        <v>44</v>
      </c>
      <c r="D17" s="361" t="n">
        <f aca="false">+'[3]Henry Hub'!$E23+$D$9</f>
        <v>4.784</v>
      </c>
      <c r="E17" s="359"/>
      <c r="F17" s="395" t="n">
        <f aca="false">37500*31</f>
        <v>1162500</v>
      </c>
      <c r="G17" s="395" t="n">
        <f aca="false">+F17/31</f>
        <v>37500</v>
      </c>
      <c r="H17" s="361" t="n">
        <f aca="false">+'[3]NGI Socal'!$E29</f>
        <v>4.174</v>
      </c>
      <c r="I17" s="396" t="n">
        <f aca="false">SUM(-D17+H17)*F17</f>
        <v>-709124.999999999</v>
      </c>
      <c r="J17" s="359"/>
      <c r="K17" s="397" t="n">
        <f aca="false">+I17</f>
        <v>-709124.999999999</v>
      </c>
      <c r="L17" s="437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37865</v>
      </c>
      <c r="B18" s="359"/>
      <c r="C18" s="360" t="s">
        <v>44</v>
      </c>
      <c r="D18" s="361" t="n">
        <f aca="false">+'[3]Henry Hub'!$E24+$D$9</f>
        <v>4.796</v>
      </c>
      <c r="E18" s="359"/>
      <c r="F18" s="395" t="n">
        <f aca="false">37500*30</f>
        <v>1125000</v>
      </c>
      <c r="G18" s="395" t="n">
        <f aca="false">+F18/30</f>
        <v>37500</v>
      </c>
      <c r="H18" s="361" t="n">
        <f aca="false">+'[3]NGI Socal'!$E30</f>
        <v>4.186</v>
      </c>
      <c r="I18" s="396" t="n">
        <f aca="false">SUM(-D18+H18)*F18</f>
        <v>-686250</v>
      </c>
      <c r="J18" s="359"/>
      <c r="K18" s="397" t="n">
        <f aca="false">+I18</f>
        <v>-686250</v>
      </c>
      <c r="L18" s="437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37895</v>
      </c>
      <c r="B19" s="359"/>
      <c r="C19" s="360" t="s">
        <v>44</v>
      </c>
      <c r="D19" s="361" t="n">
        <f aca="false">+'[3]Henry Hub'!$E25+$D$9</f>
        <v>4.819</v>
      </c>
      <c r="E19" s="359"/>
      <c r="F19" s="395" t="n">
        <f aca="false">37500*31</f>
        <v>1162500</v>
      </c>
      <c r="G19" s="395" t="n">
        <f aca="false">+F19/31</f>
        <v>37500</v>
      </c>
      <c r="H19" s="361" t="n">
        <f aca="false">+'[3]NGI Socal'!$E31</f>
        <v>4.209</v>
      </c>
      <c r="I19" s="396" t="n">
        <f aca="false">SUM(-D19+H19)*F19</f>
        <v>-709124.999999999</v>
      </c>
      <c r="J19" s="359"/>
      <c r="K19" s="397" t="n">
        <f aca="false">+I19</f>
        <v>-709124.999999999</v>
      </c>
      <c r="L19" s="437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37926</v>
      </c>
      <c r="B20" s="359"/>
      <c r="C20" s="360" t="s">
        <v>44</v>
      </c>
      <c r="D20" s="361" t="n">
        <f aca="false">+'[3]Henry Hub'!$E26+$D$9</f>
        <v>4.954</v>
      </c>
      <c r="E20" s="359"/>
      <c r="F20" s="395" t="n">
        <f aca="false">37500*30</f>
        <v>1125000</v>
      </c>
      <c r="G20" s="395" t="n">
        <f aca="false">+F20/30</f>
        <v>37500</v>
      </c>
      <c r="H20" s="361" t="n">
        <f aca="false">+'[3]NGI Socal'!$E32</f>
        <v>4.274</v>
      </c>
      <c r="I20" s="396" t="n">
        <f aca="false">SUM(-D20+H20)*F20</f>
        <v>-765000</v>
      </c>
      <c r="J20" s="359"/>
      <c r="K20" s="397" t="n">
        <f aca="false">+I20</f>
        <v>-765000</v>
      </c>
      <c r="L20" s="437" t="n">
        <f aca="false">IF(K20=0,0,IF(A20&lt;(Summary!$K$3+365),K20,0))</f>
        <v>0</v>
      </c>
    </row>
    <row r="21" customFormat="false" ht="12.75" hidden="false" customHeight="false" outlineLevel="0" collapsed="false">
      <c r="A21" s="358" t="n">
        <v>37956</v>
      </c>
      <c r="B21" s="359"/>
      <c r="C21" s="360" t="s">
        <v>44</v>
      </c>
      <c r="D21" s="418" t="n">
        <f aca="false">+'[3]Henry Hub'!$E27+$D$9</f>
        <v>5.094</v>
      </c>
      <c r="E21" s="359"/>
      <c r="F21" s="419" t="n">
        <f aca="false">37500*31</f>
        <v>1162500</v>
      </c>
      <c r="G21" s="395" t="n">
        <f aca="false">+F21/31</f>
        <v>37500</v>
      </c>
      <c r="H21" s="418" t="n">
        <f aca="false">+'[3]NGI Socal'!$E33</f>
        <v>4.414</v>
      </c>
      <c r="I21" s="420" t="n">
        <f aca="false">SUM(-D21+H21)*F21</f>
        <v>-790500.000000001</v>
      </c>
      <c r="J21" s="420"/>
      <c r="K21" s="421" t="n">
        <f aca="false">+I21</f>
        <v>-790500.000000001</v>
      </c>
      <c r="L21" s="438" t="n">
        <f aca="false">+J21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SUM(D10:D21)/12</f>
        <v>4.8715</v>
      </c>
      <c r="E22" s="359"/>
      <c r="F22" s="395" t="n">
        <f aca="false">SUM(F10:F21)</f>
        <v>13687500</v>
      </c>
      <c r="G22" s="359"/>
      <c r="H22" s="361" t="n">
        <f aca="false">SUM(H10:H21)/12</f>
        <v>4.33983333333333</v>
      </c>
      <c r="I22" s="396" t="n">
        <f aca="false">SUM(I10:I21)</f>
        <v>-7294500</v>
      </c>
      <c r="J22" s="396" t="n">
        <f aca="false">SUM(J10:J21)</f>
        <v>0</v>
      </c>
      <c r="K22" s="396" t="n">
        <f aca="false">SUM(K10:K21)</f>
        <v>-7294500</v>
      </c>
      <c r="L22" s="396" t="n">
        <f aca="false">SUM(L10:L21)</f>
        <v>0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2"/>
      <c r="H23" s="361"/>
      <c r="I23" s="396"/>
      <c r="J23" s="398"/>
      <c r="K23" s="423"/>
      <c r="L23" s="423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3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13687500</v>
      </c>
      <c r="G25" s="359"/>
      <c r="H25" s="361"/>
      <c r="I25" s="425" t="n">
        <f aca="false">+I22</f>
        <v>-7294500</v>
      </c>
      <c r="J25" s="425" t="n">
        <f aca="false">+J22</f>
        <v>0</v>
      </c>
      <c r="K25" s="425" t="n">
        <f aca="false">+K22</f>
        <v>-7294500</v>
      </c>
      <c r="L25" s="425" t="n">
        <f aca="false">+L22</f>
        <v>0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  <c r="L26" s="405"/>
    </row>
    <row r="28" customFormat="false" ht="12.75" hidden="false" customHeight="false" outlineLevel="0" collapsed="false">
      <c r="A28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177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31</v>
      </c>
      <c r="E6" s="385"/>
      <c r="F6" s="385"/>
      <c r="G6" s="385"/>
      <c r="H6" s="385" t="s">
        <v>63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178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 t="s">
        <v>167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 t="n">
        <v>-0.15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37622</v>
      </c>
      <c r="B10" s="359"/>
      <c r="C10" s="360" t="s">
        <v>44</v>
      </c>
      <c r="D10" s="361" t="n">
        <f aca="false">+'[3]Henry Hub'!$E16+$D$9</f>
        <v>4.024</v>
      </c>
      <c r="E10" s="359"/>
      <c r="F10" s="395" t="n">
        <f aca="false">-37500*31</f>
        <v>-1162500</v>
      </c>
      <c r="G10" s="395" t="n">
        <f aca="false">+F10/31</f>
        <v>-37500</v>
      </c>
      <c r="H10" s="361" t="n">
        <f aca="false">+'[3]ELpaso SJ &amp; Prm'!$F28</f>
        <v>3.984</v>
      </c>
      <c r="I10" s="396" t="n">
        <f aca="false">SUM(H10-D10)*F10</f>
        <v>46499.9999999995</v>
      </c>
      <c r="J10" s="397"/>
      <c r="K10" s="397" t="n">
        <f aca="false">+I10</f>
        <v>46499.9999999995</v>
      </c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37653</v>
      </c>
      <c r="B11" s="359"/>
      <c r="C11" s="360" t="s">
        <v>44</v>
      </c>
      <c r="D11" s="361" t="n">
        <f aca="false">+'[3]Henry Hub'!$E17+$D$9</f>
        <v>3.904</v>
      </c>
      <c r="E11" s="359"/>
      <c r="F11" s="395" t="n">
        <f aca="false">-37500*28</f>
        <v>-1050000</v>
      </c>
      <c r="G11" s="395" t="n">
        <f aca="false">+F11/28</f>
        <v>-37500</v>
      </c>
      <c r="H11" s="361" t="n">
        <f aca="false">+'[3]ELpaso SJ &amp; Prm'!$F29</f>
        <v>3.864</v>
      </c>
      <c r="I11" s="396" t="n">
        <f aca="false">SUM(H11-D11)*F11</f>
        <v>42000</v>
      </c>
      <c r="J11" s="397"/>
      <c r="K11" s="397" t="n">
        <f aca="false">+I11</f>
        <v>42000</v>
      </c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358" t="n">
        <v>37681</v>
      </c>
      <c r="B12" s="359"/>
      <c r="C12" s="360" t="s">
        <v>44</v>
      </c>
      <c r="D12" s="361" t="n">
        <f aca="false">+'[3]Henry Hub'!$E18+$D$9</f>
        <v>3.757</v>
      </c>
      <c r="E12" s="359"/>
      <c r="F12" s="395" t="n">
        <f aca="false">-37500*31</f>
        <v>-1162500</v>
      </c>
      <c r="G12" s="395" t="n">
        <f aca="false">+F12/31</f>
        <v>-37500</v>
      </c>
      <c r="H12" s="361" t="n">
        <f aca="false">+'[3]ELpaso SJ &amp; Prm'!$F30</f>
        <v>3.717</v>
      </c>
      <c r="I12" s="396" t="n">
        <f aca="false">SUM(H12-D12)*F12</f>
        <v>46500</v>
      </c>
      <c r="J12" s="429"/>
      <c r="K12" s="397" t="n">
        <f aca="false">+I12</f>
        <v>46500</v>
      </c>
      <c r="L12" s="366" t="n">
        <f aca="false">IF(K12=0,0,IF(A12&lt;(Summary!$K$3+365),K12,0))</f>
        <v>0</v>
      </c>
    </row>
    <row r="13" customFormat="false" ht="12.75" hidden="false" customHeight="false" outlineLevel="0" collapsed="false">
      <c r="A13" s="358" t="n">
        <v>37712</v>
      </c>
      <c r="B13" s="359"/>
      <c r="C13" s="360" t="s">
        <v>44</v>
      </c>
      <c r="D13" s="361" t="n">
        <f aca="false">+'[3]Henry Hub'!$E19+$D$9</f>
        <v>3.494</v>
      </c>
      <c r="E13" s="359"/>
      <c r="F13" s="395" t="n">
        <f aca="false">-37500*30</f>
        <v>-1125000</v>
      </c>
      <c r="G13" s="395" t="n">
        <f aca="false">+F13/30</f>
        <v>-37500</v>
      </c>
      <c r="H13" s="361" t="n">
        <f aca="false">+'[3]ELpaso SJ &amp; Prm'!$F31</f>
        <v>3.489</v>
      </c>
      <c r="I13" s="396" t="n">
        <f aca="false">SUM(H13-D13)*F13</f>
        <v>5624.99999999988</v>
      </c>
      <c r="J13" s="359"/>
      <c r="K13" s="397" t="n">
        <f aca="false">+I13</f>
        <v>5624.99999999988</v>
      </c>
      <c r="L13" s="366" t="n">
        <f aca="false">IF(K13=0,0,IF(A13&lt;(Summary!$K$3+365),K13,0))</f>
        <v>0</v>
      </c>
    </row>
    <row r="14" customFormat="false" ht="12.75" hidden="false" customHeight="false" outlineLevel="0" collapsed="false">
      <c r="A14" s="358" t="n">
        <v>37742</v>
      </c>
      <c r="B14" s="359"/>
      <c r="C14" s="360" t="s">
        <v>44</v>
      </c>
      <c r="D14" s="361" t="n">
        <f aca="false">+'[3]Henry Hub'!$E20+$D$9</f>
        <v>3.479</v>
      </c>
      <c r="E14" s="359"/>
      <c r="F14" s="395" t="n">
        <f aca="false">-37500*31</f>
        <v>-1162500</v>
      </c>
      <c r="G14" s="395" t="n">
        <f aca="false">+F14/31</f>
        <v>-37500</v>
      </c>
      <c r="H14" s="361" t="n">
        <f aca="false">+'[3]ELpaso SJ &amp; Prm'!$F32</f>
        <v>3.474</v>
      </c>
      <c r="I14" s="396" t="n">
        <f aca="false">SUM(H14-D14)*F14</f>
        <v>5812.49999999988</v>
      </c>
      <c r="J14" s="359"/>
      <c r="K14" s="397" t="n">
        <f aca="false">+I14</f>
        <v>5812.49999999988</v>
      </c>
      <c r="L14" s="366" t="n">
        <f aca="false">IF(K14=0,0,IF(A14&lt;(Summary!$K$3+365),K14,0))</f>
        <v>0</v>
      </c>
    </row>
    <row r="15" customFormat="false" ht="12.75" hidden="false" customHeight="false" outlineLevel="0" collapsed="false">
      <c r="A15" s="358" t="n">
        <v>37773</v>
      </c>
      <c r="B15" s="359"/>
      <c r="C15" s="360" t="s">
        <v>44</v>
      </c>
      <c r="D15" s="361" t="n">
        <f aca="false">+'[3]Henry Hub'!$E21+$D$9</f>
        <v>3.519</v>
      </c>
      <c r="E15" s="359"/>
      <c r="F15" s="395" t="n">
        <f aca="false">-37500*30</f>
        <v>-1125000</v>
      </c>
      <c r="G15" s="395" t="n">
        <f aca="false">+F15/30</f>
        <v>-37500</v>
      </c>
      <c r="H15" s="361" t="n">
        <f aca="false">+'[3]ELpaso SJ &amp; Prm'!$F33</f>
        <v>3.514</v>
      </c>
      <c r="I15" s="396" t="n">
        <f aca="false">SUM(H15-D15)*F15</f>
        <v>5624.99999999988</v>
      </c>
      <c r="J15" s="359"/>
      <c r="K15" s="397" t="n">
        <f aca="false">+I15</f>
        <v>5624.99999999988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37803</v>
      </c>
      <c r="B16" s="359"/>
      <c r="C16" s="360" t="s">
        <v>44</v>
      </c>
      <c r="D16" s="361" t="n">
        <f aca="false">+'[3]Henry Hub'!$E22+$D$9</f>
        <v>3.574</v>
      </c>
      <c r="E16" s="359"/>
      <c r="F16" s="395" t="n">
        <f aca="false">-37500*31</f>
        <v>-1162500</v>
      </c>
      <c r="G16" s="395" t="n">
        <f aca="false">+F16/31</f>
        <v>-37500</v>
      </c>
      <c r="H16" s="361" t="n">
        <f aca="false">+'[3]ELpaso SJ &amp; Prm'!$F34</f>
        <v>3.569</v>
      </c>
      <c r="I16" s="396" t="n">
        <f aca="false">SUM(H16-D16)*F16</f>
        <v>5812.49999999988</v>
      </c>
      <c r="J16" s="359"/>
      <c r="K16" s="397" t="n">
        <f aca="false">+I16</f>
        <v>5812.49999999988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37834</v>
      </c>
      <c r="B17" s="359"/>
      <c r="C17" s="360" t="s">
        <v>44</v>
      </c>
      <c r="D17" s="361" t="n">
        <f aca="false">+'[3]Henry Hub'!$E23+$D$9</f>
        <v>3.604</v>
      </c>
      <c r="E17" s="359"/>
      <c r="F17" s="395" t="n">
        <f aca="false">-37500*31</f>
        <v>-1162500</v>
      </c>
      <c r="G17" s="395" t="n">
        <f aca="false">+F17/31</f>
        <v>-37500</v>
      </c>
      <c r="H17" s="361" t="n">
        <f aca="false">+'[3]ELpaso SJ &amp; Prm'!$F35</f>
        <v>3.599</v>
      </c>
      <c r="I17" s="396" t="n">
        <f aca="false">SUM(H17-D17)*F17</f>
        <v>5812.49999999988</v>
      </c>
      <c r="J17" s="359"/>
      <c r="K17" s="397" t="n">
        <f aca="false">+I17</f>
        <v>5812.49999999988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37865</v>
      </c>
      <c r="B18" s="359"/>
      <c r="C18" s="360" t="s">
        <v>44</v>
      </c>
      <c r="D18" s="361" t="n">
        <f aca="false">+'[3]Henry Hub'!$E24+$D$9</f>
        <v>3.616</v>
      </c>
      <c r="E18" s="359"/>
      <c r="F18" s="395" t="n">
        <f aca="false">-37500*30</f>
        <v>-1125000</v>
      </c>
      <c r="G18" s="395" t="n">
        <f aca="false">+F18/30</f>
        <v>-37500</v>
      </c>
      <c r="H18" s="361" t="n">
        <f aca="false">+'[3]ELpaso SJ &amp; Prm'!$F36</f>
        <v>3.611</v>
      </c>
      <c r="I18" s="396" t="n">
        <f aca="false">SUM(H18-D18)*F18</f>
        <v>5624.99999999988</v>
      </c>
      <c r="J18" s="359"/>
      <c r="K18" s="397" t="n">
        <f aca="false">+I18</f>
        <v>5624.99999999988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37895</v>
      </c>
      <c r="B19" s="359"/>
      <c r="C19" s="360" t="s">
        <v>44</v>
      </c>
      <c r="D19" s="361" t="n">
        <f aca="false">+'[3]Henry Hub'!$E25+$D$9</f>
        <v>3.639</v>
      </c>
      <c r="E19" s="359"/>
      <c r="F19" s="395" t="n">
        <f aca="false">-37500*31</f>
        <v>-1162500</v>
      </c>
      <c r="G19" s="395" t="n">
        <f aca="false">+F19/31</f>
        <v>-37500</v>
      </c>
      <c r="H19" s="361" t="n">
        <f aca="false">+'[3]ELpaso SJ &amp; Prm'!$F37</f>
        <v>3.634</v>
      </c>
      <c r="I19" s="396" t="n">
        <f aca="false">SUM(H19-D19)*F19</f>
        <v>5812.49999999988</v>
      </c>
      <c r="J19" s="359"/>
      <c r="K19" s="397" t="n">
        <f aca="false">+I19</f>
        <v>5812.49999999988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37926</v>
      </c>
      <c r="B20" s="359"/>
      <c r="C20" s="360" t="s">
        <v>44</v>
      </c>
      <c r="D20" s="361" t="n">
        <f aca="false">+'[3]Henry Hub'!$E26+$D$9</f>
        <v>3.774</v>
      </c>
      <c r="E20" s="359"/>
      <c r="F20" s="395" t="n">
        <f aca="false">-37500*30</f>
        <v>-1125000</v>
      </c>
      <c r="G20" s="395" t="n">
        <f aca="false">+F20/30</f>
        <v>-37500</v>
      </c>
      <c r="H20" s="361" t="n">
        <f aca="false">+'[3]ELpaso SJ &amp; Prm'!$F38</f>
        <v>3.804</v>
      </c>
      <c r="I20" s="396" t="n">
        <f aca="false">SUM(H20-D20)*F20</f>
        <v>-33749.9999999998</v>
      </c>
      <c r="J20" s="359"/>
      <c r="K20" s="397" t="n">
        <f aca="false">+I20</f>
        <v>-33749.9999999998</v>
      </c>
      <c r="L20" s="366" t="n">
        <f aca="false">IF(K20=0,0,IF(A20&lt;(Summary!$K$3+365),K20,0))</f>
        <v>0</v>
      </c>
    </row>
    <row r="21" customFormat="false" ht="12.75" hidden="false" customHeight="false" outlineLevel="0" collapsed="false">
      <c r="A21" s="358" t="n">
        <v>37956</v>
      </c>
      <c r="B21" s="359"/>
      <c r="C21" s="360" t="s">
        <v>44</v>
      </c>
      <c r="D21" s="418" t="n">
        <f aca="false">+'[3]Henry Hub'!$E27+$D$9</f>
        <v>3.914</v>
      </c>
      <c r="E21" s="359"/>
      <c r="F21" s="419" t="n">
        <f aca="false">-37500*31</f>
        <v>-1162500</v>
      </c>
      <c r="G21" s="395" t="n">
        <f aca="false">+F21/31</f>
        <v>-37500</v>
      </c>
      <c r="H21" s="418" t="n">
        <f aca="false">+'[3]ELpaso SJ &amp; Prm'!$F39</f>
        <v>3.944</v>
      </c>
      <c r="I21" s="420" t="n">
        <f aca="false">SUM(H21-D21)*F21</f>
        <v>-34874.9999999998</v>
      </c>
      <c r="J21" s="420"/>
      <c r="K21" s="421" t="n">
        <f aca="false">+I21</f>
        <v>-34874.9999999998</v>
      </c>
      <c r="L21" s="439" t="n">
        <f aca="false">+J21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SUM(D10:D21)/12</f>
        <v>3.6915</v>
      </c>
      <c r="E22" s="359"/>
      <c r="F22" s="395" t="n">
        <f aca="false">SUM(F10:F21)</f>
        <v>-13687500</v>
      </c>
      <c r="G22" s="359"/>
      <c r="H22" s="361" t="n">
        <f aca="false">SUM(H10:H21)/12</f>
        <v>3.68358333333333</v>
      </c>
      <c r="I22" s="396" t="n">
        <f aca="false">SUM(I10:I21)</f>
        <v>106499.999999999</v>
      </c>
      <c r="J22" s="396" t="n">
        <f aca="false">SUM(J10:J21)</f>
        <v>0</v>
      </c>
      <c r="K22" s="396" t="n">
        <f aca="false">SUM(K10:K21)</f>
        <v>106499.999999999</v>
      </c>
      <c r="L22" s="396" t="n">
        <f aca="false">SUM(L10:L21)</f>
        <v>0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2"/>
      <c r="H23" s="361"/>
      <c r="I23" s="396"/>
      <c r="J23" s="398"/>
      <c r="K23" s="423"/>
      <c r="L23" s="423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3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-13687500</v>
      </c>
      <c r="G25" s="359"/>
      <c r="H25" s="361"/>
      <c r="I25" s="425" t="n">
        <f aca="false">+I22</f>
        <v>106499.999999999</v>
      </c>
      <c r="J25" s="425" t="n">
        <f aca="false">+J22</f>
        <v>0</v>
      </c>
      <c r="K25" s="425" t="n">
        <f aca="false">+K22</f>
        <v>106499.999999999</v>
      </c>
      <c r="L25" s="425" t="n">
        <f aca="false">+L22</f>
        <v>0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</row>
    <row r="28" customFormat="false" ht="12.75" hidden="false" customHeight="false" outlineLevel="0" collapsed="false">
      <c r="A28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179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44</v>
      </c>
      <c r="E6" s="385"/>
      <c r="F6" s="385"/>
      <c r="G6" s="385"/>
      <c r="H6" s="385" t="s">
        <v>31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162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 t="s">
        <v>163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 t="n">
        <v>1.16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37622</v>
      </c>
      <c r="B10" s="359"/>
      <c r="C10" s="360" t="s">
        <v>44</v>
      </c>
      <c r="D10" s="361" t="n">
        <f aca="false">+'[3]Henry Hub'!$E16+$D$9</f>
        <v>5.334</v>
      </c>
      <c r="E10" s="359"/>
      <c r="F10" s="395" t="n">
        <f aca="false">11500*31</f>
        <v>356500</v>
      </c>
      <c r="G10" s="395" t="n">
        <f aca="false">+F10/31</f>
        <v>11500</v>
      </c>
      <c r="H10" s="361" t="n">
        <f aca="false">+'[3]NGI Socal'!$E22</f>
        <v>4.954</v>
      </c>
      <c r="I10" s="396" t="n">
        <f aca="false">SUM(-D10+H10)*F10</f>
        <v>-135470</v>
      </c>
      <c r="J10" s="397"/>
      <c r="K10" s="397" t="n">
        <f aca="false">+I10</f>
        <v>-135470</v>
      </c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37653</v>
      </c>
      <c r="B11" s="359"/>
      <c r="C11" s="360" t="s">
        <v>44</v>
      </c>
      <c r="D11" s="361" t="n">
        <f aca="false">+'[3]Henry Hub'!$E17+$D$9</f>
        <v>5.214</v>
      </c>
      <c r="E11" s="359"/>
      <c r="F11" s="395" t="n">
        <f aca="false">11500*28</f>
        <v>322000</v>
      </c>
      <c r="G11" s="395" t="n">
        <f aca="false">+F11/28</f>
        <v>11500</v>
      </c>
      <c r="H11" s="361" t="n">
        <f aca="false">+'[3]NGI Socal'!$E23</f>
        <v>4.834</v>
      </c>
      <c r="I11" s="396" t="n">
        <f aca="false">SUM(-D11+H11)*F11</f>
        <v>-122360</v>
      </c>
      <c r="J11" s="397"/>
      <c r="K11" s="397" t="n">
        <f aca="false">+I11</f>
        <v>-122360</v>
      </c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358" t="n">
        <v>37681</v>
      </c>
      <c r="B12" s="359"/>
      <c r="C12" s="360" t="s">
        <v>44</v>
      </c>
      <c r="D12" s="361" t="n">
        <f aca="false">+'[3]Henry Hub'!$E18+$D$9</f>
        <v>5.067</v>
      </c>
      <c r="E12" s="359"/>
      <c r="F12" s="395" t="n">
        <f aca="false">11500*31</f>
        <v>356500</v>
      </c>
      <c r="G12" s="395" t="n">
        <f aca="false">+F12/31</f>
        <v>11500</v>
      </c>
      <c r="H12" s="361" t="n">
        <f aca="false">+'[3]NGI Socal'!$E24</f>
        <v>4.687</v>
      </c>
      <c r="I12" s="396" t="n">
        <f aca="false">SUM(-D12+H12)*F12</f>
        <v>-135470</v>
      </c>
      <c r="J12" s="397"/>
      <c r="K12" s="397" t="n">
        <f aca="false">+I12</f>
        <v>-135470</v>
      </c>
      <c r="L12" s="366" t="n">
        <f aca="false">IF(K12=0,0,IF(A12&lt;(Summary!$K$3+365),K12,0))</f>
        <v>0</v>
      </c>
    </row>
    <row r="13" customFormat="false" ht="12.75" hidden="false" customHeight="false" outlineLevel="0" collapsed="false">
      <c r="A13" s="358" t="n">
        <v>37712</v>
      </c>
      <c r="B13" s="359"/>
      <c r="C13" s="360" t="s">
        <v>44</v>
      </c>
      <c r="D13" s="361" t="n">
        <f aca="false">+'[3]Henry Hub'!$E19+$D$9</f>
        <v>4.804</v>
      </c>
      <c r="E13" s="359"/>
      <c r="F13" s="395" t="n">
        <f aca="false">11500*30</f>
        <v>345000</v>
      </c>
      <c r="G13" s="395" t="n">
        <f aca="false">+F13/30</f>
        <v>11500</v>
      </c>
      <c r="H13" s="361" t="n">
        <f aca="false">+'[3]NGI Socal'!$E25</f>
        <v>4.064</v>
      </c>
      <c r="I13" s="396" t="n">
        <f aca="false">SUM(-D13+H13)*F13</f>
        <v>-255300</v>
      </c>
      <c r="J13" s="359"/>
      <c r="K13" s="397" t="n">
        <f aca="false">+I13</f>
        <v>-255300</v>
      </c>
      <c r="L13" s="366" t="n">
        <f aca="false">IF(K13=0,0,IF(A13&lt;(Summary!$K$3+365),K13,0))</f>
        <v>0</v>
      </c>
    </row>
    <row r="14" customFormat="false" ht="12.75" hidden="false" customHeight="false" outlineLevel="0" collapsed="false">
      <c r="A14" s="358" t="n">
        <v>37742</v>
      </c>
      <c r="B14" s="359"/>
      <c r="C14" s="360" t="s">
        <v>44</v>
      </c>
      <c r="D14" s="361" t="n">
        <f aca="false">+'[3]Henry Hub'!$E20+$D$9</f>
        <v>4.789</v>
      </c>
      <c r="E14" s="359"/>
      <c r="F14" s="395" t="n">
        <f aca="false">11500*31</f>
        <v>356500</v>
      </c>
      <c r="G14" s="395" t="n">
        <f aca="false">+F14/31</f>
        <v>11500</v>
      </c>
      <c r="H14" s="361" t="n">
        <f aca="false">+'[3]NGI Socal'!$E26</f>
        <v>4.049</v>
      </c>
      <c r="I14" s="396" t="n">
        <f aca="false">SUM(-D14+H14)*F14</f>
        <v>-263810</v>
      </c>
      <c r="J14" s="359"/>
      <c r="K14" s="397" t="n">
        <f aca="false">+I14</f>
        <v>-263810</v>
      </c>
      <c r="L14" s="366" t="n">
        <f aca="false">IF(K14=0,0,IF(A14&lt;(Summary!$K$3+365),K14,0))</f>
        <v>0</v>
      </c>
    </row>
    <row r="15" customFormat="false" ht="12.75" hidden="false" customHeight="false" outlineLevel="0" collapsed="false">
      <c r="A15" s="358" t="n">
        <v>37773</v>
      </c>
      <c r="B15" s="359"/>
      <c r="C15" s="360" t="s">
        <v>44</v>
      </c>
      <c r="D15" s="361" t="n">
        <f aca="false">+'[3]Henry Hub'!$E21+$D$9</f>
        <v>4.829</v>
      </c>
      <c r="E15" s="359"/>
      <c r="F15" s="395" t="n">
        <f aca="false">11500*30</f>
        <v>345000</v>
      </c>
      <c r="G15" s="395" t="n">
        <f aca="false">+F15/30</f>
        <v>11500</v>
      </c>
      <c r="H15" s="361" t="n">
        <f aca="false">+'[3]NGI Socal'!$E27</f>
        <v>4.089</v>
      </c>
      <c r="I15" s="396" t="n">
        <f aca="false">SUM(-D15+H15)*F15</f>
        <v>-255300</v>
      </c>
      <c r="J15" s="359"/>
      <c r="K15" s="397" t="n">
        <f aca="false">+I15</f>
        <v>-255300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37803</v>
      </c>
      <c r="B16" s="359"/>
      <c r="C16" s="360" t="s">
        <v>44</v>
      </c>
      <c r="D16" s="361" t="n">
        <f aca="false">+'[3]Henry Hub'!$E22+$D$9</f>
        <v>4.884</v>
      </c>
      <c r="E16" s="359"/>
      <c r="F16" s="395" t="n">
        <f aca="false">11500*31</f>
        <v>356500</v>
      </c>
      <c r="G16" s="395" t="n">
        <f aca="false">+F16/31</f>
        <v>11500</v>
      </c>
      <c r="H16" s="361" t="n">
        <f aca="false">+'[3]NGI Socal'!$E28</f>
        <v>4.144</v>
      </c>
      <c r="I16" s="396" t="n">
        <f aca="false">SUM(-D16+H16)*F16</f>
        <v>-263810</v>
      </c>
      <c r="J16" s="359"/>
      <c r="K16" s="397" t="n">
        <f aca="false">+I16</f>
        <v>-263810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37834</v>
      </c>
      <c r="B17" s="359"/>
      <c r="C17" s="360" t="s">
        <v>44</v>
      </c>
      <c r="D17" s="361" t="n">
        <f aca="false">+'[3]Henry Hub'!$E23+$D$9</f>
        <v>4.914</v>
      </c>
      <c r="E17" s="359"/>
      <c r="F17" s="395" t="n">
        <f aca="false">11500*31</f>
        <v>356500</v>
      </c>
      <c r="G17" s="395" t="n">
        <f aca="false">+F17/31</f>
        <v>11500</v>
      </c>
      <c r="H17" s="361" t="n">
        <f aca="false">+'[3]NGI Socal'!$E29</f>
        <v>4.174</v>
      </c>
      <c r="I17" s="396" t="n">
        <f aca="false">SUM(-D17+H17)*F17</f>
        <v>-263810</v>
      </c>
      <c r="J17" s="359"/>
      <c r="K17" s="397" t="n">
        <f aca="false">+I17</f>
        <v>-263810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37865</v>
      </c>
      <c r="B18" s="359"/>
      <c r="C18" s="360" t="s">
        <v>44</v>
      </c>
      <c r="D18" s="361" t="n">
        <f aca="false">+'[3]Henry Hub'!$E24+$D$9</f>
        <v>4.926</v>
      </c>
      <c r="E18" s="359"/>
      <c r="F18" s="395" t="n">
        <f aca="false">11500*30</f>
        <v>345000</v>
      </c>
      <c r="G18" s="395" t="n">
        <f aca="false">+F18/30</f>
        <v>11500</v>
      </c>
      <c r="H18" s="361" t="n">
        <f aca="false">+'[3]NGI Socal'!$E30</f>
        <v>4.186</v>
      </c>
      <c r="I18" s="396" t="n">
        <f aca="false">SUM(-D18+H18)*F18</f>
        <v>-255300</v>
      </c>
      <c r="J18" s="359"/>
      <c r="K18" s="397" t="n">
        <f aca="false">+I18</f>
        <v>-255300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37895</v>
      </c>
      <c r="B19" s="359"/>
      <c r="C19" s="360" t="s">
        <v>44</v>
      </c>
      <c r="D19" s="361" t="n">
        <f aca="false">+'[3]Henry Hub'!$E25+$D$9</f>
        <v>4.949</v>
      </c>
      <c r="E19" s="359"/>
      <c r="F19" s="395" t="n">
        <f aca="false">11500*31</f>
        <v>356500</v>
      </c>
      <c r="G19" s="395" t="n">
        <f aca="false">+F19/31</f>
        <v>11500</v>
      </c>
      <c r="H19" s="361" t="n">
        <f aca="false">+'[3]NGI Socal'!$E31</f>
        <v>4.209</v>
      </c>
      <c r="I19" s="396" t="n">
        <f aca="false">SUM(-D19+H19)*F19</f>
        <v>-263810</v>
      </c>
      <c r="J19" s="359"/>
      <c r="K19" s="397" t="n">
        <f aca="false">+I19</f>
        <v>-263810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37926</v>
      </c>
      <c r="B20" s="359"/>
      <c r="C20" s="360" t="s">
        <v>44</v>
      </c>
      <c r="D20" s="361" t="n">
        <f aca="false">+'[3]Henry Hub'!$E26+$D$9</f>
        <v>5.084</v>
      </c>
      <c r="E20" s="359"/>
      <c r="F20" s="395" t="n">
        <f aca="false">11500*30</f>
        <v>345000</v>
      </c>
      <c r="G20" s="395" t="n">
        <f aca="false">+F20/30</f>
        <v>11500</v>
      </c>
      <c r="H20" s="361" t="n">
        <f aca="false">+'[3]NGI Socal'!$E32</f>
        <v>4.274</v>
      </c>
      <c r="I20" s="396" t="n">
        <f aca="false">SUM(-D20+H20)*F20</f>
        <v>-279450</v>
      </c>
      <c r="J20" s="359"/>
      <c r="K20" s="397" t="n">
        <f aca="false">+I20</f>
        <v>-279450</v>
      </c>
      <c r="L20" s="366" t="n">
        <f aca="false">IF(K20=0,0,IF(A20&lt;(Summary!$K$3+365),K20,0))</f>
        <v>0</v>
      </c>
    </row>
    <row r="21" customFormat="false" ht="12.75" hidden="false" customHeight="false" outlineLevel="0" collapsed="false">
      <c r="A21" s="358" t="n">
        <v>37956</v>
      </c>
      <c r="B21" s="359"/>
      <c r="C21" s="360" t="s">
        <v>44</v>
      </c>
      <c r="D21" s="418" t="n">
        <f aca="false">+'[3]Henry Hub'!$E27+$D$9</f>
        <v>5.224</v>
      </c>
      <c r="E21" s="359"/>
      <c r="F21" s="419" t="n">
        <f aca="false">11500*31</f>
        <v>356500</v>
      </c>
      <c r="G21" s="395" t="n">
        <f aca="false">+F21/31</f>
        <v>11500</v>
      </c>
      <c r="H21" s="418" t="n">
        <f aca="false">+'[3]NGI Socal'!$E33</f>
        <v>4.414</v>
      </c>
      <c r="I21" s="420" t="n">
        <f aca="false">SUM(-D21+H21)*F21</f>
        <v>-288765</v>
      </c>
      <c r="J21" s="420"/>
      <c r="K21" s="421" t="n">
        <f aca="false">+I21</f>
        <v>-288765</v>
      </c>
      <c r="L21" s="439" t="n">
        <f aca="false">+J21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SUM(D10:D21)/12</f>
        <v>5.0015</v>
      </c>
      <c r="E22" s="359"/>
      <c r="F22" s="395" t="n">
        <f aca="false">SUM(F10:F21)</f>
        <v>4197500</v>
      </c>
      <c r="G22" s="359"/>
      <c r="H22" s="361" t="n">
        <f aca="false">SUM(H10:H21)/12</f>
        <v>4.33983333333333</v>
      </c>
      <c r="I22" s="396" t="n">
        <f aca="false">SUM(I10:I21)</f>
        <v>-2782655</v>
      </c>
      <c r="J22" s="396" t="n">
        <f aca="false">SUM(J10:J21)</f>
        <v>0</v>
      </c>
      <c r="K22" s="396" t="n">
        <f aca="false">SUM(K10:K21)</f>
        <v>-2782655</v>
      </c>
      <c r="L22" s="396" t="n">
        <f aca="false">SUM(L10:L21)</f>
        <v>0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2"/>
      <c r="H23" s="361"/>
      <c r="I23" s="396"/>
      <c r="J23" s="398"/>
      <c r="K23" s="423"/>
      <c r="L23" s="396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396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4197500</v>
      </c>
      <c r="G25" s="359"/>
      <c r="H25" s="361"/>
      <c r="I25" s="425" t="n">
        <f aca="false">+I22</f>
        <v>-2782655</v>
      </c>
      <c r="J25" s="425" t="n">
        <f aca="false">+J22</f>
        <v>0</v>
      </c>
      <c r="K25" s="425" t="n">
        <f aca="false">+K22</f>
        <v>-2782655</v>
      </c>
      <c r="L25" s="425" t="n">
        <f aca="false">+L22</f>
        <v>0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</row>
    <row r="28" customFormat="false" ht="12.75" hidden="false" customHeight="false" outlineLevel="0" collapsed="false">
      <c r="A28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H18" activeCellId="0" sqref="H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180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31</v>
      </c>
      <c r="E6" s="385"/>
      <c r="F6" s="385"/>
      <c r="G6" s="385"/>
      <c r="H6" s="385" t="s">
        <v>63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181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/>
      <c r="I8" s="388" t="s">
        <v>145</v>
      </c>
      <c r="J8" s="388" t="s">
        <v>145</v>
      </c>
      <c r="K8" s="388" t="s">
        <v>145</v>
      </c>
      <c r="L8" s="359"/>
    </row>
    <row r="9" customFormat="false" ht="12.75" hidden="false" customHeight="false" outlineLevel="0" collapsed="false">
      <c r="A9" s="390"/>
      <c r="B9" s="391"/>
      <c r="C9" s="391"/>
      <c r="D9" s="417" t="n">
        <v>-0.14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37622</v>
      </c>
      <c r="B10" s="359"/>
      <c r="C10" s="360" t="s">
        <v>44</v>
      </c>
      <c r="D10" s="361" t="n">
        <f aca="false">+'[3]Henry Hub'!$E16+$D$9</f>
        <v>4.034</v>
      </c>
      <c r="E10" s="359"/>
      <c r="F10" s="395" t="n">
        <f aca="false">-11500*31</f>
        <v>-356500</v>
      </c>
      <c r="G10" s="395" t="n">
        <f aca="false">+F10/31</f>
        <v>-11500</v>
      </c>
      <c r="H10" s="361" t="n">
        <f aca="false">+'[3]ELpaso SJ &amp; Prm'!$F28</f>
        <v>3.984</v>
      </c>
      <c r="I10" s="396" t="n">
        <f aca="false">SUM(-D10+H10)*F10</f>
        <v>17825.0000000001</v>
      </c>
      <c r="J10" s="397"/>
      <c r="K10" s="397" t="n">
        <f aca="false">+I10</f>
        <v>17825.0000000001</v>
      </c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37653</v>
      </c>
      <c r="B11" s="359"/>
      <c r="C11" s="360" t="s">
        <v>44</v>
      </c>
      <c r="D11" s="361" t="n">
        <f aca="false">+'[3]Henry Hub'!$E17+$D$9</f>
        <v>3.914</v>
      </c>
      <c r="E11" s="359"/>
      <c r="F11" s="395" t="n">
        <f aca="false">-11500*28</f>
        <v>-322000</v>
      </c>
      <c r="G11" s="395" t="n">
        <f aca="false">+F11/28</f>
        <v>-11500</v>
      </c>
      <c r="H11" s="361" t="n">
        <f aca="false">+'[3]ELpaso SJ &amp; Prm'!$F29</f>
        <v>3.864</v>
      </c>
      <c r="I11" s="396" t="n">
        <f aca="false">SUM(-D11+H11)*F11</f>
        <v>16099.9999999999</v>
      </c>
      <c r="J11" s="397"/>
      <c r="K11" s="397" t="n">
        <f aca="false">+I11</f>
        <v>16099.9999999999</v>
      </c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358" t="n">
        <v>37681</v>
      </c>
      <c r="B12" s="359"/>
      <c r="C12" s="360" t="s">
        <v>44</v>
      </c>
      <c r="D12" s="361" t="n">
        <f aca="false">+'[3]Henry Hub'!$E18+$D$9</f>
        <v>3.767</v>
      </c>
      <c r="E12" s="359"/>
      <c r="F12" s="395" t="n">
        <f aca="false">-11500*31</f>
        <v>-356500</v>
      </c>
      <c r="G12" s="395" t="n">
        <f aca="false">+F12/31</f>
        <v>-11500</v>
      </c>
      <c r="H12" s="361" t="n">
        <f aca="false">+'[3]ELpaso SJ &amp; Prm'!$F30</f>
        <v>3.717</v>
      </c>
      <c r="I12" s="396" t="n">
        <f aca="false">SUM(-D12+H12)*F12</f>
        <v>17824.9999999999</v>
      </c>
      <c r="J12" s="429"/>
      <c r="K12" s="397" t="n">
        <f aca="false">+I12</f>
        <v>17824.9999999999</v>
      </c>
      <c r="L12" s="366" t="n">
        <f aca="false">IF(K12=0,0,IF(A12&lt;(Summary!$K$3+365),K12,0))</f>
        <v>0</v>
      </c>
    </row>
    <row r="13" customFormat="false" ht="12.75" hidden="false" customHeight="false" outlineLevel="0" collapsed="false">
      <c r="A13" s="358" t="n">
        <v>37712</v>
      </c>
      <c r="B13" s="359"/>
      <c r="C13" s="360" t="s">
        <v>44</v>
      </c>
      <c r="D13" s="361" t="n">
        <f aca="false">+'[3]Henry Hub'!$E19+$D$9</f>
        <v>3.504</v>
      </c>
      <c r="E13" s="359"/>
      <c r="F13" s="395" t="n">
        <f aca="false">-11500*30</f>
        <v>-345000</v>
      </c>
      <c r="G13" s="395" t="n">
        <f aca="false">+F13/30</f>
        <v>-11500</v>
      </c>
      <c r="H13" s="361" t="n">
        <f aca="false">+'[3]ELpaso SJ &amp; Prm'!$F31</f>
        <v>3.489</v>
      </c>
      <c r="I13" s="396" t="n">
        <f aca="false">SUM(-D13+H13)*F13</f>
        <v>5174.99999999989</v>
      </c>
      <c r="J13" s="359"/>
      <c r="K13" s="397" t="n">
        <f aca="false">+I13</f>
        <v>5174.99999999989</v>
      </c>
      <c r="L13" s="366" t="n">
        <f aca="false">IF(K13=0,0,IF(A13&lt;(Summary!$K$3+365),K13,0))</f>
        <v>0</v>
      </c>
    </row>
    <row r="14" customFormat="false" ht="12.75" hidden="false" customHeight="false" outlineLevel="0" collapsed="false">
      <c r="A14" s="358" t="n">
        <v>37742</v>
      </c>
      <c r="B14" s="359"/>
      <c r="C14" s="360" t="s">
        <v>44</v>
      </c>
      <c r="D14" s="361" t="n">
        <f aca="false">+'[3]Henry Hub'!$E20+$D$9</f>
        <v>3.489</v>
      </c>
      <c r="E14" s="359"/>
      <c r="F14" s="395" t="n">
        <f aca="false">-11500*31</f>
        <v>-356500</v>
      </c>
      <c r="G14" s="395" t="n">
        <f aca="false">+F14/31</f>
        <v>-11500</v>
      </c>
      <c r="H14" s="361" t="n">
        <f aca="false">+'[3]ELpaso SJ &amp; Prm'!$F32</f>
        <v>3.474</v>
      </c>
      <c r="I14" s="396" t="n">
        <f aca="false">SUM(-D14+H14)*F14</f>
        <v>5347.49999999989</v>
      </c>
      <c r="J14" s="359"/>
      <c r="K14" s="397" t="n">
        <f aca="false">+I14</f>
        <v>5347.49999999989</v>
      </c>
      <c r="L14" s="366" t="n">
        <f aca="false">IF(K14=0,0,IF(A14&lt;(Summary!$K$3+365),K14,0))</f>
        <v>0</v>
      </c>
    </row>
    <row r="15" customFormat="false" ht="12.75" hidden="false" customHeight="false" outlineLevel="0" collapsed="false">
      <c r="A15" s="358" t="n">
        <v>37773</v>
      </c>
      <c r="B15" s="359"/>
      <c r="C15" s="360" t="s">
        <v>44</v>
      </c>
      <c r="D15" s="361" t="n">
        <f aca="false">+'[3]Henry Hub'!$E21+$D$9</f>
        <v>3.529</v>
      </c>
      <c r="E15" s="359"/>
      <c r="F15" s="395" t="n">
        <f aca="false">-11500*30</f>
        <v>-345000</v>
      </c>
      <c r="G15" s="395" t="n">
        <f aca="false">+F15/30</f>
        <v>-11500</v>
      </c>
      <c r="H15" s="361" t="n">
        <f aca="false">+'[3]ELpaso SJ &amp; Prm'!$F33</f>
        <v>3.514</v>
      </c>
      <c r="I15" s="396" t="n">
        <f aca="false">SUM(-D15+H15)*F15</f>
        <v>5174.99999999989</v>
      </c>
      <c r="J15" s="359"/>
      <c r="K15" s="397" t="n">
        <f aca="false">+I15</f>
        <v>5174.99999999989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37803</v>
      </c>
      <c r="B16" s="359"/>
      <c r="C16" s="360" t="s">
        <v>44</v>
      </c>
      <c r="D16" s="361" t="n">
        <f aca="false">+'[3]Henry Hub'!$E22+$D$9</f>
        <v>3.584</v>
      </c>
      <c r="E16" s="359"/>
      <c r="F16" s="395" t="n">
        <f aca="false">-11500*31</f>
        <v>-356500</v>
      </c>
      <c r="G16" s="395" t="n">
        <f aca="false">+F16/31</f>
        <v>-11500</v>
      </c>
      <c r="H16" s="361" t="n">
        <f aca="false">+'[3]ELpaso SJ &amp; Prm'!$F34</f>
        <v>3.569</v>
      </c>
      <c r="I16" s="396" t="n">
        <f aca="false">SUM(-D16+H16)*F16</f>
        <v>5347.49999999989</v>
      </c>
      <c r="J16" s="359"/>
      <c r="K16" s="397" t="n">
        <f aca="false">+I16</f>
        <v>5347.49999999989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37834</v>
      </c>
      <c r="B17" s="359"/>
      <c r="C17" s="360" t="s">
        <v>44</v>
      </c>
      <c r="D17" s="361" t="n">
        <f aca="false">+'[3]Henry Hub'!$E23+$D$9</f>
        <v>3.614</v>
      </c>
      <c r="E17" s="359"/>
      <c r="F17" s="395" t="n">
        <f aca="false">-11500*31</f>
        <v>-356500</v>
      </c>
      <c r="G17" s="395" t="n">
        <f aca="false">+F17/31</f>
        <v>-11500</v>
      </c>
      <c r="H17" s="361" t="n">
        <f aca="false">+'[3]ELpaso SJ &amp; Prm'!$F35</f>
        <v>3.599</v>
      </c>
      <c r="I17" s="396" t="n">
        <f aca="false">SUM(-D17+H17)*F17</f>
        <v>5347.49999999989</v>
      </c>
      <c r="J17" s="359"/>
      <c r="K17" s="397" t="n">
        <f aca="false">+I17</f>
        <v>5347.49999999989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37865</v>
      </c>
      <c r="B18" s="359"/>
      <c r="C18" s="360" t="s">
        <v>44</v>
      </c>
      <c r="D18" s="361" t="n">
        <f aca="false">+'[3]Henry Hub'!$E24+$D$9</f>
        <v>3.626</v>
      </c>
      <c r="E18" s="359"/>
      <c r="F18" s="395" t="n">
        <f aca="false">-11500*30</f>
        <v>-345000</v>
      </c>
      <c r="G18" s="395" t="n">
        <f aca="false">+F18/30</f>
        <v>-11500</v>
      </c>
      <c r="H18" s="361" t="n">
        <f aca="false">+'[3]ELpaso SJ &amp; Prm'!$F36</f>
        <v>3.611</v>
      </c>
      <c r="I18" s="396" t="n">
        <f aca="false">SUM(-D18+H18)*F18</f>
        <v>5174.99999999989</v>
      </c>
      <c r="J18" s="359"/>
      <c r="K18" s="397" t="n">
        <f aca="false">+I18</f>
        <v>5174.99999999989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37895</v>
      </c>
      <c r="B19" s="359"/>
      <c r="C19" s="360" t="s">
        <v>44</v>
      </c>
      <c r="D19" s="361" t="n">
        <f aca="false">+'[3]Henry Hub'!$E25+$D$9</f>
        <v>3.649</v>
      </c>
      <c r="E19" s="359"/>
      <c r="F19" s="395" t="n">
        <f aca="false">-11500*31</f>
        <v>-356500</v>
      </c>
      <c r="G19" s="395" t="n">
        <f aca="false">+F19/31</f>
        <v>-11500</v>
      </c>
      <c r="H19" s="361" t="n">
        <f aca="false">+'[3]ELpaso SJ &amp; Prm'!$F37</f>
        <v>3.634</v>
      </c>
      <c r="I19" s="396" t="n">
        <f aca="false">SUM(-D19+H19)*F19</f>
        <v>5347.49999999989</v>
      </c>
      <c r="J19" s="359"/>
      <c r="K19" s="397" t="n">
        <f aca="false">+I19</f>
        <v>5347.49999999989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37926</v>
      </c>
      <c r="B20" s="359"/>
      <c r="C20" s="360" t="s">
        <v>44</v>
      </c>
      <c r="D20" s="361" t="n">
        <f aca="false">+'[3]Henry Hub'!$E26+$D$9</f>
        <v>3.784</v>
      </c>
      <c r="E20" s="359"/>
      <c r="F20" s="395" t="n">
        <f aca="false">-11500*30</f>
        <v>-345000</v>
      </c>
      <c r="G20" s="395" t="n">
        <f aca="false">+F20/30</f>
        <v>-11500</v>
      </c>
      <c r="H20" s="361" t="n">
        <f aca="false">+'[3]ELpaso SJ &amp; Prm'!$F38</f>
        <v>3.804</v>
      </c>
      <c r="I20" s="396" t="n">
        <f aca="false">SUM(-D20+H20)*F20</f>
        <v>-6900.00000000001</v>
      </c>
      <c r="J20" s="359"/>
      <c r="K20" s="397" t="n">
        <f aca="false">+I20</f>
        <v>-6900.00000000001</v>
      </c>
      <c r="L20" s="366" t="n">
        <f aca="false">IF(K20=0,0,IF(A20&lt;(Summary!$K$3+365),K20,0))</f>
        <v>0</v>
      </c>
    </row>
    <row r="21" customFormat="false" ht="12.75" hidden="false" customHeight="false" outlineLevel="0" collapsed="false">
      <c r="A21" s="358" t="n">
        <v>37956</v>
      </c>
      <c r="B21" s="359"/>
      <c r="C21" s="360" t="s">
        <v>44</v>
      </c>
      <c r="D21" s="361" t="n">
        <f aca="false">+'[3]Henry Hub'!$E27+$D$9</f>
        <v>3.924</v>
      </c>
      <c r="E21" s="359"/>
      <c r="F21" s="419" t="n">
        <f aca="false">-11500*31</f>
        <v>-356500</v>
      </c>
      <c r="G21" s="395" t="n">
        <f aca="false">+F21/31</f>
        <v>-11500</v>
      </c>
      <c r="H21" s="418" t="n">
        <f aca="false">+'[3]ELpaso SJ &amp; Prm'!$F39</f>
        <v>3.944</v>
      </c>
      <c r="I21" s="420" t="n">
        <f aca="false">SUM(-D21+H21)*F21</f>
        <v>-7130.00000000001</v>
      </c>
      <c r="J21" s="420"/>
      <c r="K21" s="421" t="n">
        <f aca="false">+I21</f>
        <v>-7130.00000000001</v>
      </c>
      <c r="L21" s="439" t="n">
        <f aca="false">+J21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SUM(D10:D21)/12</f>
        <v>3.7015</v>
      </c>
      <c r="E22" s="359"/>
      <c r="F22" s="395" t="n">
        <f aca="false">SUM(F10:F21)</f>
        <v>-4197500</v>
      </c>
      <c r="G22" s="359"/>
      <c r="H22" s="361" t="n">
        <f aca="false">SUM(H10:H21)/12</f>
        <v>3.68358333333333</v>
      </c>
      <c r="I22" s="396" t="n">
        <f aca="false">SUM(I10:I21)</f>
        <v>74634.9999999992</v>
      </c>
      <c r="J22" s="396" t="n">
        <f aca="false">SUM(J10:J21)</f>
        <v>0</v>
      </c>
      <c r="K22" s="396" t="n">
        <f aca="false">SUM(K10:K21)</f>
        <v>74634.9999999992</v>
      </c>
      <c r="L22" s="396" t="n">
        <f aca="false">SUM(L10:L21)</f>
        <v>0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2"/>
      <c r="H23" s="361"/>
      <c r="I23" s="396"/>
      <c r="J23" s="398"/>
      <c r="K23" s="423"/>
      <c r="L23" s="423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3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-4197500</v>
      </c>
      <c r="G25" s="359"/>
      <c r="H25" s="361"/>
      <c r="I25" s="425" t="n">
        <f aca="false">+I22</f>
        <v>74634.9999999992</v>
      </c>
      <c r="J25" s="425" t="n">
        <f aca="false">+J22</f>
        <v>0</v>
      </c>
      <c r="K25" s="425" t="n">
        <f aca="false">+K22</f>
        <v>74634.9999999992</v>
      </c>
      <c r="L25" s="425" t="n">
        <f aca="false">+L22</f>
        <v>0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</row>
    <row r="28" customFormat="false" ht="12.75" hidden="false" customHeight="false" outlineLevel="0" collapsed="false">
      <c r="A28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2.14"/>
    <col collapsed="false" customWidth="true" hidden="false" outlineLevel="0" max="4" min="4" style="0" width="15.7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0.71"/>
    <col collapsed="false" customWidth="true" hidden="false" outlineLevel="0" max="9" min="9" style="0" width="16.7"/>
    <col collapsed="false" customWidth="true" hidden="false" outlineLevel="0" max="10" min="10" style="0" width="13.41"/>
    <col collapsed="false" customWidth="true" hidden="false" outlineLevel="0" max="12" min="11" style="0" width="16.7"/>
  </cols>
  <sheetData>
    <row r="1" customFormat="false" ht="15" hidden="false" customHeight="false" outlineLevel="0" collapsed="false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183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141</v>
      </c>
      <c r="E6" s="385"/>
      <c r="F6" s="385" t="s">
        <v>139</v>
      </c>
      <c r="G6" s="385" t="s">
        <v>88</v>
      </c>
      <c r="H6" s="385" t="s">
        <v>21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16</v>
      </c>
      <c r="E7" s="388"/>
      <c r="F7" s="388" t="s">
        <v>142</v>
      </c>
      <c r="G7" s="388" t="s">
        <v>16</v>
      </c>
      <c r="H7" s="388" t="s">
        <v>16</v>
      </c>
      <c r="I7" s="388" t="s">
        <v>23</v>
      </c>
      <c r="J7" s="388" t="s">
        <v>24</v>
      </c>
      <c r="K7" s="389" t="s">
        <v>25</v>
      </c>
      <c r="L7" s="407"/>
    </row>
    <row r="8" customFormat="false" ht="12.75" hidden="false" customHeight="false" outlineLevel="0" collapsed="false">
      <c r="A8" s="390"/>
      <c r="B8" s="391"/>
      <c r="C8" s="391"/>
      <c r="D8" s="391"/>
      <c r="E8" s="391"/>
      <c r="F8" s="391"/>
      <c r="G8" s="393" t="s">
        <v>184</v>
      </c>
      <c r="H8" s="392"/>
      <c r="I8" s="392" t="s">
        <v>145</v>
      </c>
      <c r="J8" s="392" t="s">
        <v>145</v>
      </c>
      <c r="K8" s="394" t="s">
        <v>145</v>
      </c>
      <c r="L8" s="357" t="s">
        <v>146</v>
      </c>
    </row>
    <row r="9" customFormat="false" ht="12.75" hidden="false" customHeight="false" outlineLevel="0" collapsed="false">
      <c r="A9" s="358" t="n">
        <v>37408</v>
      </c>
      <c r="B9" s="359"/>
      <c r="C9" s="360" t="s">
        <v>52</v>
      </c>
      <c r="D9" s="361" t="n">
        <v>3.3</v>
      </c>
      <c r="E9" s="359"/>
      <c r="F9" s="395" t="n">
        <v>-2000000</v>
      </c>
      <c r="G9" s="361"/>
      <c r="H9" s="361" t="n">
        <f aca="false">+[3]Elpaso!$F9</f>
        <v>3.71</v>
      </c>
      <c r="I9" s="396" t="n">
        <f aca="false">(-H9+D9)*F9</f>
        <v>820000</v>
      </c>
      <c r="J9" s="397"/>
      <c r="K9" s="397" t="n">
        <f aca="false">+I9</f>
        <v>820000</v>
      </c>
      <c r="L9" s="366" t="n">
        <f aca="false">IF(K9=0,0,IF(A9&lt;(Summary!$K$3+365),K9,0))</f>
        <v>0</v>
      </c>
    </row>
    <row r="10" customFormat="false" ht="12.75" hidden="false" customHeight="false" outlineLevel="0" collapsed="false">
      <c r="A10" s="358" t="n">
        <v>37438</v>
      </c>
      <c r="B10" s="359"/>
      <c r="C10" s="360" t="s">
        <v>52</v>
      </c>
      <c r="D10" s="361" t="n">
        <v>3.3</v>
      </c>
      <c r="E10" s="359"/>
      <c r="F10" s="395" t="n">
        <v>-3000000</v>
      </c>
      <c r="G10" s="361"/>
      <c r="H10" s="361" t="n">
        <f aca="false">+[3]Elpaso!$F10</f>
        <v>3.745</v>
      </c>
      <c r="I10" s="396" t="n">
        <f aca="false">(-H10+D10)*F10</f>
        <v>1335000</v>
      </c>
      <c r="J10" s="397"/>
      <c r="K10" s="397" t="n">
        <f aca="false">+I10</f>
        <v>1335000</v>
      </c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37469</v>
      </c>
      <c r="B11" s="359"/>
      <c r="C11" s="360" t="s">
        <v>52</v>
      </c>
      <c r="D11" s="361" t="n">
        <v>3.3</v>
      </c>
      <c r="E11" s="359"/>
      <c r="F11" s="395" t="n">
        <v>-3000000</v>
      </c>
      <c r="G11" s="359"/>
      <c r="H11" s="361" t="n">
        <f aca="false">+[3]Elpaso!$F11</f>
        <v>3.765</v>
      </c>
      <c r="I11" s="396" t="n">
        <f aca="false">(-H11+D11)*F11</f>
        <v>1395000</v>
      </c>
      <c r="J11" s="398"/>
      <c r="K11" s="397" t="n">
        <f aca="false">+I11</f>
        <v>1395000</v>
      </c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358" t="n">
        <v>37500</v>
      </c>
      <c r="B12" s="359"/>
      <c r="C12" s="360" t="s">
        <v>52</v>
      </c>
      <c r="D12" s="361" t="n">
        <v>3.3</v>
      </c>
      <c r="E12" s="359"/>
      <c r="F12" s="395" t="n">
        <v>-3000000</v>
      </c>
      <c r="G12" s="359"/>
      <c r="H12" s="361" t="n">
        <f aca="false">+[3]Elpaso!$F12</f>
        <v>3.782</v>
      </c>
      <c r="I12" s="396" t="n">
        <f aca="false">(-H12+D12)*F12</f>
        <v>1446000</v>
      </c>
      <c r="J12" s="398"/>
      <c r="K12" s="397" t="n">
        <f aca="false">+I12</f>
        <v>1446000</v>
      </c>
      <c r="L12" s="366" t="n">
        <f aca="false">IF(K12=0,0,IF(A12&lt;(Summary!$K$3+365),K12,0))</f>
        <v>0</v>
      </c>
    </row>
    <row r="13" customFormat="false" ht="12.75" hidden="false" customHeight="false" outlineLevel="0" collapsed="false">
      <c r="A13" s="358" t="n">
        <v>37530</v>
      </c>
      <c r="B13" s="359"/>
      <c r="C13" s="360" t="s">
        <v>52</v>
      </c>
      <c r="D13" s="361" t="n">
        <v>3.3</v>
      </c>
      <c r="E13" s="359"/>
      <c r="F13" s="395" t="n">
        <v>-4000000</v>
      </c>
      <c r="G13" s="359"/>
      <c r="H13" s="361" t="n">
        <f aca="false">+[3]Elpaso!$F13</f>
        <v>3.799</v>
      </c>
      <c r="I13" s="364" t="n">
        <f aca="false">(-H13+D13)*F13</f>
        <v>1996000</v>
      </c>
      <c r="J13" s="368"/>
      <c r="K13" s="365" t="n">
        <f aca="false">+I13</f>
        <v>1996000</v>
      </c>
      <c r="L13" s="366" t="n">
        <f aca="false">IF(K13=0,0,IF(A13&lt;(Summary!$K$3+365),K13,0))</f>
        <v>0</v>
      </c>
    </row>
    <row r="14" customFormat="false" ht="12.75" hidden="false" customHeight="false" outlineLevel="0" collapsed="false">
      <c r="A14" s="358"/>
      <c r="B14" s="359"/>
      <c r="C14" s="360"/>
      <c r="D14" s="361"/>
      <c r="E14" s="359"/>
      <c r="F14" s="419"/>
      <c r="G14" s="359"/>
      <c r="H14" s="361"/>
      <c r="I14" s="440"/>
      <c r="J14" s="368"/>
      <c r="K14" s="406"/>
      <c r="L14" s="359"/>
    </row>
    <row r="15" customFormat="false" ht="12.75" hidden="false" customHeight="false" outlineLevel="0" collapsed="false">
      <c r="A15" s="358"/>
      <c r="B15" s="359"/>
      <c r="C15" s="360"/>
      <c r="D15" s="361"/>
      <c r="E15" s="359"/>
      <c r="F15" s="395" t="n">
        <f aca="false">SUM(F9:F14)</f>
        <v>-15000000</v>
      </c>
      <c r="G15" s="359"/>
      <c r="H15" s="361"/>
      <c r="I15" s="364" t="n">
        <f aca="false">SUM(I9:I14)</f>
        <v>6992000.00000001</v>
      </c>
      <c r="J15" s="368"/>
      <c r="K15" s="364" t="n">
        <f aca="false">SUM(K9:K14)</f>
        <v>6992000.00000001</v>
      </c>
      <c r="L15" s="364" t="n">
        <f aca="false">SUM(L9:L14)</f>
        <v>0</v>
      </c>
    </row>
    <row r="16" customFormat="false" ht="12.75" hidden="false" customHeight="false" outlineLevel="0" collapsed="false">
      <c r="A16" s="358"/>
      <c r="B16" s="359"/>
      <c r="C16" s="360"/>
      <c r="D16" s="361"/>
      <c r="E16" s="359"/>
      <c r="F16" s="395"/>
      <c r="G16" s="359"/>
      <c r="H16" s="361"/>
      <c r="I16" s="364"/>
      <c r="J16" s="368"/>
      <c r="K16" s="441"/>
      <c r="L16" s="359"/>
    </row>
    <row r="17" customFormat="false" ht="12.75" hidden="false" customHeight="false" outlineLevel="0" collapsed="false">
      <c r="A17" s="358" t="n">
        <v>37408</v>
      </c>
      <c r="B17" s="359"/>
      <c r="C17" s="360" t="s">
        <v>185</v>
      </c>
      <c r="D17" s="361" t="n">
        <v>2.32</v>
      </c>
      <c r="E17" s="359"/>
      <c r="F17" s="395" t="n">
        <v>-2000000</v>
      </c>
      <c r="G17" s="359"/>
      <c r="H17" s="361" t="n">
        <f aca="false">+[3]Elpaso!$F9</f>
        <v>3.71</v>
      </c>
      <c r="I17" s="364" t="n">
        <f aca="false">(+H17-D17)*F17</f>
        <v>-2780000</v>
      </c>
      <c r="J17" s="368"/>
      <c r="K17" s="365" t="n">
        <f aca="false">+I17</f>
        <v>-2780000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37438</v>
      </c>
      <c r="B18" s="359"/>
      <c r="C18" s="360" t="s">
        <v>185</v>
      </c>
      <c r="D18" s="361" t="n">
        <v>2.32</v>
      </c>
      <c r="E18" s="359"/>
      <c r="F18" s="395" t="n">
        <v>-3000000</v>
      </c>
      <c r="G18" s="359"/>
      <c r="H18" s="361" t="n">
        <f aca="false">+[3]Elpaso!$F10</f>
        <v>3.745</v>
      </c>
      <c r="I18" s="364" t="n">
        <f aca="false">(+H18-D18)*F18</f>
        <v>-4275000</v>
      </c>
      <c r="J18" s="368"/>
      <c r="K18" s="365" t="n">
        <f aca="false">+I18</f>
        <v>-4275000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37469</v>
      </c>
      <c r="B19" s="359"/>
      <c r="C19" s="360" t="s">
        <v>185</v>
      </c>
      <c r="D19" s="361" t="n">
        <v>2.32</v>
      </c>
      <c r="E19" s="359"/>
      <c r="F19" s="395" t="n">
        <v>-3000000</v>
      </c>
      <c r="G19" s="359"/>
      <c r="H19" s="361" t="n">
        <f aca="false">+[3]Elpaso!$F11</f>
        <v>3.765</v>
      </c>
      <c r="I19" s="364" t="n">
        <f aca="false">(+H19-D19)*F19</f>
        <v>-4335000</v>
      </c>
      <c r="J19" s="368"/>
      <c r="K19" s="365" t="n">
        <f aca="false">+I19</f>
        <v>-4335000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37500</v>
      </c>
      <c r="B20" s="359"/>
      <c r="C20" s="360" t="s">
        <v>185</v>
      </c>
      <c r="D20" s="361" t="n">
        <v>2.32</v>
      </c>
      <c r="E20" s="359"/>
      <c r="F20" s="395" t="n">
        <v>-3000000</v>
      </c>
      <c r="G20" s="359"/>
      <c r="H20" s="361" t="n">
        <f aca="false">+[3]Elpaso!$F12</f>
        <v>3.782</v>
      </c>
      <c r="I20" s="364" t="n">
        <f aca="false">(+H20-D20)*F20</f>
        <v>-4386000</v>
      </c>
      <c r="J20" s="368"/>
      <c r="K20" s="365" t="n">
        <f aca="false">+I20</f>
        <v>-4386000</v>
      </c>
      <c r="L20" s="366" t="n">
        <f aca="false">IF(K20=0,0,IF(A20&lt;(Summary!$K$3+365),K20,0))</f>
        <v>0</v>
      </c>
    </row>
    <row r="21" customFormat="false" ht="12.75" hidden="false" customHeight="false" outlineLevel="0" collapsed="false">
      <c r="A21" s="358" t="n">
        <v>37530</v>
      </c>
      <c r="B21" s="359"/>
      <c r="C21" s="360" t="s">
        <v>185</v>
      </c>
      <c r="D21" s="361" t="n">
        <v>2.32</v>
      </c>
      <c r="E21" s="359"/>
      <c r="F21" s="395" t="n">
        <v>-4000000</v>
      </c>
      <c r="G21" s="359"/>
      <c r="H21" s="361" t="n">
        <f aca="false">+[3]Elpaso!$F13</f>
        <v>3.799</v>
      </c>
      <c r="I21" s="364" t="n">
        <f aca="false">(+H21-D21)*F21</f>
        <v>-5916000</v>
      </c>
      <c r="J21" s="368"/>
      <c r="K21" s="365" t="n">
        <f aca="false">+I21</f>
        <v>-5916000</v>
      </c>
      <c r="L21" s="366" t="n">
        <f aca="false">IF(K21=0,0,IF(A21&lt;(Summary!$K$3+365),K21,0))</f>
        <v>0</v>
      </c>
    </row>
    <row r="22" customFormat="false" ht="12.75" hidden="false" customHeight="false" outlineLevel="0" collapsed="false">
      <c r="A22" s="358"/>
      <c r="B22" s="359"/>
      <c r="C22" s="360"/>
      <c r="D22" s="361"/>
      <c r="E22" s="359"/>
      <c r="F22" s="419"/>
      <c r="G22" s="359"/>
      <c r="H22" s="361"/>
      <c r="I22" s="440"/>
      <c r="J22" s="368"/>
      <c r="K22" s="406"/>
      <c r="L22" s="359"/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 t="n">
        <f aca="false">SUM(F17:F22)</f>
        <v>-15000000</v>
      </c>
      <c r="G23" s="359"/>
      <c r="H23" s="361"/>
      <c r="I23" s="364" t="n">
        <f aca="false">SUM(I17:I22)</f>
        <v>-21692000</v>
      </c>
      <c r="J23" s="368"/>
      <c r="K23" s="364" t="n">
        <f aca="false">SUM(K17:K22)</f>
        <v>-21692000</v>
      </c>
      <c r="L23" s="364" t="n">
        <f aca="false">SUM(L17:L22)</f>
        <v>0</v>
      </c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64"/>
      <c r="J24" s="368"/>
      <c r="K24" s="441"/>
      <c r="L24" s="364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/>
      <c r="G25" s="359"/>
      <c r="H25" s="361"/>
      <c r="I25" s="442" t="n">
        <f aca="false">+I23+I15</f>
        <v>-14700000</v>
      </c>
      <c r="J25" s="368"/>
      <c r="K25" s="442" t="n">
        <f aca="false">+K23+K15</f>
        <v>-14700000</v>
      </c>
      <c r="L25" s="442" t="n">
        <f aca="false">+L23+L15</f>
        <v>0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1"/>
      <c r="J26" s="382"/>
      <c r="K26" s="382"/>
      <c r="L26" s="382"/>
    </row>
    <row r="28" customFormat="false" ht="12.75" hidden="false" customHeight="false" outlineLevel="0" collapsed="false">
      <c r="A28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28" activeCellId="0" sqref="G2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0.71"/>
    <col collapsed="false" customWidth="true" hidden="false" outlineLevel="0" max="3" min="3" style="1" width="13.7"/>
    <col collapsed="false" customWidth="true" hidden="false" outlineLevel="0" max="4" min="4" style="1" width="10.71"/>
    <col collapsed="false" customWidth="true" hidden="true" outlineLevel="0" max="5" min="5" style="1" width="9.06"/>
    <col collapsed="false" customWidth="true" hidden="false" outlineLevel="0" max="6" min="6" style="1" width="12.7"/>
    <col collapsed="false" customWidth="true" hidden="false" outlineLevel="0" max="7" min="7" style="1" width="14.28"/>
    <col collapsed="false" customWidth="true" hidden="false" outlineLevel="0" max="8" min="8" style="1" width="10.71"/>
    <col collapsed="false" customWidth="true" hidden="false" outlineLevel="0" max="11" min="9" style="1" width="16.84"/>
    <col collapsed="false" customWidth="true" hidden="false" outlineLevel="0" max="12" min="12" style="1" width="17.28"/>
    <col collapsed="false" customWidth="false" hidden="false" outlineLevel="0" max="257" min="13" style="1" width="9.14"/>
  </cols>
  <sheetData>
    <row r="1" customFormat="false" ht="10.5" hidden="false" customHeight="false" outlineLevel="0" collapsed="false">
      <c r="A1" s="152" t="s">
        <v>182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152" t="s">
        <v>186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152" t="s">
        <v>187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443"/>
      <c r="CP3" s="443"/>
      <c r="CQ3" s="443"/>
      <c r="CR3" s="443"/>
      <c r="CS3" s="443"/>
      <c r="CT3" s="443"/>
      <c r="CU3" s="443"/>
      <c r="CV3" s="443"/>
      <c r="CW3" s="443"/>
      <c r="CX3" s="443"/>
      <c r="CY3" s="443"/>
      <c r="CZ3" s="443"/>
      <c r="DA3" s="443"/>
      <c r="DB3" s="443"/>
      <c r="DC3" s="443"/>
      <c r="DD3" s="443"/>
      <c r="DE3" s="443"/>
      <c r="DF3" s="443"/>
      <c r="DG3" s="443"/>
      <c r="DH3" s="443"/>
      <c r="DI3" s="443"/>
      <c r="DJ3" s="443"/>
      <c r="DK3" s="443"/>
      <c r="DL3" s="443"/>
      <c r="DM3" s="443"/>
      <c r="DN3" s="443"/>
      <c r="DO3" s="443"/>
      <c r="DP3" s="443"/>
      <c r="DQ3" s="443"/>
      <c r="DR3" s="443"/>
      <c r="DS3" s="443"/>
      <c r="DT3" s="443"/>
      <c r="DU3" s="443"/>
      <c r="DV3" s="443"/>
      <c r="DW3" s="443"/>
      <c r="DX3" s="443"/>
      <c r="DY3" s="443"/>
      <c r="DZ3" s="443"/>
      <c r="EA3" s="443"/>
      <c r="EB3" s="443"/>
      <c r="EC3" s="443"/>
      <c r="ED3" s="443"/>
      <c r="EE3" s="443"/>
      <c r="EF3" s="443"/>
      <c r="EG3" s="443"/>
      <c r="EH3" s="443"/>
      <c r="EI3" s="443"/>
      <c r="EJ3" s="443"/>
      <c r="EK3" s="443"/>
      <c r="EL3" s="443"/>
      <c r="EM3" s="443"/>
      <c r="EN3" s="443"/>
      <c r="EO3" s="443"/>
      <c r="EP3" s="443"/>
      <c r="EQ3" s="443"/>
      <c r="ER3" s="443"/>
      <c r="ES3" s="443"/>
      <c r="ET3" s="443"/>
      <c r="EU3" s="443"/>
      <c r="EV3" s="443"/>
      <c r="EW3" s="443"/>
      <c r="EX3" s="443"/>
      <c r="EY3" s="443"/>
      <c r="EZ3" s="443"/>
      <c r="FA3" s="443"/>
      <c r="FB3" s="443"/>
      <c r="FC3" s="443"/>
      <c r="FD3" s="443"/>
      <c r="FE3" s="443"/>
      <c r="FF3" s="443"/>
      <c r="FG3" s="443"/>
      <c r="FH3" s="443"/>
      <c r="FI3" s="443"/>
      <c r="FJ3" s="443"/>
      <c r="FK3" s="443"/>
      <c r="FL3" s="443"/>
      <c r="FM3" s="443"/>
      <c r="FN3" s="443"/>
      <c r="FO3" s="443"/>
      <c r="FP3" s="443"/>
      <c r="FQ3" s="443"/>
      <c r="FR3" s="443"/>
      <c r="FS3" s="443"/>
      <c r="FT3" s="443"/>
      <c r="FU3" s="443"/>
      <c r="FV3" s="443"/>
      <c r="FW3" s="443"/>
      <c r="FX3" s="443"/>
      <c r="FY3" s="443"/>
      <c r="FZ3" s="443"/>
      <c r="GA3" s="443"/>
      <c r="GB3" s="443"/>
      <c r="GC3" s="443"/>
      <c r="GD3" s="443"/>
      <c r="GE3" s="443"/>
      <c r="GF3" s="443"/>
      <c r="GG3" s="443"/>
      <c r="GH3" s="443"/>
      <c r="GI3" s="443"/>
      <c r="GJ3" s="443"/>
      <c r="GK3" s="443"/>
      <c r="GL3" s="443"/>
      <c r="GM3" s="443"/>
      <c r="GN3" s="443"/>
      <c r="GO3" s="443"/>
      <c r="GP3" s="443"/>
      <c r="GQ3" s="443"/>
      <c r="GR3" s="443"/>
      <c r="GS3" s="443"/>
      <c r="GT3" s="443"/>
      <c r="GU3" s="443"/>
      <c r="GV3" s="443"/>
      <c r="GW3" s="443"/>
      <c r="GX3" s="443"/>
      <c r="GY3" s="443"/>
      <c r="GZ3" s="443"/>
      <c r="HA3" s="443"/>
      <c r="HB3" s="443"/>
      <c r="HC3" s="443"/>
      <c r="HD3" s="443"/>
      <c r="HE3" s="443"/>
      <c r="HF3" s="443"/>
      <c r="HG3" s="443"/>
      <c r="HH3" s="443"/>
      <c r="HI3" s="443"/>
      <c r="HJ3" s="443"/>
      <c r="HK3" s="443"/>
      <c r="HL3" s="443"/>
      <c r="HM3" s="443"/>
      <c r="HN3" s="443"/>
      <c r="HO3" s="443"/>
      <c r="HP3" s="443"/>
      <c r="HQ3" s="443"/>
      <c r="HR3" s="443"/>
      <c r="HS3" s="443"/>
      <c r="HT3" s="443"/>
      <c r="HU3" s="443"/>
      <c r="HV3" s="443"/>
      <c r="HW3" s="443"/>
      <c r="HX3" s="443"/>
      <c r="HY3" s="443"/>
      <c r="HZ3" s="443"/>
      <c r="IA3" s="443"/>
      <c r="IB3" s="443"/>
      <c r="IC3" s="443"/>
      <c r="ID3" s="443"/>
      <c r="IE3" s="443"/>
      <c r="IF3" s="443"/>
      <c r="IG3" s="443"/>
      <c r="IH3" s="443"/>
      <c r="II3" s="443"/>
      <c r="IJ3" s="443"/>
      <c r="IK3" s="443"/>
      <c r="IL3" s="443"/>
      <c r="IM3" s="443"/>
      <c r="IN3" s="443"/>
      <c r="IO3" s="443"/>
      <c r="IP3" s="443"/>
      <c r="IQ3" s="443"/>
      <c r="IR3" s="443"/>
      <c r="IS3" s="443"/>
      <c r="IT3" s="443"/>
      <c r="IU3" s="443"/>
      <c r="IV3" s="443"/>
      <c r="IW3" s="443"/>
    </row>
    <row r="4" customFormat="false" ht="11.25" hidden="false" customHeight="false" outlineLevel="0" collapsed="false">
      <c r="A4" s="5" t="s">
        <v>188</v>
      </c>
      <c r="B4" s="5"/>
      <c r="C4" s="5"/>
      <c r="D4" s="5"/>
      <c r="E4" s="5"/>
      <c r="F4" s="5"/>
      <c r="G4" s="5"/>
      <c r="H4" s="5"/>
      <c r="I4" s="5"/>
      <c r="J4" s="5"/>
      <c r="K4" s="5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443"/>
      <c r="BA4" s="443"/>
      <c r="BB4" s="443"/>
      <c r="BC4" s="443"/>
      <c r="BD4" s="443"/>
      <c r="BE4" s="443"/>
      <c r="BF4" s="443"/>
      <c r="BG4" s="443"/>
      <c r="BH4" s="443"/>
      <c r="BI4" s="443"/>
      <c r="BJ4" s="443"/>
      <c r="BK4" s="443"/>
      <c r="BL4" s="443"/>
      <c r="BM4" s="443"/>
      <c r="BN4" s="443"/>
      <c r="BO4" s="443"/>
      <c r="BP4" s="443"/>
      <c r="BQ4" s="443"/>
      <c r="BR4" s="443"/>
      <c r="BS4" s="443"/>
      <c r="BT4" s="443"/>
      <c r="BU4" s="443"/>
      <c r="BV4" s="443"/>
      <c r="BW4" s="443"/>
      <c r="BX4" s="443"/>
      <c r="BY4" s="443"/>
      <c r="BZ4" s="443"/>
      <c r="CA4" s="443"/>
      <c r="CB4" s="443"/>
      <c r="CC4" s="443"/>
      <c r="CD4" s="443"/>
      <c r="CE4" s="443"/>
      <c r="CF4" s="443"/>
      <c r="CG4" s="443"/>
      <c r="CH4" s="443"/>
      <c r="CI4" s="443"/>
      <c r="CJ4" s="443"/>
      <c r="CK4" s="443"/>
      <c r="CL4" s="443"/>
      <c r="CM4" s="443"/>
      <c r="CN4" s="443"/>
      <c r="CO4" s="443"/>
      <c r="CP4" s="443"/>
      <c r="CQ4" s="443"/>
      <c r="CR4" s="443"/>
      <c r="CS4" s="443"/>
      <c r="CT4" s="443"/>
      <c r="CU4" s="443"/>
      <c r="CV4" s="443"/>
      <c r="CW4" s="443"/>
      <c r="CX4" s="443"/>
      <c r="CY4" s="443"/>
      <c r="CZ4" s="443"/>
      <c r="DA4" s="443"/>
      <c r="DB4" s="443"/>
      <c r="DC4" s="443"/>
      <c r="DD4" s="443"/>
      <c r="DE4" s="443"/>
      <c r="DF4" s="443"/>
      <c r="DG4" s="443"/>
      <c r="DH4" s="443"/>
      <c r="DI4" s="443"/>
      <c r="DJ4" s="443"/>
      <c r="DK4" s="443"/>
      <c r="DL4" s="443"/>
      <c r="DM4" s="443"/>
      <c r="DN4" s="443"/>
      <c r="DO4" s="443"/>
      <c r="DP4" s="443"/>
      <c r="DQ4" s="443"/>
      <c r="DR4" s="443"/>
      <c r="DS4" s="443"/>
      <c r="DT4" s="443"/>
      <c r="DU4" s="443"/>
      <c r="DV4" s="443"/>
      <c r="DW4" s="443"/>
      <c r="DX4" s="443"/>
      <c r="DY4" s="443"/>
      <c r="DZ4" s="443"/>
      <c r="EA4" s="443"/>
      <c r="EB4" s="443"/>
      <c r="EC4" s="443"/>
      <c r="ED4" s="443"/>
      <c r="EE4" s="443"/>
      <c r="EF4" s="443"/>
      <c r="EG4" s="443"/>
      <c r="EH4" s="443"/>
      <c r="EI4" s="443"/>
      <c r="EJ4" s="443"/>
      <c r="EK4" s="443"/>
      <c r="EL4" s="443"/>
      <c r="EM4" s="443"/>
      <c r="EN4" s="443"/>
      <c r="EO4" s="443"/>
      <c r="EP4" s="443"/>
      <c r="EQ4" s="443"/>
      <c r="ER4" s="443"/>
      <c r="ES4" s="443"/>
      <c r="ET4" s="443"/>
      <c r="EU4" s="443"/>
      <c r="EV4" s="443"/>
      <c r="EW4" s="443"/>
      <c r="EX4" s="443"/>
      <c r="EY4" s="443"/>
      <c r="EZ4" s="443"/>
      <c r="FA4" s="443"/>
      <c r="FB4" s="443"/>
      <c r="FC4" s="443"/>
      <c r="FD4" s="443"/>
      <c r="FE4" s="443"/>
      <c r="FF4" s="443"/>
      <c r="FG4" s="443"/>
      <c r="FH4" s="443"/>
      <c r="FI4" s="443"/>
      <c r="FJ4" s="443"/>
      <c r="FK4" s="443"/>
      <c r="FL4" s="443"/>
      <c r="FM4" s="443"/>
      <c r="FN4" s="443"/>
      <c r="FO4" s="443"/>
      <c r="FP4" s="443"/>
      <c r="FQ4" s="443"/>
      <c r="FR4" s="443"/>
      <c r="FS4" s="443"/>
      <c r="FT4" s="443"/>
      <c r="FU4" s="443"/>
      <c r="FV4" s="443"/>
      <c r="FW4" s="443"/>
      <c r="FX4" s="443"/>
      <c r="FY4" s="443"/>
      <c r="FZ4" s="443"/>
      <c r="GA4" s="443"/>
      <c r="GB4" s="443"/>
      <c r="GC4" s="443"/>
      <c r="GD4" s="443"/>
      <c r="GE4" s="443"/>
      <c r="GF4" s="443"/>
      <c r="GG4" s="443"/>
      <c r="GH4" s="443"/>
      <c r="GI4" s="443"/>
      <c r="GJ4" s="443"/>
      <c r="GK4" s="443"/>
      <c r="GL4" s="443"/>
      <c r="GM4" s="443"/>
      <c r="GN4" s="443"/>
      <c r="GO4" s="443"/>
      <c r="GP4" s="443"/>
      <c r="GQ4" s="443"/>
      <c r="GR4" s="443"/>
      <c r="GS4" s="443"/>
      <c r="GT4" s="443"/>
      <c r="GU4" s="443"/>
      <c r="GV4" s="443"/>
      <c r="GW4" s="443"/>
      <c r="GX4" s="443"/>
      <c r="GY4" s="443"/>
      <c r="GZ4" s="443"/>
      <c r="HA4" s="443"/>
      <c r="HB4" s="443"/>
      <c r="HC4" s="443"/>
      <c r="HD4" s="443"/>
      <c r="HE4" s="443"/>
      <c r="HF4" s="443"/>
      <c r="HG4" s="443"/>
      <c r="HH4" s="443"/>
      <c r="HI4" s="443"/>
      <c r="HJ4" s="443"/>
      <c r="HK4" s="443"/>
      <c r="HL4" s="443"/>
      <c r="HM4" s="443"/>
      <c r="HN4" s="443"/>
      <c r="HO4" s="443"/>
      <c r="HP4" s="443"/>
      <c r="HQ4" s="443"/>
      <c r="HR4" s="443"/>
      <c r="HS4" s="443"/>
      <c r="HT4" s="443"/>
      <c r="HU4" s="443"/>
      <c r="HV4" s="443"/>
      <c r="HW4" s="443"/>
      <c r="HX4" s="443"/>
      <c r="HY4" s="443"/>
      <c r="HZ4" s="443"/>
      <c r="IA4" s="443"/>
      <c r="IB4" s="443"/>
      <c r="IC4" s="443"/>
      <c r="ID4" s="443"/>
      <c r="IE4" s="443"/>
      <c r="IF4" s="443"/>
      <c r="IG4" s="443"/>
      <c r="IH4" s="443"/>
      <c r="II4" s="443"/>
      <c r="IJ4" s="443"/>
      <c r="IK4" s="443"/>
      <c r="IL4" s="443"/>
      <c r="IM4" s="443"/>
      <c r="IN4" s="443"/>
      <c r="IO4" s="443"/>
      <c r="IP4" s="443"/>
      <c r="IQ4" s="443"/>
      <c r="IR4" s="443"/>
      <c r="IS4" s="443"/>
      <c r="IT4" s="443"/>
      <c r="IU4" s="443"/>
      <c r="IV4" s="443"/>
      <c r="IW4" s="443"/>
    </row>
    <row r="6" customFormat="false" ht="10.5" hidden="false" customHeight="false" outlineLevel="0" collapsed="false">
      <c r="A6" s="444" t="s">
        <v>138</v>
      </c>
      <c r="B6" s="445" t="s">
        <v>5</v>
      </c>
      <c r="C6" s="445" t="s">
        <v>5</v>
      </c>
      <c r="D6" s="445" t="s">
        <v>189</v>
      </c>
      <c r="E6" s="445"/>
      <c r="F6" s="445" t="s">
        <v>190</v>
      </c>
      <c r="G6" s="445" t="s">
        <v>30</v>
      </c>
      <c r="H6" s="445"/>
      <c r="I6" s="446" t="s">
        <v>140</v>
      </c>
      <c r="J6" s="446"/>
      <c r="K6" s="44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0.5" hidden="false" customHeight="false" outlineLevel="0" collapsed="false">
      <c r="A7" s="447" t="s">
        <v>15</v>
      </c>
      <c r="B7" s="448" t="s">
        <v>12</v>
      </c>
      <c r="C7" s="448" t="s">
        <v>11</v>
      </c>
      <c r="D7" s="448" t="s">
        <v>191</v>
      </c>
      <c r="E7" s="448"/>
      <c r="F7" s="448" t="s">
        <v>192</v>
      </c>
      <c r="G7" s="448" t="s">
        <v>193</v>
      </c>
      <c r="H7" s="448"/>
      <c r="I7" s="448" t="s">
        <v>23</v>
      </c>
      <c r="J7" s="448" t="s">
        <v>24</v>
      </c>
      <c r="K7" s="449" t="s">
        <v>25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1.25" hidden="false" customHeight="false" outlineLevel="0" collapsed="false">
      <c r="A8" s="450"/>
      <c r="B8" s="451"/>
      <c r="C8" s="451"/>
      <c r="D8" s="448"/>
      <c r="E8" s="451"/>
      <c r="F8" s="451"/>
      <c r="G8" s="452" t="s">
        <v>194</v>
      </c>
      <c r="H8" s="448"/>
      <c r="I8" s="453" t="s">
        <v>145</v>
      </c>
      <c r="J8" s="453" t="s">
        <v>145</v>
      </c>
      <c r="K8" s="454" t="s">
        <v>145</v>
      </c>
    </row>
    <row r="9" customFormat="false" ht="12.75" hidden="false" customHeight="false" outlineLevel="0" collapsed="false">
      <c r="A9" s="455"/>
      <c r="B9" s="456"/>
      <c r="C9" s="456"/>
      <c r="D9" s="457"/>
      <c r="E9" s="456"/>
      <c r="F9" s="456"/>
      <c r="G9" s="458"/>
      <c r="H9" s="459"/>
      <c r="I9" s="460"/>
      <c r="J9" s="460"/>
      <c r="K9" s="461"/>
      <c r="L9" s="357" t="s">
        <v>146</v>
      </c>
    </row>
    <row r="10" customFormat="false" ht="12.75" hidden="false" customHeight="false" outlineLevel="0" collapsed="false">
      <c r="A10" s="462" t="n">
        <v>36923</v>
      </c>
      <c r="B10" s="46"/>
      <c r="C10" s="45" t="s">
        <v>189</v>
      </c>
      <c r="D10" s="38" t="n">
        <v>6.298</v>
      </c>
      <c r="E10" s="46"/>
      <c r="F10" s="51" t="n">
        <f aca="false">-20000*28</f>
        <v>-560000</v>
      </c>
      <c r="G10" s="38"/>
      <c r="H10" s="38"/>
      <c r="I10" s="75" t="n">
        <f aca="false">+F10*D10</f>
        <v>-3526880</v>
      </c>
      <c r="J10" s="41" t="n">
        <f aca="false">+I10</f>
        <v>-3526880</v>
      </c>
      <c r="K10" s="41"/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462" t="n">
        <v>36951</v>
      </c>
      <c r="B11" s="46"/>
      <c r="C11" s="45" t="s">
        <v>189</v>
      </c>
      <c r="D11" s="38" t="n">
        <v>6.298</v>
      </c>
      <c r="E11" s="46"/>
      <c r="F11" s="51" t="n">
        <f aca="false">-20000*31</f>
        <v>-620000</v>
      </c>
      <c r="G11" s="38"/>
      <c r="H11" s="38"/>
      <c r="I11" s="75" t="n">
        <f aca="false">+F11*D11</f>
        <v>-3904760</v>
      </c>
      <c r="J11" s="41" t="n">
        <f aca="false">+I11</f>
        <v>-3904760</v>
      </c>
      <c r="K11" s="41"/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462" t="n">
        <v>36982</v>
      </c>
      <c r="B12" s="46"/>
      <c r="C12" s="45" t="s">
        <v>189</v>
      </c>
      <c r="D12" s="38" t="n">
        <v>6.298</v>
      </c>
      <c r="E12" s="46"/>
      <c r="F12" s="51" t="n">
        <f aca="false">-20000*30</f>
        <v>-600000</v>
      </c>
      <c r="G12" s="38"/>
      <c r="H12" s="38"/>
      <c r="I12" s="75" t="n">
        <f aca="false">+F12*D12</f>
        <v>-3778800</v>
      </c>
      <c r="J12" s="41" t="n">
        <f aca="false">+I12</f>
        <v>-3778800</v>
      </c>
      <c r="K12" s="41"/>
      <c r="L12" s="366" t="n">
        <f aca="false">IF(K12=0,0,IF(A12&lt;(Summary!$K$3+365),K12,0))</f>
        <v>0</v>
      </c>
    </row>
    <row r="13" customFormat="false" ht="12.75" hidden="false" customHeight="false" outlineLevel="0" collapsed="false">
      <c r="A13" s="462" t="n">
        <v>37012</v>
      </c>
      <c r="B13" s="46"/>
      <c r="C13" s="45" t="s">
        <v>189</v>
      </c>
      <c r="D13" s="38" t="n">
        <v>6.298</v>
      </c>
      <c r="E13" s="46"/>
      <c r="F13" s="51" t="n">
        <f aca="false">-20000*31</f>
        <v>-620000</v>
      </c>
      <c r="G13" s="38"/>
      <c r="H13" s="38"/>
      <c r="I13" s="75" t="n">
        <f aca="false">+F13*D13</f>
        <v>-3904760</v>
      </c>
      <c r="J13" s="41" t="n">
        <f aca="false">+I13</f>
        <v>-3904760</v>
      </c>
      <c r="K13" s="41"/>
      <c r="L13" s="366" t="n">
        <f aca="false">IF(K13=0,0,IF(A13&lt;(Summary!$K$3+365),K13,0))</f>
        <v>0</v>
      </c>
    </row>
    <row r="14" customFormat="false" ht="12.75" hidden="false" customHeight="false" outlineLevel="0" collapsed="false">
      <c r="A14" s="462" t="n">
        <v>37043</v>
      </c>
      <c r="B14" s="46"/>
      <c r="C14" s="45" t="s">
        <v>189</v>
      </c>
      <c r="D14" s="38" t="n">
        <v>6.298</v>
      </c>
      <c r="E14" s="46"/>
      <c r="F14" s="51" t="n">
        <f aca="false">-20000*30</f>
        <v>-600000</v>
      </c>
      <c r="G14" s="38"/>
      <c r="H14" s="38"/>
      <c r="I14" s="75" t="n">
        <f aca="false">+F14*D14</f>
        <v>-3778800</v>
      </c>
      <c r="J14" s="41"/>
      <c r="K14" s="41" t="n">
        <f aca="false">+I14</f>
        <v>-3778800</v>
      </c>
      <c r="L14" s="366" t="n">
        <f aca="false">IF(K14=0,0,IF(A14&lt;(Summary!$K$3+365),K14,0))</f>
        <v>-3778800</v>
      </c>
    </row>
    <row r="15" customFormat="false" ht="12.75" hidden="false" customHeight="false" outlineLevel="0" collapsed="false">
      <c r="A15" s="462" t="n">
        <v>37073</v>
      </c>
      <c r="B15" s="46"/>
      <c r="C15" s="45" t="s">
        <v>189</v>
      </c>
      <c r="D15" s="38" t="n">
        <v>6.298</v>
      </c>
      <c r="E15" s="46"/>
      <c r="F15" s="51" t="n">
        <f aca="false">-20000*31</f>
        <v>-620000</v>
      </c>
      <c r="G15" s="38"/>
      <c r="H15" s="38"/>
      <c r="I15" s="75" t="n">
        <f aca="false">+F15*D15</f>
        <v>-3904760</v>
      </c>
      <c r="J15" s="41"/>
      <c r="K15" s="41" t="n">
        <f aca="false">+I15</f>
        <v>-3904760</v>
      </c>
      <c r="L15" s="366" t="n">
        <f aca="false">IF(K15=0,0,IF(A15&lt;(Summary!$K$3+365),K15,0))</f>
        <v>-3904760</v>
      </c>
    </row>
    <row r="16" customFormat="false" ht="12.75" hidden="false" customHeight="false" outlineLevel="0" collapsed="false">
      <c r="A16" s="462" t="n">
        <v>37104</v>
      </c>
      <c r="B16" s="46"/>
      <c r="C16" s="45" t="s">
        <v>189</v>
      </c>
      <c r="D16" s="38" t="n">
        <v>6.298</v>
      </c>
      <c r="E16" s="46"/>
      <c r="F16" s="51" t="n">
        <f aca="false">-20000*31</f>
        <v>-620000</v>
      </c>
      <c r="G16" s="38"/>
      <c r="H16" s="38"/>
      <c r="I16" s="75" t="n">
        <f aca="false">+F16*D16</f>
        <v>-3904760</v>
      </c>
      <c r="J16" s="41"/>
      <c r="K16" s="41" t="n">
        <f aca="false">+I16</f>
        <v>-3904760</v>
      </c>
      <c r="L16" s="366" t="n">
        <f aca="false">IF(K16=0,0,IF(A16&lt;(Summary!$K$3+365),K16,0))</f>
        <v>-3904760</v>
      </c>
    </row>
    <row r="17" customFormat="false" ht="12.75" hidden="false" customHeight="false" outlineLevel="0" collapsed="false">
      <c r="A17" s="462" t="n">
        <v>37135</v>
      </c>
      <c r="B17" s="46"/>
      <c r="C17" s="45" t="s">
        <v>189</v>
      </c>
      <c r="D17" s="38" t="n">
        <v>6.298</v>
      </c>
      <c r="E17" s="46"/>
      <c r="F17" s="51" t="n">
        <f aca="false">-20000*30</f>
        <v>-600000</v>
      </c>
      <c r="G17" s="38"/>
      <c r="H17" s="38"/>
      <c r="I17" s="75" t="n">
        <f aca="false">+F17*D17</f>
        <v>-3778800</v>
      </c>
      <c r="J17" s="41"/>
      <c r="K17" s="41" t="n">
        <f aca="false">+I17</f>
        <v>-3778800</v>
      </c>
      <c r="L17" s="366" t="n">
        <f aca="false">IF(K17=0,0,IF(A17&lt;(Summary!$K$3+365),K17,0))</f>
        <v>-3778800</v>
      </c>
    </row>
    <row r="18" customFormat="false" ht="12.75" hidden="false" customHeight="false" outlineLevel="0" collapsed="false">
      <c r="A18" s="462" t="n">
        <v>37165</v>
      </c>
      <c r="B18" s="46"/>
      <c r="C18" s="45" t="s">
        <v>189</v>
      </c>
      <c r="D18" s="38" t="n">
        <v>6.298</v>
      </c>
      <c r="E18" s="46"/>
      <c r="F18" s="51" t="n">
        <f aca="false">-20000*31</f>
        <v>-620000</v>
      </c>
      <c r="G18" s="38"/>
      <c r="H18" s="38"/>
      <c r="I18" s="75" t="n">
        <f aca="false">+F18*D18</f>
        <v>-3904760</v>
      </c>
      <c r="J18" s="41"/>
      <c r="K18" s="41" t="n">
        <f aca="false">+I18</f>
        <v>-3904760</v>
      </c>
      <c r="L18" s="366" t="n">
        <f aca="false">IF(K18=0,0,IF(A18&lt;(Summary!$K$3+365),K18,0))</f>
        <v>-3904760</v>
      </c>
    </row>
    <row r="19" customFormat="false" ht="12.75" hidden="false" customHeight="false" outlineLevel="0" collapsed="false">
      <c r="A19" s="462" t="n">
        <v>37196</v>
      </c>
      <c r="B19" s="46"/>
      <c r="C19" s="45" t="s">
        <v>189</v>
      </c>
      <c r="D19" s="38" t="n">
        <v>6.298</v>
      </c>
      <c r="E19" s="46"/>
      <c r="F19" s="51" t="n">
        <f aca="false">-20000*30</f>
        <v>-600000</v>
      </c>
      <c r="G19" s="38"/>
      <c r="H19" s="38"/>
      <c r="I19" s="75" t="n">
        <f aca="false">+F19*D19</f>
        <v>-3778800</v>
      </c>
      <c r="J19" s="41"/>
      <c r="K19" s="41" t="n">
        <f aca="false">+I19</f>
        <v>-3778800</v>
      </c>
      <c r="L19" s="366" t="n">
        <f aca="false">IF(K19=0,0,IF(A19&lt;(Summary!$K$3+365),K19,0))</f>
        <v>-3778800</v>
      </c>
    </row>
    <row r="20" customFormat="false" ht="12.75" hidden="false" customHeight="false" outlineLevel="0" collapsed="false">
      <c r="A20" s="462" t="n">
        <v>37226</v>
      </c>
      <c r="B20" s="46"/>
      <c r="C20" s="45" t="s">
        <v>189</v>
      </c>
      <c r="D20" s="38" t="n">
        <v>6.298</v>
      </c>
      <c r="E20" s="46"/>
      <c r="F20" s="62" t="n">
        <f aca="false">-20000*31</f>
        <v>-620000</v>
      </c>
      <c r="G20" s="38"/>
      <c r="H20" s="38"/>
      <c r="I20" s="79" t="n">
        <f aca="false">+F20*D20</f>
        <v>-3904760</v>
      </c>
      <c r="J20" s="63"/>
      <c r="K20" s="63" t="n">
        <f aca="false">+I20</f>
        <v>-3904760</v>
      </c>
      <c r="L20" s="366" t="n">
        <f aca="false">IF(K20=0,0,IF(A20&lt;(Summary!$K$3+365),K20,0))</f>
        <v>-3904760</v>
      </c>
    </row>
    <row r="21" customFormat="false" ht="11.25" hidden="false" customHeight="false" outlineLevel="0" collapsed="false">
      <c r="A21" s="462"/>
      <c r="B21" s="46"/>
      <c r="C21" s="45"/>
      <c r="D21" s="38"/>
      <c r="E21" s="46"/>
      <c r="F21" s="51" t="n">
        <f aca="false">SUM(F10:F20)</f>
        <v>-6680000</v>
      </c>
      <c r="G21" s="38"/>
      <c r="H21" s="38"/>
      <c r="I21" s="75" t="n">
        <f aca="false">SUM(I10:I20)</f>
        <v>-42070640</v>
      </c>
      <c r="J21" s="75" t="n">
        <f aca="false">SUM(J10:J20)</f>
        <v>-15115200</v>
      </c>
      <c r="K21" s="41" t="n">
        <f aca="false">SUM(K10:K20)</f>
        <v>-26955440</v>
      </c>
      <c r="L21" s="52" t="n">
        <f aca="false">SUM(L10:L20)</f>
        <v>-26955440</v>
      </c>
    </row>
    <row r="22" customFormat="false" ht="11.25" hidden="false" customHeight="false" outlineLevel="0" collapsed="false">
      <c r="A22" s="462"/>
      <c r="B22" s="46"/>
      <c r="C22" s="45"/>
      <c r="D22" s="38"/>
      <c r="E22" s="46"/>
      <c r="F22" s="51"/>
      <c r="G22" s="38"/>
      <c r="H22" s="38"/>
      <c r="I22" s="75"/>
      <c r="J22" s="41"/>
      <c r="K22" s="41"/>
      <c r="L22" s="46"/>
    </row>
    <row r="23" customFormat="false" ht="11.25" hidden="false" customHeight="false" outlineLevel="0" collapsed="false">
      <c r="A23" s="462"/>
      <c r="B23" s="46"/>
      <c r="C23" s="45"/>
      <c r="D23" s="38"/>
      <c r="E23" s="46"/>
      <c r="F23" s="51"/>
      <c r="G23" s="38"/>
      <c r="H23" s="38"/>
      <c r="I23" s="75"/>
      <c r="J23" s="41"/>
      <c r="K23" s="41"/>
      <c r="L23" s="46"/>
    </row>
    <row r="24" customFormat="false" ht="12.75" hidden="false" customHeight="false" outlineLevel="0" collapsed="false">
      <c r="A24" s="462" t="n">
        <v>36923</v>
      </c>
      <c r="B24" s="46"/>
      <c r="C24" s="45" t="s">
        <v>30</v>
      </c>
      <c r="D24" s="38"/>
      <c r="E24" s="46"/>
      <c r="F24" s="51" t="n">
        <f aca="false">20000*28</f>
        <v>560000</v>
      </c>
      <c r="G24" s="38" t="n">
        <v>6.293</v>
      </c>
      <c r="H24" s="38"/>
      <c r="I24" s="75" t="n">
        <f aca="false">+G24*F24</f>
        <v>3524080</v>
      </c>
      <c r="J24" s="41" t="n">
        <f aca="false">+I24</f>
        <v>3524080</v>
      </c>
      <c r="K24" s="41"/>
      <c r="L24" s="366" t="n">
        <f aca="false">IF(K24=0,0,IF(A24&lt;(Summary!$K$3+365),K24,0))</f>
        <v>0</v>
      </c>
    </row>
    <row r="25" customFormat="false" ht="12.75" hidden="false" customHeight="false" outlineLevel="0" collapsed="false">
      <c r="A25" s="462" t="n">
        <v>36951</v>
      </c>
      <c r="B25" s="46"/>
      <c r="C25" s="45" t="s">
        <v>30</v>
      </c>
      <c r="D25" s="38"/>
      <c r="E25" s="46"/>
      <c r="F25" s="51" t="n">
        <f aca="false">20000*31</f>
        <v>620000</v>
      </c>
      <c r="G25" s="38" t="n">
        <v>4.998</v>
      </c>
      <c r="H25" s="38"/>
      <c r="I25" s="75" t="n">
        <f aca="false">+G25*F25</f>
        <v>3098760</v>
      </c>
      <c r="J25" s="41" t="n">
        <f aca="false">+I25</f>
        <v>3098760</v>
      </c>
      <c r="K25" s="41"/>
      <c r="L25" s="366" t="n">
        <f aca="false">IF(K25=0,0,IF(A25&lt;(Summary!$K$3+365),K25,0))</f>
        <v>0</v>
      </c>
    </row>
    <row r="26" customFormat="false" ht="12.75" hidden="false" customHeight="false" outlineLevel="0" collapsed="false">
      <c r="A26" s="462" t="n">
        <v>36982</v>
      </c>
      <c r="B26" s="46"/>
      <c r="C26" s="45" t="s">
        <v>30</v>
      </c>
      <c r="D26" s="38"/>
      <c r="E26" s="46"/>
      <c r="F26" s="51" t="n">
        <f aca="false">20000*30</f>
        <v>600000</v>
      </c>
      <c r="G26" s="38" t="n">
        <v>5.384</v>
      </c>
      <c r="H26" s="38"/>
      <c r="I26" s="75" t="n">
        <f aca="false">+G26*F26</f>
        <v>3230400</v>
      </c>
      <c r="J26" s="41" t="n">
        <f aca="false">+I26</f>
        <v>3230400</v>
      </c>
      <c r="K26" s="41"/>
      <c r="L26" s="366" t="n">
        <f aca="false">IF(K26=0,0,IF(A26&lt;(Summary!$K$3+365),K26,0))</f>
        <v>0</v>
      </c>
    </row>
    <row r="27" customFormat="false" ht="12.75" hidden="false" customHeight="false" outlineLevel="0" collapsed="false">
      <c r="A27" s="462" t="n">
        <v>37012</v>
      </c>
      <c r="B27" s="46"/>
      <c r="C27" s="45" t="s">
        <v>30</v>
      </c>
      <c r="D27" s="38"/>
      <c r="E27" s="46"/>
      <c r="F27" s="51" t="n">
        <f aca="false">20000*31</f>
        <v>620000</v>
      </c>
      <c r="G27" s="38" t="n">
        <v>4.891</v>
      </c>
      <c r="H27" s="38"/>
      <c r="I27" s="75" t="n">
        <f aca="false">+G27*F27</f>
        <v>3032420</v>
      </c>
      <c r="J27" s="41" t="n">
        <f aca="false">+I27</f>
        <v>3032420</v>
      </c>
      <c r="K27" s="41"/>
      <c r="L27" s="366" t="n">
        <f aca="false">IF(K27=0,0,IF(A27&lt;(Summary!$K$3+365),K27,0))</f>
        <v>0</v>
      </c>
    </row>
    <row r="28" customFormat="false" ht="12.75" hidden="false" customHeight="false" outlineLevel="0" collapsed="false">
      <c r="A28" s="462" t="n">
        <v>37043</v>
      </c>
      <c r="B28" s="46"/>
      <c r="C28" s="45" t="s">
        <v>30</v>
      </c>
      <c r="D28" s="38"/>
      <c r="E28" s="46"/>
      <c r="F28" s="51" t="n">
        <f aca="false">20000*30</f>
        <v>600000</v>
      </c>
      <c r="G28" s="38" t="n">
        <v>3.738</v>
      </c>
      <c r="H28" s="38"/>
      <c r="I28" s="75" t="n">
        <f aca="false">+G28*F28</f>
        <v>2242800</v>
      </c>
      <c r="J28" s="41"/>
      <c r="K28" s="41" t="n">
        <f aca="false">+J28+I28</f>
        <v>2242800</v>
      </c>
      <c r="L28" s="366" t="n">
        <f aca="false">IF(K28=0,0,IF(A28&lt;(Summary!$K$3+365),K28,0))</f>
        <v>2242800</v>
      </c>
    </row>
    <row r="29" customFormat="false" ht="12.75" hidden="false" customHeight="false" outlineLevel="0" collapsed="false">
      <c r="A29" s="462" t="n">
        <v>37073</v>
      </c>
      <c r="B29" s="46"/>
      <c r="C29" s="45" t="s">
        <v>30</v>
      </c>
      <c r="D29" s="38"/>
      <c r="E29" s="46"/>
      <c r="F29" s="51" t="n">
        <f aca="false">20000*31</f>
        <v>620000</v>
      </c>
      <c r="G29" s="38" t="n">
        <f aca="false">+[3]NYMEX!$C9</f>
        <v>3.914</v>
      </c>
      <c r="H29" s="38"/>
      <c r="I29" s="75" t="n">
        <f aca="false">+G29*F29</f>
        <v>2426680</v>
      </c>
      <c r="J29" s="41"/>
      <c r="K29" s="41" t="n">
        <f aca="false">+J29+I29</f>
        <v>2426680</v>
      </c>
      <c r="L29" s="366" t="n">
        <f aca="false">IF(K29=0,0,IF(A29&lt;(Summary!$K$3+365),K29,0))</f>
        <v>2426680</v>
      </c>
    </row>
    <row r="30" customFormat="false" ht="12.75" hidden="false" customHeight="false" outlineLevel="0" collapsed="false">
      <c r="A30" s="462" t="n">
        <v>37104</v>
      </c>
      <c r="B30" s="46"/>
      <c r="C30" s="45" t="s">
        <v>30</v>
      </c>
      <c r="D30" s="38"/>
      <c r="E30" s="46"/>
      <c r="F30" s="51" t="n">
        <f aca="false">20000*31</f>
        <v>620000</v>
      </c>
      <c r="G30" s="38" t="n">
        <f aca="false">+[3]NYMEX!$C10</f>
        <v>3.99</v>
      </c>
      <c r="H30" s="38"/>
      <c r="I30" s="75" t="n">
        <f aca="false">+G30*F30</f>
        <v>2473800</v>
      </c>
      <c r="J30" s="41"/>
      <c r="K30" s="41" t="n">
        <f aca="false">+J30+I30</f>
        <v>2473800</v>
      </c>
      <c r="L30" s="366" t="n">
        <f aca="false">IF(K30=0,0,IF(A30&lt;(Summary!$K$3+365),K30,0))</f>
        <v>2473800</v>
      </c>
    </row>
    <row r="31" customFormat="false" ht="12.75" hidden="false" customHeight="false" outlineLevel="0" collapsed="false">
      <c r="A31" s="462" t="n">
        <v>37135</v>
      </c>
      <c r="B31" s="46"/>
      <c r="C31" s="45" t="s">
        <v>30</v>
      </c>
      <c r="D31" s="38"/>
      <c r="E31" s="46"/>
      <c r="F31" s="51" t="n">
        <f aca="false">20000*30</f>
        <v>600000</v>
      </c>
      <c r="G31" s="38" t="n">
        <f aca="false">+[3]NYMEX!$C11</f>
        <v>4.022</v>
      </c>
      <c r="H31" s="38"/>
      <c r="I31" s="75" t="n">
        <f aca="false">+G31*F31</f>
        <v>2413200</v>
      </c>
      <c r="J31" s="41"/>
      <c r="K31" s="41" t="n">
        <f aca="false">+J31+I31</f>
        <v>2413200</v>
      </c>
      <c r="L31" s="366" t="n">
        <f aca="false">IF(K31=0,0,IF(A31&lt;(Summary!$K$3+365),K31,0))</f>
        <v>2413200</v>
      </c>
    </row>
    <row r="32" customFormat="false" ht="12.75" hidden="false" customHeight="false" outlineLevel="0" collapsed="false">
      <c r="A32" s="462" t="n">
        <v>37165</v>
      </c>
      <c r="B32" s="46"/>
      <c r="C32" s="45" t="s">
        <v>30</v>
      </c>
      <c r="D32" s="38"/>
      <c r="E32" s="46"/>
      <c r="F32" s="51" t="n">
        <f aca="false">20000*31</f>
        <v>620000</v>
      </c>
      <c r="G32" s="38" t="n">
        <f aca="false">+[3]NYMEX!$C12</f>
        <v>4.048</v>
      </c>
      <c r="H32" s="38"/>
      <c r="I32" s="75" t="n">
        <f aca="false">+G32*F32</f>
        <v>2509760</v>
      </c>
      <c r="J32" s="41"/>
      <c r="K32" s="41" t="n">
        <f aca="false">+J32+I32</f>
        <v>2509760</v>
      </c>
      <c r="L32" s="366" t="n">
        <f aca="false">IF(K32=0,0,IF(A32&lt;(Summary!$K$3+365),K32,0))</f>
        <v>2509760</v>
      </c>
    </row>
    <row r="33" customFormat="false" ht="12.75" hidden="false" customHeight="false" outlineLevel="0" collapsed="false">
      <c r="A33" s="462" t="n">
        <v>37196</v>
      </c>
      <c r="B33" s="46"/>
      <c r="C33" s="45" t="s">
        <v>30</v>
      </c>
      <c r="D33" s="38"/>
      <c r="E33" s="46"/>
      <c r="F33" s="51" t="n">
        <f aca="false">20000*30</f>
        <v>600000</v>
      </c>
      <c r="G33" s="38" t="n">
        <f aca="false">+[3]NYMEX!$C13</f>
        <v>4.21</v>
      </c>
      <c r="H33" s="38"/>
      <c r="I33" s="75" t="n">
        <f aca="false">+G33*F33</f>
        <v>2526000</v>
      </c>
      <c r="J33" s="41"/>
      <c r="K33" s="41" t="n">
        <f aca="false">+J33+I33</f>
        <v>2526000</v>
      </c>
      <c r="L33" s="366" t="n">
        <f aca="false">IF(K33=0,0,IF(A33&lt;(Summary!$K$3+365),K33,0))</f>
        <v>2526000</v>
      </c>
    </row>
    <row r="34" customFormat="false" ht="12.75" hidden="false" customHeight="false" outlineLevel="0" collapsed="false">
      <c r="A34" s="462" t="n">
        <v>37226</v>
      </c>
      <c r="B34" s="46"/>
      <c r="C34" s="45" t="s">
        <v>30</v>
      </c>
      <c r="D34" s="38"/>
      <c r="E34" s="46"/>
      <c r="F34" s="62" t="n">
        <f aca="false">20000*31</f>
        <v>620000</v>
      </c>
      <c r="G34" s="38" t="n">
        <f aca="false">+[3]NYMEX!$C14</f>
        <v>4.373</v>
      </c>
      <c r="H34" s="38"/>
      <c r="I34" s="79" t="n">
        <f aca="false">+G34*F34</f>
        <v>2711260</v>
      </c>
      <c r="J34" s="63"/>
      <c r="K34" s="64" t="n">
        <f aca="false">+J34+I34</f>
        <v>2711260</v>
      </c>
      <c r="L34" s="366" t="n">
        <f aca="false">IF(K34=0,0,IF(A34&lt;(Summary!$K$3+365),K34,0))</f>
        <v>2711260</v>
      </c>
    </row>
    <row r="35" customFormat="false" ht="11.25" hidden="false" customHeight="false" outlineLevel="0" collapsed="false">
      <c r="A35" s="462"/>
      <c r="B35" s="46"/>
      <c r="C35" s="45"/>
      <c r="D35" s="38"/>
      <c r="E35" s="46"/>
      <c r="F35" s="51" t="n">
        <f aca="false">SUM(F24:F34)</f>
        <v>6680000</v>
      </c>
      <c r="G35" s="38"/>
      <c r="H35" s="38"/>
      <c r="I35" s="75" t="n">
        <f aca="false">SUM(I24:I34)</f>
        <v>30189160</v>
      </c>
      <c r="J35" s="75" t="n">
        <f aca="false">SUM(J24:J34)</f>
        <v>12885660</v>
      </c>
      <c r="K35" s="75" t="n">
        <f aca="false">SUM(K24:K34)</f>
        <v>17303500</v>
      </c>
      <c r="L35" s="52" t="n">
        <f aca="false">SUM(L24:L34)</f>
        <v>17303500</v>
      </c>
    </row>
    <row r="36" customFormat="false" ht="11.25" hidden="false" customHeight="false" outlineLevel="0" collapsed="false">
      <c r="A36" s="46"/>
      <c r="B36" s="46"/>
      <c r="C36" s="46"/>
      <c r="D36" s="46"/>
      <c r="E36" s="46"/>
      <c r="F36" s="46"/>
      <c r="G36" s="46" t="n">
        <f aca="false">SUM(G24:G34)/11</f>
        <v>4.53281818181818</v>
      </c>
      <c r="H36" s="38"/>
      <c r="I36" s="46"/>
      <c r="J36" s="60"/>
      <c r="K36" s="60"/>
      <c r="L36" s="46"/>
    </row>
    <row r="37" customFormat="false" ht="12" hidden="false" customHeight="false" outlineLevel="0" collapsed="false">
      <c r="A37" s="46"/>
      <c r="B37" s="46"/>
      <c r="C37" s="46"/>
      <c r="D37" s="46"/>
      <c r="E37" s="46"/>
      <c r="F37" s="463" t="n">
        <f aca="false">+F21+F35</f>
        <v>0</v>
      </c>
      <c r="G37" s="46"/>
      <c r="H37" s="38"/>
      <c r="I37" s="194" t="n">
        <f aca="false">+I21+I35</f>
        <v>-11881480</v>
      </c>
      <c r="J37" s="194" t="n">
        <f aca="false">+J21+J35</f>
        <v>-2229540</v>
      </c>
      <c r="K37" s="194" t="n">
        <f aca="false">+K21+K35</f>
        <v>-9651940</v>
      </c>
      <c r="L37" s="194" t="n">
        <f aca="false">+L21+L35</f>
        <v>-9651940</v>
      </c>
    </row>
    <row r="38" customFormat="false" ht="12" hidden="false" customHeight="false" outlineLevel="0" collapsed="false">
      <c r="A38" s="142"/>
      <c r="B38" s="142"/>
      <c r="C38" s="142"/>
      <c r="D38" s="142"/>
      <c r="E38" s="142"/>
      <c r="F38" s="142"/>
      <c r="G38" s="142"/>
      <c r="H38" s="142"/>
      <c r="I38" s="142"/>
      <c r="J38" s="143"/>
      <c r="K38" s="143"/>
      <c r="L38" s="142"/>
    </row>
    <row r="40" customFormat="false" ht="11.25" hidden="false" customHeight="false" outlineLevel="0" collapsed="false">
      <c r="A40" s="8" t="s">
        <v>148</v>
      </c>
      <c r="J40" s="107"/>
    </row>
    <row r="42" customFormat="false" ht="11.25" hidden="false" customHeight="false" outlineLevel="0" collapsed="false">
      <c r="G42" s="464"/>
    </row>
    <row r="43" customFormat="false" ht="11.25" hidden="false" customHeight="false" outlineLevel="0" collapsed="false">
      <c r="G43" s="211"/>
      <c r="J43" s="107"/>
    </row>
    <row r="44" customFormat="false" ht="11.25" hidden="false" customHeight="false" outlineLevel="0" collapsed="false">
      <c r="G44" s="107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1"/>
  <sheetViews>
    <sheetView showFormulas="false" showGridLines="true" showRowColHeaders="true" showZeros="true" rightToLeft="false" tabSelected="false" showOutlineSymbols="true" defaultGridColor="true" view="normal" topLeftCell="Q64" colorId="64" zoomScale="75" zoomScaleNormal="75" zoomScalePageLayoutView="100" workbookViewId="0">
      <selection pane="topLeft" activeCell="Z85" activeCellId="0" sqref="Z85"/>
    </sheetView>
  </sheetViews>
  <sheetFormatPr defaultColWidth="9.5625" defaultRowHeight="11.25" customHeight="true" zeroHeight="false" outlineLevelRow="0" outlineLevelCol="0"/>
  <cols>
    <col collapsed="false" customWidth="true" hidden="true" outlineLevel="0" max="1" min="1" style="1" width="8.28"/>
    <col collapsed="false" customWidth="true" hidden="false" outlineLevel="0" max="2" min="2" style="1" width="10.85"/>
    <col collapsed="false" customWidth="true" hidden="false" outlineLevel="0" max="3" min="3" style="1" width="11.56"/>
    <col collapsed="false" customWidth="true" hidden="false" outlineLevel="0" max="4" min="4" style="2" width="8.41"/>
    <col collapsed="false" customWidth="true" hidden="false" outlineLevel="0" max="5" min="5" style="1" width="11.7"/>
    <col collapsed="false" customWidth="true" hidden="false" outlineLevel="0" max="6" min="6" style="1" width="15.56"/>
    <col collapsed="false" customWidth="true" hidden="true" outlineLevel="0" max="8" min="7" style="1" width="9.41"/>
    <col collapsed="false" customWidth="true" hidden="true" outlineLevel="0" max="9" min="9" style="1" width="9.7"/>
    <col collapsed="false" customWidth="false" hidden="true" outlineLevel="0" max="10" min="10" style="1" width="9.56"/>
    <col collapsed="false" customWidth="true" hidden="true" outlineLevel="0" max="11" min="11" style="1" width="14.7"/>
    <col collapsed="false" customWidth="true" hidden="true" outlineLevel="0" max="12" min="12" style="1" width="11.42"/>
    <col collapsed="false" customWidth="true" hidden="false" outlineLevel="0" max="13" min="13" style="1" width="17.28"/>
    <col collapsed="false" customWidth="true" hidden="false" outlineLevel="0" max="14" min="14" style="1" width="17.14"/>
    <col collapsed="false" customWidth="true" hidden="false" outlineLevel="0" max="15" min="15" style="1" width="17.42"/>
    <col collapsed="false" customWidth="true" hidden="false" outlineLevel="0" max="16" min="16" style="3" width="18.99"/>
    <col collapsed="false" customWidth="true" hidden="false" outlineLevel="0" max="17" min="17" style="3" width="17.42"/>
    <col collapsed="false" customWidth="true" hidden="false" outlineLevel="0" max="18" min="18" style="213" width="19.14"/>
    <col collapsed="false" customWidth="true" hidden="false" outlineLevel="0" max="19" min="19" style="213" width="17.14"/>
    <col collapsed="false" customWidth="true" hidden="false" outlineLevel="0" max="20" min="20" style="214" width="12.56"/>
    <col collapsed="false" customWidth="true" hidden="false" outlineLevel="0" max="21" min="21" style="214" width="16.56"/>
    <col collapsed="false" customWidth="true" hidden="false" outlineLevel="0" max="22" min="22" style="213" width="18.56"/>
    <col collapsed="false" customWidth="true" hidden="false" outlineLevel="0" max="23" min="23" style="214" width="16.13"/>
    <col collapsed="false" customWidth="true" hidden="false" outlineLevel="0" max="24" min="24" style="214" width="16.56"/>
    <col collapsed="false" customWidth="false" hidden="false" outlineLevel="0" max="25" min="25" style="214" width="9.56"/>
    <col collapsed="false" customWidth="true" hidden="false" outlineLevel="0" max="26" min="26" style="214" width="14.7"/>
    <col collapsed="false" customWidth="false" hidden="false" outlineLevel="0" max="257" min="27" style="214" width="9.56"/>
  </cols>
  <sheetData>
    <row r="1" customFormat="false" ht="11.25" hidden="false" customHeight="false" outlineLevel="0" collapsed="false">
      <c r="A1" s="4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15"/>
      <c r="S1" s="215"/>
      <c r="T1" s="216"/>
      <c r="U1" s="216"/>
      <c r="V1" s="160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  <c r="IW1" s="216"/>
    </row>
    <row r="2" customFormat="false" ht="11.25" hidden="false" customHeight="false" outlineLevel="0" collapsed="false">
      <c r="A2" s="4"/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15"/>
      <c r="S2" s="215"/>
      <c r="T2" s="216"/>
      <c r="U2" s="216"/>
      <c r="V2" s="160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  <c r="IW2" s="216"/>
    </row>
    <row r="3" customFormat="false" ht="11.25" hidden="false" customHeight="false" outlineLevel="0" collapsed="false">
      <c r="A3" s="8"/>
      <c r="B3" s="8"/>
      <c r="C3" s="9"/>
      <c r="D3" s="9"/>
      <c r="E3" s="9"/>
      <c r="F3" s="9"/>
      <c r="G3" s="9"/>
      <c r="H3" s="9"/>
      <c r="I3" s="9"/>
      <c r="J3" s="10" t="s">
        <v>2</v>
      </c>
      <c r="K3" s="11" t="n">
        <v>37042</v>
      </c>
      <c r="L3" s="9"/>
      <c r="M3" s="9"/>
      <c r="N3" s="9"/>
      <c r="O3" s="9"/>
      <c r="P3" s="9"/>
      <c r="Q3" s="9"/>
      <c r="R3" s="217"/>
      <c r="S3" s="217"/>
      <c r="T3" s="218"/>
      <c r="U3" s="218"/>
      <c r="V3" s="160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  <c r="IW3" s="218"/>
    </row>
    <row r="4" customFormat="false" ht="6.95" hidden="false" customHeight="true" outlineLevel="0" collapsed="false">
      <c r="A4" s="8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2"/>
      <c r="Q4" s="12"/>
      <c r="R4" s="217"/>
      <c r="S4" s="217"/>
      <c r="T4" s="218"/>
      <c r="U4" s="218"/>
      <c r="V4" s="217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  <c r="IW4" s="218"/>
    </row>
    <row r="5" customFormat="false" ht="11.25" hidden="false" customHeight="false" outlineLevel="0" collapsed="false">
      <c r="A5" s="8"/>
      <c r="B5" s="6" t="s">
        <v>3</v>
      </c>
      <c r="C5" s="6"/>
      <c r="D5" s="6"/>
      <c r="E5" s="6"/>
      <c r="F5" s="6"/>
      <c r="G5" s="6"/>
      <c r="H5" s="6"/>
      <c r="I5" s="6"/>
      <c r="J5" s="6"/>
      <c r="K5" s="8"/>
      <c r="L5" s="6"/>
      <c r="M5" s="6"/>
      <c r="N5" s="6"/>
      <c r="O5" s="6"/>
      <c r="P5" s="6"/>
      <c r="Q5" s="6"/>
      <c r="R5" s="217"/>
      <c r="S5" s="217"/>
      <c r="T5" s="218"/>
      <c r="U5" s="218"/>
      <c r="V5" s="215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  <c r="IW5" s="218"/>
    </row>
    <row r="6" customFormat="false" ht="6.95" hidden="false" customHeight="true" outlineLevel="0" collapsed="false">
      <c r="L6" s="13"/>
      <c r="P6" s="14"/>
      <c r="Q6" s="14"/>
    </row>
    <row r="7" customFormat="false" ht="11.25" hidden="false" customHeight="false" outlineLevel="0" collapsed="false">
      <c r="A7" s="7"/>
      <c r="B7" s="15" t="s">
        <v>4</v>
      </c>
      <c r="C7" s="16" t="s">
        <v>5</v>
      </c>
      <c r="D7" s="16" t="s">
        <v>5</v>
      </c>
      <c r="E7" s="16" t="s">
        <v>5</v>
      </c>
      <c r="F7" s="16" t="s">
        <v>6</v>
      </c>
      <c r="G7" s="16" t="s">
        <v>7</v>
      </c>
      <c r="H7" s="16" t="s">
        <v>5</v>
      </c>
      <c r="I7" s="16" t="s">
        <v>8</v>
      </c>
      <c r="J7" s="16" t="s">
        <v>9</v>
      </c>
      <c r="K7" s="16" t="s">
        <v>5</v>
      </c>
      <c r="L7" s="17" t="s">
        <v>10</v>
      </c>
      <c r="M7" s="16"/>
      <c r="N7" s="16"/>
      <c r="O7" s="16"/>
      <c r="P7" s="17"/>
      <c r="Q7" s="18"/>
      <c r="R7" s="219"/>
      <c r="S7" s="219"/>
      <c r="T7" s="160"/>
      <c r="U7" s="160"/>
      <c r="V7" s="22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</row>
    <row r="8" customFormat="false" ht="11.25" hidden="false" customHeight="false" outlineLevel="0" collapsed="false">
      <c r="A8" s="7"/>
      <c r="B8" s="22" t="s">
        <v>11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/>
      <c r="K8" s="17" t="s">
        <v>18</v>
      </c>
      <c r="L8" s="17"/>
      <c r="M8" s="23" t="s">
        <v>19</v>
      </c>
      <c r="N8" s="23"/>
      <c r="O8" s="23"/>
      <c r="P8" s="23"/>
      <c r="Q8" s="18"/>
      <c r="R8" s="163"/>
      <c r="S8" s="163"/>
      <c r="T8" s="160"/>
      <c r="U8" s="160"/>
      <c r="V8" s="221"/>
      <c r="W8" s="222" t="s">
        <v>20</v>
      </c>
      <c r="X8" s="223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</row>
    <row r="9" customFormat="false" ht="11.25" hidden="false" customHeight="false" outlineLevel="0" collapsed="false">
      <c r="A9" s="7"/>
      <c r="B9" s="22"/>
      <c r="C9" s="17"/>
      <c r="D9" s="17"/>
      <c r="E9" s="17"/>
      <c r="F9" s="17"/>
      <c r="G9" s="17"/>
      <c r="H9" s="17"/>
      <c r="I9" s="17" t="s">
        <v>21</v>
      </c>
      <c r="J9" s="17"/>
      <c r="K9" s="17" t="s">
        <v>22</v>
      </c>
      <c r="L9" s="17"/>
      <c r="M9" s="17" t="s">
        <v>23</v>
      </c>
      <c r="N9" s="17" t="s">
        <v>24</v>
      </c>
      <c r="O9" s="17" t="s">
        <v>25</v>
      </c>
      <c r="P9" s="27" t="s">
        <v>20</v>
      </c>
      <c r="Q9" s="28"/>
      <c r="R9" s="224" t="s">
        <v>20</v>
      </c>
      <c r="S9" s="224"/>
      <c r="T9" s="160"/>
      <c r="U9" s="160"/>
      <c r="V9" s="221" t="s">
        <v>25</v>
      </c>
      <c r="W9" s="225" t="s">
        <v>26</v>
      </c>
      <c r="X9" s="226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1.25" hidden="false" customHeight="false" outlineLevel="0" collapsed="false">
      <c r="A10" s="7"/>
      <c r="B10" s="29"/>
      <c r="C10" s="23"/>
      <c r="D10" s="23"/>
      <c r="E10" s="23"/>
      <c r="F10" s="23"/>
      <c r="G10" s="23"/>
      <c r="H10" s="23"/>
      <c r="I10" s="23" t="s">
        <v>27</v>
      </c>
      <c r="J10" s="23"/>
      <c r="K10" s="23" t="s">
        <v>28</v>
      </c>
      <c r="L10" s="23"/>
      <c r="M10" s="23" t="s">
        <v>29</v>
      </c>
      <c r="N10" s="23" t="s">
        <v>29</v>
      </c>
      <c r="O10" s="23" t="s">
        <v>29</v>
      </c>
      <c r="P10" s="23" t="s">
        <v>30</v>
      </c>
      <c r="Q10" s="31" t="s">
        <v>31</v>
      </c>
      <c r="R10" s="227" t="n">
        <v>36981</v>
      </c>
      <c r="S10" s="227" t="s">
        <v>32</v>
      </c>
      <c r="T10" s="160" t="s">
        <v>30</v>
      </c>
      <c r="U10" s="160" t="s">
        <v>31</v>
      </c>
      <c r="V10" s="228" t="s">
        <v>33</v>
      </c>
      <c r="W10" s="160" t="s">
        <v>30</v>
      </c>
      <c r="X10" s="160" t="s">
        <v>31</v>
      </c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</row>
    <row r="11" customFormat="false" ht="11.25" hidden="true" customHeight="true" outlineLevel="0" collapsed="false">
      <c r="B11" s="34" t="s">
        <v>31</v>
      </c>
      <c r="C11" s="34" t="s">
        <v>34</v>
      </c>
      <c r="D11" s="34"/>
      <c r="E11" s="34" t="s">
        <v>35</v>
      </c>
      <c r="F11" s="35" t="s">
        <v>36</v>
      </c>
      <c r="G11" s="36"/>
      <c r="H11" s="37" t="n">
        <v>2.22</v>
      </c>
      <c r="I11" s="38" t="n">
        <v>1.7525</v>
      </c>
      <c r="J11" s="37" t="n">
        <v>-0.466027397260274</v>
      </c>
      <c r="K11" s="39" t="n">
        <v>-91250</v>
      </c>
      <c r="L11" s="39" t="n">
        <v>-250</v>
      </c>
      <c r="M11" s="40" t="n">
        <v>-42525</v>
      </c>
      <c r="N11" s="41" t="n">
        <v>-42525</v>
      </c>
      <c r="O11" s="41" t="n">
        <v>0</v>
      </c>
      <c r="P11" s="42"/>
      <c r="Q11" s="43"/>
      <c r="V11" s="229"/>
    </row>
    <row r="12" customFormat="false" ht="11.25" hidden="true" customHeight="true" outlineLevel="0" collapsed="false">
      <c r="B12" s="45" t="s">
        <v>31</v>
      </c>
      <c r="C12" s="45" t="s">
        <v>37</v>
      </c>
      <c r="D12" s="45" t="n">
        <v>26125</v>
      </c>
      <c r="E12" s="45" t="s">
        <v>38</v>
      </c>
      <c r="F12" s="35" t="s">
        <v>36</v>
      </c>
      <c r="G12" s="46"/>
      <c r="H12" s="47" t="n">
        <v>2.22</v>
      </c>
      <c r="I12" s="48" t="n">
        <v>1.81916666666667</v>
      </c>
      <c r="J12" s="49" t="n">
        <v>0.368739726027397</v>
      </c>
      <c r="K12" s="50" t="n">
        <v>91250</v>
      </c>
      <c r="L12" s="51" t="n">
        <v>250</v>
      </c>
      <c r="M12" s="52" t="n">
        <v>33647.5</v>
      </c>
      <c r="N12" s="41" t="n">
        <v>33647.5</v>
      </c>
      <c r="O12" s="41" t="n">
        <v>0</v>
      </c>
      <c r="P12" s="42"/>
      <c r="Q12" s="43"/>
      <c r="V12" s="229"/>
    </row>
    <row r="13" customFormat="false" ht="11.25" hidden="true" customHeight="true" outlineLevel="0" collapsed="false">
      <c r="B13" s="45"/>
      <c r="C13" s="45"/>
      <c r="D13" s="45"/>
      <c r="E13" s="45"/>
      <c r="F13" s="46"/>
      <c r="G13" s="46"/>
      <c r="H13" s="47" t="n">
        <v>3.7775</v>
      </c>
      <c r="I13" s="38"/>
      <c r="J13" s="47" t="n">
        <v>-0.0972876712328768</v>
      </c>
      <c r="K13" s="53" t="n">
        <v>0</v>
      </c>
      <c r="L13" s="53" t="n">
        <v>0</v>
      </c>
      <c r="M13" s="54" t="n">
        <v>-8877.50000000001</v>
      </c>
      <c r="N13" s="54" t="n">
        <v>-8877.50000000001</v>
      </c>
      <c r="O13" s="54" t="n">
        <v>0</v>
      </c>
      <c r="P13" s="42"/>
      <c r="Q13" s="43"/>
      <c r="V13" s="55"/>
    </row>
    <row r="14" customFormat="false" ht="9.95" hidden="true" customHeight="true" outlineLevel="0" collapsed="false">
      <c r="B14" s="45"/>
      <c r="C14" s="45"/>
      <c r="D14" s="45"/>
      <c r="E14" s="45"/>
      <c r="F14" s="46"/>
      <c r="G14" s="46"/>
      <c r="H14" s="47" t="n">
        <v>3.8815</v>
      </c>
      <c r="I14" s="38"/>
      <c r="J14" s="47"/>
      <c r="K14" s="51"/>
      <c r="L14" s="51"/>
      <c r="M14" s="52"/>
      <c r="N14" s="41"/>
      <c r="O14" s="41"/>
      <c r="P14" s="42"/>
      <c r="Q14" s="43"/>
      <c r="V14" s="229"/>
    </row>
    <row r="15" customFormat="false" ht="11.25" hidden="true" customHeight="true" outlineLevel="0" collapsed="false">
      <c r="B15" s="45" t="s">
        <v>31</v>
      </c>
      <c r="C15" s="45" t="s">
        <v>39</v>
      </c>
      <c r="D15" s="45"/>
      <c r="E15" s="45" t="s">
        <v>35</v>
      </c>
      <c r="F15" s="35" t="s">
        <v>40</v>
      </c>
      <c r="G15" s="46"/>
      <c r="H15" s="47" t="n">
        <v>3.9925</v>
      </c>
      <c r="I15" s="48" t="n">
        <v>2.38583333333333</v>
      </c>
      <c r="J15" s="47" t="n">
        <v>0.439234972677596</v>
      </c>
      <c r="K15" s="50" t="n">
        <v>-91500</v>
      </c>
      <c r="L15" s="51" t="n">
        <v>-250</v>
      </c>
      <c r="M15" s="52" t="n">
        <v>40190</v>
      </c>
      <c r="N15" s="41" t="n">
        <v>40190</v>
      </c>
      <c r="O15" s="41" t="n">
        <v>0</v>
      </c>
      <c r="P15" s="42"/>
      <c r="Q15" s="43"/>
      <c r="V15" s="229"/>
    </row>
    <row r="16" customFormat="false" ht="11.25" hidden="true" customHeight="true" outlineLevel="0" collapsed="false">
      <c r="B16" s="45" t="s">
        <v>31</v>
      </c>
      <c r="C16" s="45" t="s">
        <v>37</v>
      </c>
      <c r="D16" s="45" t="n">
        <v>26125</v>
      </c>
      <c r="E16" s="45" t="s">
        <v>38</v>
      </c>
      <c r="F16" s="35" t="s">
        <v>40</v>
      </c>
      <c r="G16" s="46"/>
      <c r="H16" s="47" t="n">
        <v>4.0195</v>
      </c>
      <c r="I16" s="38" t="n">
        <v>2.45916666666667</v>
      </c>
      <c r="J16" s="49" t="n">
        <v>-0.515546448087432</v>
      </c>
      <c r="K16" s="51" t="n">
        <v>91500</v>
      </c>
      <c r="L16" s="51" t="n">
        <v>250</v>
      </c>
      <c r="M16" s="52" t="n">
        <v>-47172.5</v>
      </c>
      <c r="N16" s="41" t="n">
        <v>-47172.5</v>
      </c>
      <c r="O16" s="41" t="n">
        <v>0</v>
      </c>
      <c r="P16" s="42"/>
      <c r="Q16" s="43"/>
      <c r="V16" s="229"/>
    </row>
    <row r="17" customFormat="false" ht="11.25" hidden="true" customHeight="true" outlineLevel="0" collapsed="false">
      <c r="B17" s="45"/>
      <c r="C17" s="45"/>
      <c r="D17" s="45"/>
      <c r="E17" s="46"/>
      <c r="F17" s="46"/>
      <c r="G17" s="46"/>
      <c r="H17" s="47" t="n">
        <v>4.0205</v>
      </c>
      <c r="I17" s="56"/>
      <c r="J17" s="47" t="n">
        <v>-0.076311475409836</v>
      </c>
      <c r="K17" s="57" t="n">
        <v>0</v>
      </c>
      <c r="L17" s="57" t="n">
        <v>0</v>
      </c>
      <c r="M17" s="58" t="n">
        <v>-6982.49999999999</v>
      </c>
      <c r="N17" s="58" t="n">
        <v>-6982.49999999999</v>
      </c>
      <c r="O17" s="58" t="n">
        <v>0</v>
      </c>
      <c r="P17" s="42"/>
      <c r="Q17" s="43"/>
      <c r="V17" s="230"/>
    </row>
    <row r="18" customFormat="false" ht="9.95" hidden="true" customHeight="true" outlineLevel="0" collapsed="false">
      <c r="B18" s="45"/>
      <c r="C18" s="46"/>
      <c r="D18" s="45"/>
      <c r="E18" s="46"/>
      <c r="F18" s="46"/>
      <c r="G18" s="46"/>
      <c r="H18" s="47" t="n">
        <v>4.2125</v>
      </c>
      <c r="I18" s="46"/>
      <c r="J18" s="46"/>
      <c r="K18" s="46"/>
      <c r="L18" s="46"/>
      <c r="M18" s="46"/>
      <c r="N18" s="60"/>
      <c r="O18" s="60"/>
      <c r="P18" s="42"/>
      <c r="Q18" s="43"/>
      <c r="V18" s="231"/>
    </row>
    <row r="19" customFormat="false" ht="11.25" hidden="true" customHeight="true" outlineLevel="0" collapsed="false">
      <c r="B19" s="45" t="s">
        <v>31</v>
      </c>
      <c r="C19" s="45" t="s">
        <v>34</v>
      </c>
      <c r="D19" s="45"/>
      <c r="E19" s="45" t="s">
        <v>35</v>
      </c>
      <c r="F19" s="35" t="s">
        <v>41</v>
      </c>
      <c r="G19" s="46"/>
      <c r="H19" s="47" t="n">
        <v>4.3755</v>
      </c>
      <c r="I19" s="38" t="n">
        <v>2.08933333333333</v>
      </c>
      <c r="J19" s="47" t="n">
        <v>0.0852625820568929</v>
      </c>
      <c r="K19" s="51" t="n">
        <v>1142500</v>
      </c>
      <c r="L19" s="51" t="n">
        <v>2500</v>
      </c>
      <c r="M19" s="52" t="n">
        <v>-97412.5000000001</v>
      </c>
      <c r="N19" s="41" t="n">
        <v>-97412.5000000001</v>
      </c>
      <c r="O19" s="41" t="n">
        <v>0</v>
      </c>
      <c r="P19" s="42"/>
      <c r="Q19" s="43"/>
      <c r="V19" s="229"/>
    </row>
    <row r="20" customFormat="false" ht="11.25" hidden="true" customHeight="true" outlineLevel="0" collapsed="false">
      <c r="B20" s="45" t="s">
        <v>31</v>
      </c>
      <c r="C20" s="45" t="s">
        <v>42</v>
      </c>
      <c r="D20" s="45"/>
      <c r="E20" s="45" t="s">
        <v>38</v>
      </c>
      <c r="F20" s="35" t="s">
        <v>41</v>
      </c>
      <c r="G20" s="46"/>
      <c r="H20" s="47" t="n">
        <v>4.4435</v>
      </c>
      <c r="I20" s="38" t="n">
        <v>2.036</v>
      </c>
      <c r="J20" s="49" t="n">
        <v>-0.0328993435448579</v>
      </c>
      <c r="K20" s="51" t="n">
        <v>-1142500</v>
      </c>
      <c r="L20" s="51" t="n">
        <v>-2500</v>
      </c>
      <c r="M20" s="52" t="n">
        <v>37587.5000000001</v>
      </c>
      <c r="N20" s="41" t="n">
        <v>37587.5000000001</v>
      </c>
      <c r="O20" s="41" t="n">
        <v>0</v>
      </c>
      <c r="P20" s="42"/>
      <c r="Q20" s="43"/>
      <c r="V20" s="229"/>
    </row>
    <row r="21" customFormat="false" ht="11.25" hidden="true" customHeight="true" outlineLevel="0" collapsed="false">
      <c r="B21" s="45"/>
      <c r="C21" s="46"/>
      <c r="D21" s="45"/>
      <c r="E21" s="46"/>
      <c r="F21" s="46"/>
      <c r="G21" s="46"/>
      <c r="H21" s="46"/>
      <c r="I21" s="46"/>
      <c r="J21" s="47" t="n">
        <v>0.052363238512035</v>
      </c>
      <c r="K21" s="57" t="n">
        <v>0</v>
      </c>
      <c r="L21" s="57" t="n">
        <v>0</v>
      </c>
      <c r="M21" s="58" t="n">
        <v>-59825</v>
      </c>
      <c r="N21" s="58" t="n">
        <v>-59825</v>
      </c>
      <c r="O21" s="58" t="n">
        <v>0</v>
      </c>
      <c r="P21" s="42"/>
      <c r="Q21" s="43"/>
      <c r="V21" s="230"/>
    </row>
    <row r="22" customFormat="false" ht="9.95" hidden="true" customHeight="true" outlineLevel="0" collapsed="false">
      <c r="B22" s="45"/>
      <c r="C22" s="46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60"/>
      <c r="O22" s="60"/>
      <c r="P22" s="42"/>
      <c r="Q22" s="43"/>
      <c r="V22" s="231"/>
    </row>
    <row r="23" customFormat="false" ht="11.25" hidden="true" customHeight="true" outlineLevel="0" collapsed="false">
      <c r="B23" s="45" t="s">
        <v>31</v>
      </c>
      <c r="C23" s="45" t="s">
        <v>39</v>
      </c>
      <c r="D23" s="45"/>
      <c r="E23" s="45" t="s">
        <v>35</v>
      </c>
      <c r="F23" s="35" t="s">
        <v>41</v>
      </c>
      <c r="G23" s="46"/>
      <c r="H23" s="38" t="n">
        <v>2.1</v>
      </c>
      <c r="I23" s="38" t="n">
        <v>2.08933333333333</v>
      </c>
      <c r="J23" s="47" t="n">
        <v>-0.00973741794310731</v>
      </c>
      <c r="K23" s="51" t="n">
        <v>1142500</v>
      </c>
      <c r="L23" s="51" t="n">
        <v>2500</v>
      </c>
      <c r="M23" s="52" t="n">
        <v>11125.0000000001</v>
      </c>
      <c r="N23" s="41" t="n">
        <v>11125.0000000001</v>
      </c>
      <c r="O23" s="41" t="n">
        <v>0</v>
      </c>
      <c r="P23" s="42"/>
      <c r="Q23" s="43"/>
      <c r="V23" s="229"/>
    </row>
    <row r="24" customFormat="false" ht="11.25" hidden="true" customHeight="true" outlineLevel="0" collapsed="false">
      <c r="B24" s="45" t="s">
        <v>31</v>
      </c>
      <c r="C24" s="45" t="s">
        <v>42</v>
      </c>
      <c r="D24" s="45"/>
      <c r="E24" s="45" t="s">
        <v>38</v>
      </c>
      <c r="F24" s="35" t="s">
        <v>41</v>
      </c>
      <c r="G24" s="46"/>
      <c r="H24" s="38" t="n">
        <v>2.1</v>
      </c>
      <c r="I24" s="38" t="n">
        <v>2.036</v>
      </c>
      <c r="J24" s="49" t="n">
        <v>0.0621006564551424</v>
      </c>
      <c r="K24" s="62" t="n">
        <v>-1142500</v>
      </c>
      <c r="L24" s="62" t="n">
        <v>-2500</v>
      </c>
      <c r="M24" s="63" t="n">
        <v>-70950.0000000002</v>
      </c>
      <c r="N24" s="64" t="n">
        <v>-70950.0000000002</v>
      </c>
      <c r="O24" s="64" t="n">
        <v>0</v>
      </c>
      <c r="P24" s="42"/>
      <c r="Q24" s="43"/>
      <c r="V24" s="229"/>
    </row>
    <row r="25" customFormat="false" ht="11.25" hidden="true" customHeight="true" outlineLevel="0" collapsed="false">
      <c r="B25" s="45"/>
      <c r="C25" s="45"/>
      <c r="D25" s="45"/>
      <c r="E25" s="45"/>
      <c r="F25" s="46"/>
      <c r="G25" s="46"/>
      <c r="H25" s="38"/>
      <c r="I25" s="38"/>
      <c r="J25" s="47" t="n">
        <v>0.0523632385120351</v>
      </c>
      <c r="K25" s="51" t="n">
        <v>0</v>
      </c>
      <c r="L25" s="51" t="n">
        <v>0</v>
      </c>
      <c r="M25" s="65" t="n">
        <v>-59825.0000000001</v>
      </c>
      <c r="N25" s="65" t="n">
        <v>-59825.0000000001</v>
      </c>
      <c r="O25" s="65" t="n">
        <v>0</v>
      </c>
      <c r="P25" s="42"/>
      <c r="Q25" s="43"/>
      <c r="V25" s="230"/>
    </row>
    <row r="26" customFormat="false" ht="9.95" hidden="true" customHeight="true" outlineLevel="0" collapsed="false">
      <c r="B26" s="45"/>
      <c r="C26" s="45"/>
      <c r="D26" s="45"/>
      <c r="E26" s="45"/>
      <c r="F26" s="46"/>
      <c r="G26" s="46"/>
      <c r="H26" s="38"/>
      <c r="I26" s="38"/>
      <c r="J26" s="38"/>
      <c r="K26" s="51"/>
      <c r="L26" s="51"/>
      <c r="M26" s="52"/>
      <c r="N26" s="41"/>
      <c r="O26" s="41"/>
      <c r="P26" s="42"/>
      <c r="Q26" s="43"/>
      <c r="V26" s="229"/>
    </row>
    <row r="27" customFormat="false" ht="11.25" hidden="true" customHeight="true" outlineLevel="0" collapsed="false">
      <c r="B27" s="45" t="s">
        <v>31</v>
      </c>
      <c r="C27" s="45" t="s">
        <v>39</v>
      </c>
      <c r="D27" s="45"/>
      <c r="E27" s="45" t="s">
        <v>35</v>
      </c>
      <c r="F27" s="35" t="s">
        <v>43</v>
      </c>
      <c r="G27" s="46"/>
      <c r="H27" s="38" t="n">
        <v>2.01</v>
      </c>
      <c r="I27" s="38" t="n">
        <v>2.3775</v>
      </c>
      <c r="J27" s="47" t="n">
        <v>0.365061224489796</v>
      </c>
      <c r="K27" s="51" t="n">
        <v>2450000</v>
      </c>
      <c r="L27" s="51" t="n">
        <v>10000</v>
      </c>
      <c r="M27" s="52" t="n">
        <v>-894400.000000001</v>
      </c>
      <c r="N27" s="41" t="n">
        <v>-894400.000000001</v>
      </c>
      <c r="O27" s="41" t="n">
        <v>0</v>
      </c>
      <c r="P27" s="42"/>
      <c r="Q27" s="43"/>
      <c r="V27" s="229"/>
    </row>
    <row r="28" customFormat="false" ht="11.25" hidden="true" customHeight="true" outlineLevel="0" collapsed="false">
      <c r="B28" s="45" t="s">
        <v>31</v>
      </c>
      <c r="C28" s="45" t="s">
        <v>42</v>
      </c>
      <c r="D28" s="45"/>
      <c r="E28" s="45" t="s">
        <v>38</v>
      </c>
      <c r="F28" s="35" t="s">
        <v>43</v>
      </c>
      <c r="G28" s="46"/>
      <c r="H28" s="38" t="n">
        <v>2.01</v>
      </c>
      <c r="I28" s="38" t="n">
        <v>2.2675</v>
      </c>
      <c r="J28" s="49" t="n">
        <v>-0.258326530612245</v>
      </c>
      <c r="K28" s="51" t="n">
        <v>-2450000</v>
      </c>
      <c r="L28" s="51" t="n">
        <v>-10000</v>
      </c>
      <c r="M28" s="52" t="n">
        <v>632900</v>
      </c>
      <c r="N28" s="41" t="n">
        <v>632900</v>
      </c>
      <c r="O28" s="41" t="n">
        <v>0</v>
      </c>
      <c r="P28" s="42"/>
      <c r="Q28" s="43"/>
      <c r="V28" s="229"/>
    </row>
    <row r="29" customFormat="false" ht="11.25" hidden="true" customHeight="true" outlineLevel="0" collapsed="false">
      <c r="B29" s="45"/>
      <c r="C29" s="46"/>
      <c r="D29" s="45"/>
      <c r="E29" s="46"/>
      <c r="F29" s="46"/>
      <c r="G29" s="46"/>
      <c r="H29" s="46"/>
      <c r="I29" s="46"/>
      <c r="J29" s="47" t="n">
        <v>0.106734693877551</v>
      </c>
      <c r="K29" s="57" t="n">
        <v>0</v>
      </c>
      <c r="L29" s="57" t="n">
        <v>0</v>
      </c>
      <c r="M29" s="58" t="n">
        <v>-261500</v>
      </c>
      <c r="N29" s="58" t="n">
        <v>-261500</v>
      </c>
      <c r="O29" s="58" t="n">
        <v>0</v>
      </c>
      <c r="P29" s="42"/>
      <c r="Q29" s="43"/>
      <c r="V29" s="230"/>
    </row>
    <row r="30" customFormat="false" ht="9.95" hidden="true" customHeight="true" outlineLevel="0" collapsed="false">
      <c r="B30" s="45"/>
      <c r="C30" s="46"/>
      <c r="D30" s="45"/>
      <c r="E30" s="46"/>
      <c r="F30" s="46"/>
      <c r="G30" s="46"/>
      <c r="H30" s="46" t="n">
        <v>3.7775</v>
      </c>
      <c r="I30" s="46"/>
      <c r="J30" s="46"/>
      <c r="K30" s="56"/>
      <c r="L30" s="56"/>
      <c r="M30" s="65"/>
      <c r="N30" s="66"/>
      <c r="O30" s="66"/>
      <c r="P30" s="42"/>
      <c r="Q30" s="43"/>
      <c r="V30" s="232"/>
    </row>
    <row r="31" customFormat="false" ht="11.25" hidden="true" customHeight="true" outlineLevel="0" collapsed="false">
      <c r="B31" s="45" t="s">
        <v>31</v>
      </c>
      <c r="C31" s="45" t="s">
        <v>44</v>
      </c>
      <c r="D31" s="45"/>
      <c r="E31" s="45" t="s">
        <v>45</v>
      </c>
      <c r="F31" s="35" t="s">
        <v>46</v>
      </c>
      <c r="G31" s="45"/>
      <c r="H31" s="46" t="n">
        <v>3.8815</v>
      </c>
      <c r="I31" s="38" t="n">
        <v>3.7775</v>
      </c>
      <c r="J31" s="47" t="n">
        <v>1.4177868852459</v>
      </c>
      <c r="K31" s="68" t="n">
        <v>5490000</v>
      </c>
      <c r="L31" s="68" t="n">
        <v>15000</v>
      </c>
      <c r="M31" s="52" t="n">
        <v>-7783650</v>
      </c>
      <c r="N31" s="41" t="n">
        <v>-7783650</v>
      </c>
      <c r="O31" s="41" t="n">
        <v>0</v>
      </c>
      <c r="P31" s="42"/>
      <c r="Q31" s="43"/>
      <c r="V31" s="229"/>
    </row>
    <row r="32" customFormat="false" ht="11.25" hidden="true" customHeight="true" outlineLevel="0" collapsed="false">
      <c r="B32" s="45" t="s">
        <v>31</v>
      </c>
      <c r="C32" s="45" t="s">
        <v>42</v>
      </c>
      <c r="D32" s="45"/>
      <c r="E32" s="45" t="s">
        <v>47</v>
      </c>
      <c r="F32" s="35" t="s">
        <v>46</v>
      </c>
      <c r="G32" s="45"/>
      <c r="H32" s="46" t="n">
        <v>3.9925</v>
      </c>
      <c r="I32" s="38" t="n">
        <v>3.7775</v>
      </c>
      <c r="J32" s="49" t="n">
        <v>-1.4177868852459</v>
      </c>
      <c r="K32" s="69" t="n">
        <v>-5490000</v>
      </c>
      <c r="L32" s="69" t="n">
        <v>-15000</v>
      </c>
      <c r="M32" s="63" t="n">
        <v>7783650</v>
      </c>
      <c r="N32" s="64" t="n">
        <v>7783650</v>
      </c>
      <c r="O32" s="64" t="n">
        <v>0</v>
      </c>
      <c r="P32" s="42"/>
      <c r="Q32" s="43"/>
      <c r="V32" s="229"/>
    </row>
    <row r="33" customFormat="false" ht="11.25" hidden="true" customHeight="true" outlineLevel="0" collapsed="false">
      <c r="B33" s="45"/>
      <c r="C33" s="46"/>
      <c r="D33" s="45"/>
      <c r="E33" s="46"/>
      <c r="F33" s="46"/>
      <c r="G33" s="45"/>
      <c r="H33" s="46" t="n">
        <v>4.0195</v>
      </c>
      <c r="I33" s="46"/>
      <c r="J33" s="70" t="n">
        <v>0</v>
      </c>
      <c r="K33" s="56" t="n">
        <v>0</v>
      </c>
      <c r="L33" s="56" t="n">
        <v>0</v>
      </c>
      <c r="M33" s="65" t="n">
        <v>0</v>
      </c>
      <c r="N33" s="65" t="n">
        <v>0</v>
      </c>
      <c r="O33" s="65" t="n">
        <v>0</v>
      </c>
      <c r="P33" s="42"/>
      <c r="Q33" s="43"/>
      <c r="V33" s="230"/>
    </row>
    <row r="34" customFormat="false" ht="9.95" hidden="false" customHeight="true" outlineLevel="0" collapsed="false">
      <c r="B34" s="45"/>
      <c r="C34" s="46"/>
      <c r="D34" s="45"/>
      <c r="E34" s="46"/>
      <c r="F34" s="46"/>
      <c r="G34" s="45"/>
      <c r="H34" s="46"/>
      <c r="I34" s="46"/>
      <c r="J34" s="46"/>
      <c r="K34" s="46"/>
      <c r="L34" s="46"/>
      <c r="M34" s="46"/>
      <c r="N34" s="46"/>
      <c r="O34" s="46"/>
      <c r="P34" s="71"/>
      <c r="Q34" s="72"/>
      <c r="R34" s="233"/>
      <c r="S34" s="233"/>
      <c r="V34" s="178"/>
      <c r="Y34" s="98"/>
    </row>
    <row r="35" customFormat="false" ht="11.25" hidden="true" customHeight="true" outlineLevel="0" collapsed="false">
      <c r="B35" s="45" t="s">
        <v>30</v>
      </c>
      <c r="C35" s="45" t="s">
        <v>48</v>
      </c>
      <c r="D35" s="45" t="n">
        <v>25834</v>
      </c>
      <c r="E35" s="45" t="s">
        <v>38</v>
      </c>
      <c r="F35" s="35" t="s">
        <v>49</v>
      </c>
      <c r="G35" s="45"/>
      <c r="H35" s="46" t="n">
        <v>4.2125</v>
      </c>
      <c r="I35" s="38" t="n">
        <v>3.7602</v>
      </c>
      <c r="J35" s="47" t="n">
        <v>-0.466133333333334</v>
      </c>
      <c r="K35" s="51" t="n">
        <v>15000000</v>
      </c>
      <c r="L35" s="74" t="n">
        <v>98039.2156862745</v>
      </c>
      <c r="M35" s="52" t="n">
        <v>-6992000.00000001</v>
      </c>
      <c r="N35" s="75" t="n">
        <v>0</v>
      </c>
      <c r="O35" s="52" t="n">
        <v>-6992000.00000001</v>
      </c>
      <c r="P35" s="71"/>
      <c r="Q35" s="43"/>
      <c r="R35" s="234"/>
      <c r="S35" s="234"/>
      <c r="V35" s="104"/>
      <c r="Y35" s="98" t="s">
        <v>30</v>
      </c>
    </row>
    <row r="36" customFormat="false" ht="11.25" hidden="true" customHeight="true" outlineLevel="0" collapsed="false">
      <c r="B36" s="45" t="s">
        <v>30</v>
      </c>
      <c r="C36" s="45" t="s">
        <v>48</v>
      </c>
      <c r="D36" s="45"/>
      <c r="E36" s="45" t="s">
        <v>35</v>
      </c>
      <c r="F36" s="35" t="s">
        <v>49</v>
      </c>
      <c r="G36" s="45"/>
      <c r="H36" s="46" t="n">
        <v>4.3755</v>
      </c>
      <c r="I36" s="38" t="n">
        <v>3.7602</v>
      </c>
      <c r="J36" s="77" t="n">
        <v>0.466133333333334</v>
      </c>
      <c r="K36" s="62" t="n">
        <v>15000000</v>
      </c>
      <c r="L36" s="78" t="n">
        <v>98039.2156862745</v>
      </c>
      <c r="M36" s="63" t="n">
        <v>6992000.00000001</v>
      </c>
      <c r="N36" s="79" t="n">
        <v>0</v>
      </c>
      <c r="O36" s="63" t="n">
        <v>6992000.00000001</v>
      </c>
      <c r="P36" s="71"/>
      <c r="Q36" s="43"/>
      <c r="R36" s="234"/>
      <c r="S36" s="234"/>
      <c r="V36" s="115"/>
      <c r="Y36" s="98" t="s">
        <v>30</v>
      </c>
    </row>
    <row r="37" customFormat="false" ht="11.25" hidden="true" customHeight="true" outlineLevel="0" collapsed="false">
      <c r="B37" s="45"/>
      <c r="C37" s="45"/>
      <c r="D37" s="45"/>
      <c r="E37" s="45"/>
      <c r="F37" s="35"/>
      <c r="G37" s="45"/>
      <c r="H37" s="46" t="n">
        <v>4.4435</v>
      </c>
      <c r="I37" s="38"/>
      <c r="J37" s="47" t="n">
        <v>-0.932266666666668</v>
      </c>
      <c r="K37" s="51" t="n">
        <v>30000000</v>
      </c>
      <c r="L37" s="51" t="n">
        <v>196078.431372549</v>
      </c>
      <c r="M37" s="81" t="n">
        <v>0</v>
      </c>
      <c r="N37" s="82" t="n">
        <v>0</v>
      </c>
      <c r="O37" s="81" t="n">
        <v>0</v>
      </c>
      <c r="P37" s="71"/>
      <c r="Q37" s="43"/>
      <c r="R37" s="234"/>
      <c r="S37" s="234"/>
      <c r="V37" s="124"/>
      <c r="Y37" s="98"/>
    </row>
    <row r="38" customFormat="false" ht="11.25" hidden="true" customHeight="true" outlineLevel="0" collapsed="false">
      <c r="B38" s="45"/>
      <c r="C38" s="45"/>
      <c r="D38" s="45"/>
      <c r="E38" s="45"/>
      <c r="F38" s="35"/>
      <c r="G38" s="45"/>
      <c r="H38" s="38"/>
      <c r="I38" s="38"/>
      <c r="J38" s="47"/>
      <c r="K38" s="51"/>
      <c r="L38" s="74"/>
      <c r="M38" s="81"/>
      <c r="N38" s="82"/>
      <c r="O38" s="81"/>
      <c r="P38" s="71"/>
      <c r="Q38" s="43"/>
      <c r="R38" s="234"/>
      <c r="S38" s="234"/>
      <c r="V38" s="124"/>
      <c r="Y38" s="98"/>
    </row>
    <row r="39" customFormat="false" ht="11.25" hidden="true" customHeight="true" outlineLevel="0" collapsed="false">
      <c r="B39" s="45" t="s">
        <v>30</v>
      </c>
      <c r="C39" s="45" t="s">
        <v>50</v>
      </c>
      <c r="D39" s="45" t="n">
        <v>105706</v>
      </c>
      <c r="E39" s="45" t="s">
        <v>38</v>
      </c>
      <c r="F39" s="35" t="s">
        <v>51</v>
      </c>
      <c r="G39" s="35"/>
      <c r="H39" s="38"/>
      <c r="I39" s="47" t="n">
        <v>0</v>
      </c>
      <c r="J39" s="47" t="n">
        <v>2.55826086956522</v>
      </c>
      <c r="K39" s="51" t="n">
        <v>-230000</v>
      </c>
      <c r="L39" s="74" t="n">
        <v>-1263.73626373626</v>
      </c>
      <c r="M39" s="52" t="n">
        <v>-588400</v>
      </c>
      <c r="N39" s="75" t="n">
        <v>-588400</v>
      </c>
      <c r="O39" s="52" t="n">
        <v>0</v>
      </c>
      <c r="P39" s="71"/>
      <c r="Q39" s="43"/>
      <c r="R39" s="234"/>
      <c r="S39" s="234"/>
      <c r="V39" s="104"/>
      <c r="Y39" s="98" t="s">
        <v>30</v>
      </c>
    </row>
    <row r="40" customFormat="false" ht="11.25" hidden="true" customHeight="true" outlineLevel="0" collapsed="false">
      <c r="B40" s="45" t="s">
        <v>30</v>
      </c>
      <c r="C40" s="45" t="s">
        <v>50</v>
      </c>
      <c r="D40" s="45" t="n">
        <v>105706</v>
      </c>
      <c r="E40" s="45" t="s">
        <v>38</v>
      </c>
      <c r="F40" s="35" t="s">
        <v>51</v>
      </c>
      <c r="G40" s="35"/>
      <c r="H40" s="38"/>
      <c r="I40" s="38" t="n">
        <v>0</v>
      </c>
      <c r="J40" s="77" t="n">
        <v>2.63973913043478</v>
      </c>
      <c r="K40" s="62" t="n">
        <v>230000</v>
      </c>
      <c r="L40" s="62" t="n">
        <v>1263.73626373626</v>
      </c>
      <c r="M40" s="63" t="n">
        <v>607140</v>
      </c>
      <c r="N40" s="79" t="n">
        <v>607140</v>
      </c>
      <c r="O40" s="63" t="n">
        <v>0</v>
      </c>
      <c r="P40" s="71"/>
      <c r="Q40" s="43"/>
      <c r="R40" s="234"/>
      <c r="S40" s="234"/>
      <c r="V40" s="115"/>
      <c r="Y40" s="98" t="s">
        <v>30</v>
      </c>
    </row>
    <row r="41" customFormat="false" ht="11.25" hidden="true" customHeight="true" outlineLevel="0" collapsed="false">
      <c r="B41" s="45"/>
      <c r="C41" s="45"/>
      <c r="D41" s="45"/>
      <c r="E41" s="45"/>
      <c r="F41" s="35"/>
      <c r="G41" s="35"/>
      <c r="H41" s="38"/>
      <c r="I41" s="38"/>
      <c r="J41" s="47" t="n">
        <v>-0.0814782608695652</v>
      </c>
      <c r="K41" s="51" t="n">
        <v>0</v>
      </c>
      <c r="L41" s="51" t="n">
        <v>0</v>
      </c>
      <c r="M41" s="52" t="n">
        <v>18740</v>
      </c>
      <c r="N41" s="75" t="n">
        <v>18740</v>
      </c>
      <c r="O41" s="52" t="n">
        <v>0</v>
      </c>
      <c r="P41" s="71"/>
      <c r="Q41" s="43"/>
      <c r="R41" s="234"/>
      <c r="S41" s="234"/>
      <c r="V41" s="104"/>
      <c r="Y41" s="98"/>
    </row>
    <row r="42" customFormat="false" ht="11.25" hidden="true" customHeight="true" outlineLevel="0" collapsed="false">
      <c r="B42" s="45"/>
      <c r="C42" s="45"/>
      <c r="D42" s="45"/>
      <c r="E42" s="45"/>
      <c r="F42" s="35"/>
      <c r="G42" s="35"/>
      <c r="H42" s="38"/>
      <c r="I42" s="38"/>
      <c r="J42" s="47"/>
      <c r="K42" s="51"/>
      <c r="L42" s="74"/>
      <c r="M42" s="52"/>
      <c r="N42" s="75"/>
      <c r="O42" s="52"/>
      <c r="P42" s="71"/>
      <c r="Q42" s="43"/>
      <c r="R42" s="234"/>
      <c r="S42" s="234"/>
      <c r="V42" s="104"/>
      <c r="Y42" s="98"/>
    </row>
    <row r="43" customFormat="false" ht="12.75" hidden="false" customHeight="false" outlineLevel="0" collapsed="false">
      <c r="A43" s="235"/>
      <c r="B43" s="236" t="s">
        <v>31</v>
      </c>
      <c r="C43" s="236" t="s">
        <v>52</v>
      </c>
      <c r="D43" s="236" t="s">
        <v>53</v>
      </c>
      <c r="E43" s="236" t="s">
        <v>45</v>
      </c>
      <c r="F43" s="237" t="s">
        <v>54</v>
      </c>
      <c r="G43" s="238" t="n">
        <v>36664</v>
      </c>
      <c r="H43" s="239" t="n">
        <v>3.23</v>
      </c>
      <c r="I43" s="239" t="n">
        <v>5.00516666666667</v>
      </c>
      <c r="J43" s="240" t="n">
        <v>1.76899315068493</v>
      </c>
      <c r="K43" s="241" t="n">
        <v>1825000</v>
      </c>
      <c r="L43" s="241" t="n">
        <v>5000</v>
      </c>
      <c r="M43" s="242" t="n">
        <v>-3228412.5</v>
      </c>
      <c r="N43" s="243" t="n">
        <v>-2364050</v>
      </c>
      <c r="O43" s="243" t="n">
        <v>-864362.5</v>
      </c>
      <c r="P43" s="244"/>
      <c r="Q43" s="245" t="n">
        <v>864362.5</v>
      </c>
      <c r="R43" s="119" t="n">
        <v>2836735</v>
      </c>
      <c r="S43" s="119" t="n">
        <v>-1972372.5</v>
      </c>
      <c r="T43" s="88"/>
      <c r="U43" s="88" t="n">
        <v>-1972372.5</v>
      </c>
      <c r="V43" s="246" t="n">
        <v>-864362.5</v>
      </c>
      <c r="W43" s="88"/>
      <c r="X43" s="88" t="n">
        <v>864362.5</v>
      </c>
      <c r="Y43" s="98" t="s">
        <v>31</v>
      </c>
      <c r="Z43" s="89"/>
    </row>
    <row r="44" customFormat="false" ht="11.25" hidden="false" customHeight="false" outlineLevel="0" collapsed="false">
      <c r="A44" s="235"/>
      <c r="B44" s="236" t="s">
        <v>31</v>
      </c>
      <c r="C44" s="236" t="s">
        <v>39</v>
      </c>
      <c r="D44" s="236"/>
      <c r="E44" s="236" t="s">
        <v>55</v>
      </c>
      <c r="F44" s="237" t="s">
        <v>54</v>
      </c>
      <c r="G44" s="236"/>
      <c r="H44" s="247" t="n">
        <v>3.23</v>
      </c>
      <c r="I44" s="247" t="n">
        <v>5.01016666666667</v>
      </c>
      <c r="J44" s="248" t="n">
        <v>-1.77402739726027</v>
      </c>
      <c r="K44" s="249" t="n">
        <v>-1825000</v>
      </c>
      <c r="L44" s="249" t="n">
        <v>-5000</v>
      </c>
      <c r="M44" s="250" t="n">
        <v>3237600</v>
      </c>
      <c r="N44" s="251" t="n">
        <v>2364050</v>
      </c>
      <c r="O44" s="251" t="n">
        <v>873550</v>
      </c>
      <c r="P44" s="252"/>
      <c r="Q44" s="253"/>
      <c r="R44" s="234"/>
      <c r="S44" s="234"/>
      <c r="T44" s="88"/>
      <c r="U44" s="88"/>
      <c r="V44" s="254"/>
      <c r="W44" s="88"/>
      <c r="X44" s="88"/>
      <c r="Y44" s="98" t="s">
        <v>31</v>
      </c>
      <c r="Z44" s="93"/>
    </row>
    <row r="45" customFormat="false" ht="12.75" hidden="false" customHeight="false" outlineLevel="0" collapsed="false">
      <c r="A45" s="235"/>
      <c r="B45" s="236"/>
      <c r="C45" s="236"/>
      <c r="D45" s="236"/>
      <c r="E45" s="236"/>
      <c r="F45" s="237"/>
      <c r="G45" s="238"/>
      <c r="H45" s="239"/>
      <c r="I45" s="239"/>
      <c r="J45" s="240" t="n">
        <v>-0.00503424657534257</v>
      </c>
      <c r="K45" s="241"/>
      <c r="L45" s="241"/>
      <c r="M45" s="255"/>
      <c r="N45" s="255"/>
      <c r="O45" s="255" t="n">
        <v>9187.49999999988</v>
      </c>
      <c r="P45" s="244"/>
      <c r="Q45" s="245"/>
      <c r="R45" s="119"/>
      <c r="S45" s="119"/>
      <c r="T45" s="88"/>
      <c r="U45" s="88"/>
      <c r="V45" s="124" t="n">
        <v>-864362.5</v>
      </c>
      <c r="W45" s="88"/>
      <c r="X45" s="88"/>
      <c r="Y45" s="98"/>
      <c r="Z45" s="89"/>
    </row>
    <row r="46" customFormat="false" ht="8.1" hidden="false" customHeight="true" outlineLevel="0" collapsed="false">
      <c r="A46" s="235"/>
      <c r="B46" s="236"/>
      <c r="C46" s="256"/>
      <c r="D46" s="236"/>
      <c r="E46" s="256"/>
      <c r="F46" s="256"/>
      <c r="G46" s="236"/>
      <c r="H46" s="256"/>
      <c r="I46" s="256"/>
      <c r="J46" s="240"/>
      <c r="K46" s="257"/>
      <c r="L46" s="258"/>
      <c r="M46" s="259"/>
      <c r="N46" s="259"/>
      <c r="O46" s="259"/>
      <c r="P46" s="252"/>
      <c r="Q46" s="253"/>
      <c r="R46" s="234"/>
      <c r="S46" s="234"/>
      <c r="T46" s="88"/>
      <c r="U46" s="88"/>
      <c r="V46" s="260"/>
      <c r="W46" s="88"/>
      <c r="X46" s="88"/>
      <c r="Y46" s="98"/>
      <c r="Z46" s="93"/>
    </row>
    <row r="47" customFormat="false" ht="11.25" hidden="false" customHeight="false" outlineLevel="0" collapsed="false">
      <c r="A47" s="235"/>
      <c r="B47" s="236" t="s">
        <v>31</v>
      </c>
      <c r="C47" s="236" t="s">
        <v>52</v>
      </c>
      <c r="D47" s="236" t="s">
        <v>56</v>
      </c>
      <c r="E47" s="236" t="s">
        <v>45</v>
      </c>
      <c r="F47" s="237" t="s">
        <v>54</v>
      </c>
      <c r="G47" s="238" t="n">
        <v>36676</v>
      </c>
      <c r="H47" s="239" t="n">
        <v>3.74</v>
      </c>
      <c r="I47" s="239" t="n">
        <v>5.00516666666667</v>
      </c>
      <c r="J47" s="240" t="n">
        <v>0.1</v>
      </c>
      <c r="K47" s="241" t="n">
        <v>1825000</v>
      </c>
      <c r="L47" s="241" t="n">
        <v>5000</v>
      </c>
      <c r="M47" s="242" t="n">
        <v>-2297662.5</v>
      </c>
      <c r="N47" s="243" t="n">
        <v>-1979000</v>
      </c>
      <c r="O47" s="243" t="n">
        <v>-318662.5</v>
      </c>
      <c r="P47" s="244"/>
      <c r="Q47" s="245" t="n">
        <v>318662.5</v>
      </c>
      <c r="R47" s="119" t="n">
        <v>2135485</v>
      </c>
      <c r="S47" s="119" t="n">
        <v>-1816822.5</v>
      </c>
      <c r="T47" s="88"/>
      <c r="U47" s="88" t="n">
        <v>-1816822.5</v>
      </c>
      <c r="V47" s="246" t="n">
        <v>-318662.5</v>
      </c>
      <c r="W47" s="88"/>
      <c r="X47" s="88" t="n">
        <v>318662.5</v>
      </c>
      <c r="Y47" s="98" t="s">
        <v>31</v>
      </c>
      <c r="Z47" s="93"/>
    </row>
    <row r="48" customFormat="false" ht="11.25" hidden="false" customHeight="false" outlineLevel="0" collapsed="false">
      <c r="A48" s="235"/>
      <c r="B48" s="236" t="s">
        <v>31</v>
      </c>
      <c r="C48" s="236" t="s">
        <v>57</v>
      </c>
      <c r="D48" s="236"/>
      <c r="E48" s="236" t="s">
        <v>55</v>
      </c>
      <c r="F48" s="237" t="s">
        <v>54</v>
      </c>
      <c r="G48" s="236"/>
      <c r="H48" s="247" t="n">
        <v>3.74</v>
      </c>
      <c r="I48" s="247" t="n">
        <v>5.01016666666667</v>
      </c>
      <c r="J48" s="248" t="n">
        <v>-1.26402739726027</v>
      </c>
      <c r="K48" s="249" t="n">
        <v>-1825000</v>
      </c>
      <c r="L48" s="249" t="n">
        <v>-5000</v>
      </c>
      <c r="M48" s="250" t="n">
        <v>2306850</v>
      </c>
      <c r="N48" s="251" t="n">
        <v>1979000</v>
      </c>
      <c r="O48" s="251" t="n">
        <v>327850</v>
      </c>
      <c r="P48" s="252"/>
      <c r="Q48" s="253"/>
      <c r="R48" s="234"/>
      <c r="S48" s="234"/>
      <c r="T48" s="88"/>
      <c r="U48" s="88" t="n">
        <v>0</v>
      </c>
      <c r="V48" s="254"/>
      <c r="W48" s="88"/>
      <c r="X48" s="88" t="n">
        <v>0</v>
      </c>
      <c r="Y48" s="98" t="s">
        <v>31</v>
      </c>
      <c r="Z48" s="93"/>
    </row>
    <row r="49" customFormat="false" ht="11.25" hidden="false" customHeight="false" outlineLevel="0" collapsed="false">
      <c r="A49" s="235"/>
      <c r="B49" s="236"/>
      <c r="C49" s="256"/>
      <c r="D49" s="236"/>
      <c r="E49" s="256"/>
      <c r="F49" s="256"/>
      <c r="G49" s="236"/>
      <c r="H49" s="256"/>
      <c r="I49" s="256"/>
      <c r="J49" s="240" t="n">
        <v>-1.16402739726027</v>
      </c>
      <c r="K49" s="257" t="n">
        <v>0</v>
      </c>
      <c r="L49" s="257" t="n">
        <v>0</v>
      </c>
      <c r="M49" s="255" t="n">
        <v>9187.5</v>
      </c>
      <c r="N49" s="255" t="n">
        <v>0</v>
      </c>
      <c r="O49" s="255" t="n">
        <v>9187.49999999994</v>
      </c>
      <c r="P49" s="252"/>
      <c r="Q49" s="253"/>
      <c r="R49" s="234"/>
      <c r="S49" s="234"/>
      <c r="T49" s="88"/>
      <c r="U49" s="88"/>
      <c r="V49" s="124" t="n">
        <v>-318662.5</v>
      </c>
      <c r="W49" s="88"/>
      <c r="X49" s="88"/>
      <c r="Y49" s="98"/>
      <c r="Z49" s="93"/>
    </row>
    <row r="50" customFormat="false" ht="8.1" hidden="false" customHeight="true" outlineLevel="0" collapsed="false">
      <c r="A50" s="235"/>
      <c r="B50" s="236"/>
      <c r="C50" s="256"/>
      <c r="D50" s="236"/>
      <c r="E50" s="256"/>
      <c r="F50" s="256"/>
      <c r="G50" s="236"/>
      <c r="H50" s="256"/>
      <c r="I50" s="256"/>
      <c r="J50" s="240"/>
      <c r="K50" s="257"/>
      <c r="L50" s="258"/>
      <c r="M50" s="255"/>
      <c r="N50" s="255"/>
      <c r="O50" s="255"/>
      <c r="P50" s="252"/>
      <c r="Q50" s="253"/>
      <c r="R50" s="234"/>
      <c r="S50" s="234"/>
      <c r="T50" s="88"/>
      <c r="U50" s="88"/>
      <c r="V50" s="124"/>
      <c r="W50" s="88"/>
      <c r="X50" s="88"/>
      <c r="Y50" s="98"/>
      <c r="Z50" s="93"/>
    </row>
    <row r="51" customFormat="false" ht="11.25" hidden="false" customHeight="false" outlineLevel="0" collapsed="false">
      <c r="A51" s="235"/>
      <c r="B51" s="236" t="s">
        <v>31</v>
      </c>
      <c r="C51" s="236" t="s">
        <v>52</v>
      </c>
      <c r="D51" s="236" t="s">
        <v>58</v>
      </c>
      <c r="E51" s="236" t="s">
        <v>45</v>
      </c>
      <c r="F51" s="237" t="s">
        <v>54</v>
      </c>
      <c r="G51" s="238" t="n">
        <v>36740</v>
      </c>
      <c r="H51" s="239" t="n">
        <v>3.63</v>
      </c>
      <c r="I51" s="239" t="n">
        <v>5.01016666666667</v>
      </c>
      <c r="J51" s="240" t="n">
        <v>0.1</v>
      </c>
      <c r="K51" s="241" t="n">
        <v>1825000</v>
      </c>
      <c r="L51" s="241" t="n">
        <v>5000</v>
      </c>
      <c r="M51" s="242" t="n">
        <v>-2498412.5</v>
      </c>
      <c r="N51" s="243" t="n">
        <v>-2062050</v>
      </c>
      <c r="O51" s="243" t="n">
        <v>-436362.5</v>
      </c>
      <c r="P51" s="244"/>
      <c r="Q51" s="245" t="n">
        <v>436362.5</v>
      </c>
      <c r="R51" s="119" t="n">
        <v>2286735</v>
      </c>
      <c r="S51" s="119" t="n">
        <v>-1850372.5</v>
      </c>
      <c r="T51" s="88"/>
      <c r="U51" s="88" t="n">
        <v>-1850372.5</v>
      </c>
      <c r="V51" s="246" t="n">
        <v>-436362.5</v>
      </c>
      <c r="W51" s="88"/>
      <c r="X51" s="88" t="n">
        <v>436362.5</v>
      </c>
      <c r="Y51" s="98" t="s">
        <v>31</v>
      </c>
      <c r="Z51" s="93"/>
    </row>
    <row r="52" customFormat="false" ht="11.25" hidden="false" customHeight="false" outlineLevel="0" collapsed="false">
      <c r="A52" s="235"/>
      <c r="B52" s="236" t="s">
        <v>31</v>
      </c>
      <c r="C52" s="236" t="s">
        <v>57</v>
      </c>
      <c r="D52" s="236"/>
      <c r="E52" s="236" t="s">
        <v>55</v>
      </c>
      <c r="F52" s="237" t="s">
        <v>54</v>
      </c>
      <c r="G52" s="236"/>
      <c r="H52" s="247" t="n">
        <v>3.63</v>
      </c>
      <c r="I52" s="247" t="n">
        <v>5.01016666666667</v>
      </c>
      <c r="J52" s="248" t="n">
        <v>-1.37402739726027</v>
      </c>
      <c r="K52" s="249" t="n">
        <v>-1825000</v>
      </c>
      <c r="L52" s="249" t="n">
        <v>-5000</v>
      </c>
      <c r="M52" s="250" t="n">
        <v>2507600</v>
      </c>
      <c r="N52" s="251" t="n">
        <v>2062050</v>
      </c>
      <c r="O52" s="251" t="n">
        <v>445550</v>
      </c>
      <c r="P52" s="252"/>
      <c r="Q52" s="253"/>
      <c r="R52" s="234"/>
      <c r="S52" s="234"/>
      <c r="T52" s="88"/>
      <c r="U52" s="88" t="n">
        <v>0</v>
      </c>
      <c r="V52" s="254"/>
      <c r="W52" s="88"/>
      <c r="X52" s="88" t="n">
        <v>0</v>
      </c>
      <c r="Y52" s="98" t="s">
        <v>31</v>
      </c>
      <c r="Z52" s="93"/>
    </row>
    <row r="53" customFormat="false" ht="11.25" hidden="false" customHeight="false" outlineLevel="0" collapsed="false">
      <c r="A53" s="235"/>
      <c r="B53" s="236"/>
      <c r="C53" s="256"/>
      <c r="D53" s="236"/>
      <c r="E53" s="256"/>
      <c r="F53" s="256"/>
      <c r="G53" s="236"/>
      <c r="H53" s="256"/>
      <c r="I53" s="256"/>
      <c r="J53" s="240" t="n">
        <v>-1.27402739726027</v>
      </c>
      <c r="K53" s="257" t="n">
        <v>0</v>
      </c>
      <c r="L53" s="257" t="n">
        <v>0</v>
      </c>
      <c r="M53" s="255" t="n">
        <v>9187.5</v>
      </c>
      <c r="N53" s="255" t="n">
        <v>0</v>
      </c>
      <c r="O53" s="255" t="n">
        <v>9187.49999999988</v>
      </c>
      <c r="P53" s="252"/>
      <c r="Q53" s="253"/>
      <c r="R53" s="234"/>
      <c r="S53" s="234"/>
      <c r="T53" s="88"/>
      <c r="U53" s="88"/>
      <c r="V53" s="124" t="n">
        <v>-436362.5</v>
      </c>
      <c r="W53" s="88"/>
      <c r="X53" s="88"/>
      <c r="Y53" s="98"/>
      <c r="Z53" s="93"/>
    </row>
    <row r="54" customFormat="false" ht="8.1" hidden="false" customHeight="true" outlineLevel="0" collapsed="false">
      <c r="A54" s="235"/>
      <c r="B54" s="236"/>
      <c r="C54" s="256"/>
      <c r="D54" s="236"/>
      <c r="E54" s="256"/>
      <c r="F54" s="256"/>
      <c r="G54" s="236"/>
      <c r="H54" s="256"/>
      <c r="I54" s="256"/>
      <c r="J54" s="240"/>
      <c r="K54" s="257"/>
      <c r="L54" s="258"/>
      <c r="M54" s="255"/>
      <c r="N54" s="255"/>
      <c r="O54" s="255"/>
      <c r="P54" s="252"/>
      <c r="Q54" s="253"/>
      <c r="R54" s="234"/>
      <c r="S54" s="234"/>
      <c r="T54" s="88"/>
      <c r="U54" s="88"/>
      <c r="V54" s="124"/>
      <c r="W54" s="88"/>
      <c r="X54" s="88"/>
      <c r="Y54" s="98"/>
      <c r="Z54" s="93"/>
    </row>
    <row r="55" customFormat="false" ht="11.25" hidden="false" customHeight="false" outlineLevel="0" collapsed="false">
      <c r="A55" s="235"/>
      <c r="B55" s="236" t="s">
        <v>31</v>
      </c>
      <c r="C55" s="236" t="s">
        <v>52</v>
      </c>
      <c r="D55" s="236" t="s">
        <v>59</v>
      </c>
      <c r="E55" s="236" t="s">
        <v>45</v>
      </c>
      <c r="F55" s="237" t="s">
        <v>54</v>
      </c>
      <c r="G55" s="238" t="n">
        <v>36754</v>
      </c>
      <c r="H55" s="239" t="n">
        <v>3.585</v>
      </c>
      <c r="I55" s="239" t="n">
        <v>5.01016666666667</v>
      </c>
      <c r="J55" s="240" t="n">
        <v>0.1</v>
      </c>
      <c r="K55" s="241" t="n">
        <v>1825000</v>
      </c>
      <c r="L55" s="241" t="n">
        <v>5000</v>
      </c>
      <c r="M55" s="242" t="n">
        <v>-2580537.5</v>
      </c>
      <c r="N55" s="243" t="n">
        <v>-2096025</v>
      </c>
      <c r="O55" s="243" t="n">
        <v>-484512.5</v>
      </c>
      <c r="P55" s="244"/>
      <c r="Q55" s="245" t="n">
        <v>484512.5</v>
      </c>
      <c r="R55" s="119" t="n">
        <v>2348610</v>
      </c>
      <c r="S55" s="119" t="n">
        <v>-1864097.5</v>
      </c>
      <c r="T55" s="88"/>
      <c r="U55" s="88" t="n">
        <v>-1864097.5</v>
      </c>
      <c r="V55" s="246" t="n">
        <v>-484512.5</v>
      </c>
      <c r="W55" s="88"/>
      <c r="X55" s="88" t="n">
        <v>484512.5</v>
      </c>
      <c r="Y55" s="98" t="s">
        <v>31</v>
      </c>
      <c r="Z55" s="93" t="n">
        <f aca="false">SUM(Q43:Q57)</f>
        <v>2103900</v>
      </c>
    </row>
    <row r="56" customFormat="false" ht="11.25" hidden="false" customHeight="false" outlineLevel="0" collapsed="false">
      <c r="A56" s="235"/>
      <c r="B56" s="236" t="s">
        <v>31</v>
      </c>
      <c r="C56" s="236" t="s">
        <v>57</v>
      </c>
      <c r="D56" s="236"/>
      <c r="E56" s="236" t="s">
        <v>55</v>
      </c>
      <c r="F56" s="237" t="s">
        <v>54</v>
      </c>
      <c r="G56" s="236"/>
      <c r="H56" s="247" t="n">
        <v>3.585</v>
      </c>
      <c r="I56" s="247" t="n">
        <v>5.01016666666667</v>
      </c>
      <c r="J56" s="248" t="n">
        <v>-1.41902739726027</v>
      </c>
      <c r="K56" s="249" t="n">
        <v>-1825000</v>
      </c>
      <c r="L56" s="249" t="n">
        <v>-5000</v>
      </c>
      <c r="M56" s="250" t="n">
        <v>2589725</v>
      </c>
      <c r="N56" s="251" t="n">
        <v>2096025</v>
      </c>
      <c r="O56" s="251" t="n">
        <v>493700</v>
      </c>
      <c r="P56" s="252"/>
      <c r="Q56" s="253"/>
      <c r="R56" s="234"/>
      <c r="S56" s="234"/>
      <c r="T56" s="88"/>
      <c r="U56" s="88" t="n">
        <v>0</v>
      </c>
      <c r="V56" s="254"/>
      <c r="W56" s="88"/>
      <c r="X56" s="88" t="n">
        <v>0</v>
      </c>
      <c r="Y56" s="98" t="s">
        <v>31</v>
      </c>
      <c r="Z56" s="261" t="n">
        <f aca="false">SUM(X43:X56)</f>
        <v>2103900</v>
      </c>
    </row>
    <row r="57" customFormat="false" ht="11.25" hidden="false" customHeight="false" outlineLevel="0" collapsed="false">
      <c r="A57" s="235"/>
      <c r="B57" s="236"/>
      <c r="C57" s="256"/>
      <c r="D57" s="236"/>
      <c r="E57" s="256"/>
      <c r="F57" s="237"/>
      <c r="G57" s="236"/>
      <c r="H57" s="256"/>
      <c r="I57" s="256"/>
      <c r="J57" s="240" t="n">
        <v>-1.31902739726027</v>
      </c>
      <c r="K57" s="257" t="n">
        <v>0</v>
      </c>
      <c r="L57" s="257" t="n">
        <v>0</v>
      </c>
      <c r="M57" s="255" t="n">
        <v>9187.5</v>
      </c>
      <c r="N57" s="255" t="n">
        <v>0</v>
      </c>
      <c r="O57" s="255" t="n">
        <v>9187.49999999988</v>
      </c>
      <c r="P57" s="252"/>
      <c r="Q57" s="253"/>
      <c r="R57" s="234"/>
      <c r="S57" s="234"/>
      <c r="T57" s="88"/>
      <c r="U57" s="88"/>
      <c r="V57" s="124" t="n">
        <v>-484512.5</v>
      </c>
      <c r="W57" s="88"/>
      <c r="X57" s="88"/>
      <c r="Y57" s="98"/>
      <c r="Z57" s="93"/>
    </row>
    <row r="58" customFormat="false" ht="8.1" hidden="false" customHeight="true" outlineLevel="0" collapsed="false">
      <c r="B58" s="45"/>
      <c r="C58" s="46"/>
      <c r="D58" s="45"/>
      <c r="E58" s="46"/>
      <c r="F58" s="35"/>
      <c r="G58" s="45"/>
      <c r="H58" s="46"/>
      <c r="I58" s="46"/>
      <c r="J58" s="47"/>
      <c r="K58" s="56"/>
      <c r="L58" s="95"/>
      <c r="M58" s="81"/>
      <c r="N58" s="81"/>
      <c r="O58" s="81"/>
      <c r="P58" s="71"/>
      <c r="Q58" s="43"/>
      <c r="R58" s="234"/>
      <c r="S58" s="234"/>
      <c r="T58" s="88"/>
      <c r="U58" s="88"/>
      <c r="V58" s="124"/>
      <c r="W58" s="88"/>
      <c r="X58" s="88"/>
      <c r="Y58" s="98"/>
      <c r="Z58" s="93"/>
    </row>
    <row r="59" customFormat="false" ht="11.25" hidden="false" customHeight="false" outlineLevel="0" collapsed="false">
      <c r="A59" s="262"/>
      <c r="B59" s="263" t="s">
        <v>31</v>
      </c>
      <c r="C59" s="264" t="s">
        <v>44</v>
      </c>
      <c r="D59" s="263" t="s">
        <v>60</v>
      </c>
      <c r="E59" s="263" t="s">
        <v>45</v>
      </c>
      <c r="F59" s="265" t="s">
        <v>61</v>
      </c>
      <c r="G59" s="266" t="n">
        <v>36957</v>
      </c>
      <c r="H59" s="267" t="n">
        <v>5.05</v>
      </c>
      <c r="I59" s="267" t="n">
        <v>3.968875</v>
      </c>
      <c r="J59" s="268" t="n">
        <v>1.081125</v>
      </c>
      <c r="K59" s="269" t="n">
        <v>1825000</v>
      </c>
      <c r="L59" s="270" t="n">
        <v>5000</v>
      </c>
      <c r="M59" s="271" t="n">
        <v>1975845</v>
      </c>
      <c r="N59" s="271" t="n">
        <v>0</v>
      </c>
      <c r="O59" s="271" t="n">
        <v>1975845</v>
      </c>
      <c r="P59" s="272"/>
      <c r="Q59" s="273" t="n">
        <v>-1975845</v>
      </c>
      <c r="R59" s="119" t="n">
        <v>-503015</v>
      </c>
      <c r="S59" s="119" t="n">
        <v>-1472830</v>
      </c>
      <c r="T59" s="88"/>
      <c r="U59" s="88" t="n">
        <v>-1472830</v>
      </c>
      <c r="V59" s="104" t="n">
        <v>733260</v>
      </c>
      <c r="W59" s="88"/>
      <c r="X59" s="88" t="n">
        <v>-733260</v>
      </c>
      <c r="Y59" s="98" t="s">
        <v>31</v>
      </c>
      <c r="Z59" s="105"/>
    </row>
    <row r="60" customFormat="false" ht="11.25" hidden="false" customHeight="false" outlineLevel="0" collapsed="false">
      <c r="A60" s="262"/>
      <c r="B60" s="263" t="s">
        <v>31</v>
      </c>
      <c r="C60" s="274" t="s">
        <v>62</v>
      </c>
      <c r="D60" s="263" t="n">
        <v>22948</v>
      </c>
      <c r="E60" s="263" t="s">
        <v>55</v>
      </c>
      <c r="F60" s="265" t="s">
        <v>61</v>
      </c>
      <c r="G60" s="263"/>
      <c r="H60" s="275" t="n">
        <v>3.98095833333333</v>
      </c>
      <c r="I60" s="275" t="n">
        <v>5.05</v>
      </c>
      <c r="J60" s="275" t="n">
        <v>-1.06904166666667</v>
      </c>
      <c r="K60" s="276" t="n">
        <v>-1825000</v>
      </c>
      <c r="L60" s="276" t="n">
        <v>-5000</v>
      </c>
      <c r="M60" s="277" t="n">
        <v>-1953820</v>
      </c>
      <c r="N60" s="278" t="n">
        <v>0</v>
      </c>
      <c r="O60" s="278" t="n">
        <v>-1953820</v>
      </c>
      <c r="P60" s="274"/>
      <c r="Q60" s="273"/>
      <c r="R60" s="234"/>
      <c r="S60" s="234"/>
      <c r="T60" s="88"/>
      <c r="U60" s="88" t="n">
        <v>0</v>
      </c>
      <c r="V60" s="254"/>
      <c r="W60" s="88"/>
      <c r="X60" s="88" t="n">
        <v>0</v>
      </c>
      <c r="Y60" s="98" t="s">
        <v>31</v>
      </c>
      <c r="Z60" s="93"/>
    </row>
    <row r="61" customFormat="false" ht="11.25" hidden="false" customHeight="false" outlineLevel="0" collapsed="false">
      <c r="A61" s="279"/>
      <c r="B61" s="263"/>
      <c r="C61" s="264"/>
      <c r="D61" s="263"/>
      <c r="E61" s="264"/>
      <c r="F61" s="265"/>
      <c r="G61" s="263"/>
      <c r="H61" s="264"/>
      <c r="I61" s="264"/>
      <c r="J61" s="268" t="n">
        <v>0.0120833333333334</v>
      </c>
      <c r="K61" s="280" t="n">
        <v>0</v>
      </c>
      <c r="L61" s="280" t="n">
        <v>0</v>
      </c>
      <c r="M61" s="281" t="n">
        <v>22025</v>
      </c>
      <c r="N61" s="281" t="n">
        <v>0</v>
      </c>
      <c r="O61" s="281" t="n">
        <v>22025</v>
      </c>
      <c r="P61" s="274"/>
      <c r="Q61" s="273"/>
      <c r="R61" s="234"/>
      <c r="S61" s="234"/>
      <c r="T61" s="88"/>
      <c r="U61" s="88"/>
      <c r="V61" s="124" t="n">
        <v>733260</v>
      </c>
      <c r="W61" s="88"/>
      <c r="X61" s="88"/>
      <c r="Y61" s="98"/>
      <c r="Z61" s="105"/>
    </row>
    <row r="62" customFormat="false" ht="8.1" hidden="false" customHeight="true" outlineLevel="0" collapsed="false">
      <c r="A62" s="279"/>
      <c r="B62" s="263"/>
      <c r="C62" s="264"/>
      <c r="D62" s="263"/>
      <c r="E62" s="264"/>
      <c r="F62" s="265"/>
      <c r="G62" s="263"/>
      <c r="H62" s="264"/>
      <c r="I62" s="264"/>
      <c r="J62" s="268"/>
      <c r="K62" s="280"/>
      <c r="L62" s="282"/>
      <c r="M62" s="281"/>
      <c r="N62" s="281"/>
      <c r="O62" s="281"/>
      <c r="P62" s="274"/>
      <c r="Q62" s="283"/>
      <c r="R62" s="234"/>
      <c r="S62" s="234"/>
      <c r="T62" s="88"/>
      <c r="U62" s="88"/>
      <c r="V62" s="124"/>
      <c r="W62" s="88"/>
      <c r="X62" s="88"/>
      <c r="Y62" s="98"/>
      <c r="Z62" s="93"/>
    </row>
    <row r="63" customFormat="false" ht="11.25" hidden="false" customHeight="false" outlineLevel="0" collapsed="false">
      <c r="A63" s="279"/>
      <c r="B63" s="263" t="s">
        <v>31</v>
      </c>
      <c r="C63" s="264" t="s">
        <v>63</v>
      </c>
      <c r="D63" s="263" t="s">
        <v>64</v>
      </c>
      <c r="E63" s="263" t="s">
        <v>45</v>
      </c>
      <c r="F63" s="265" t="s">
        <v>65</v>
      </c>
      <c r="G63" s="266" t="n">
        <v>36902</v>
      </c>
      <c r="H63" s="267" t="n">
        <v>4.163</v>
      </c>
      <c r="I63" s="267" t="n">
        <v>4.133</v>
      </c>
      <c r="J63" s="267" t="n">
        <v>0.0300000000000003</v>
      </c>
      <c r="K63" s="269" t="n">
        <v>-418500</v>
      </c>
      <c r="L63" s="270" t="n">
        <v>-13500</v>
      </c>
      <c r="M63" s="271" t="n">
        <v>-12555.0000000001</v>
      </c>
      <c r="N63" s="271" t="n">
        <v>0</v>
      </c>
      <c r="O63" s="271" t="n">
        <v>-12555.0000000001</v>
      </c>
      <c r="P63" s="272"/>
      <c r="Q63" s="273" t="n">
        <v>12555.0000000001</v>
      </c>
      <c r="R63" s="119" t="n">
        <v>-22180.5</v>
      </c>
      <c r="S63" s="119" t="n">
        <v>34735.5000000001</v>
      </c>
      <c r="T63" s="88"/>
      <c r="U63" s="88" t="n">
        <v>34735.5000000001</v>
      </c>
      <c r="V63" s="104" t="n">
        <v>-12555.0000000001</v>
      </c>
      <c r="W63" s="88"/>
      <c r="X63" s="88" t="n">
        <v>12555.0000000001</v>
      </c>
      <c r="Y63" s="98" t="s">
        <v>31</v>
      </c>
      <c r="Z63" s="93"/>
    </row>
    <row r="64" customFormat="false" ht="11.25" hidden="false" customHeight="false" outlineLevel="0" collapsed="false">
      <c r="A64" s="279"/>
      <c r="B64" s="263" t="s">
        <v>31</v>
      </c>
      <c r="C64" s="264" t="s">
        <v>63</v>
      </c>
      <c r="D64" s="263" t="s">
        <v>66</v>
      </c>
      <c r="E64" s="263" t="s">
        <v>45</v>
      </c>
      <c r="F64" s="265" t="s">
        <v>65</v>
      </c>
      <c r="G64" s="284" t="n">
        <v>36902</v>
      </c>
      <c r="H64" s="285" t="n">
        <v>5.273</v>
      </c>
      <c r="I64" s="285" t="n">
        <v>7.923</v>
      </c>
      <c r="J64" s="285" t="n">
        <v>-2.65</v>
      </c>
      <c r="K64" s="269" t="n">
        <v>418500</v>
      </c>
      <c r="L64" s="270" t="n">
        <v>13500</v>
      </c>
      <c r="M64" s="286" t="n">
        <v>-1109025</v>
      </c>
      <c r="N64" s="286" t="n">
        <v>0</v>
      </c>
      <c r="O64" s="286" t="n">
        <v>-1109025</v>
      </c>
      <c r="P64" s="272"/>
      <c r="Q64" s="273" t="n">
        <v>1109025</v>
      </c>
      <c r="R64" s="119" t="n">
        <v>2538202.5</v>
      </c>
      <c r="S64" s="119" t="n">
        <v>-1429177.5</v>
      </c>
      <c r="T64" s="88"/>
      <c r="U64" s="88" t="n">
        <v>-1429177.5</v>
      </c>
      <c r="V64" s="119" t="n">
        <v>-1109025</v>
      </c>
      <c r="W64" s="88"/>
      <c r="X64" s="88" t="n">
        <v>1109025</v>
      </c>
      <c r="Y64" s="98" t="s">
        <v>31</v>
      </c>
      <c r="Z64" s="93"/>
    </row>
    <row r="65" customFormat="false" ht="11.25" hidden="false" customHeight="false" outlineLevel="0" collapsed="false">
      <c r="A65" s="279"/>
      <c r="B65" s="263" t="s">
        <v>31</v>
      </c>
      <c r="C65" s="264" t="s">
        <v>67</v>
      </c>
      <c r="D65" s="263" t="n">
        <v>27457</v>
      </c>
      <c r="E65" s="263" t="s">
        <v>68</v>
      </c>
      <c r="F65" s="265" t="s">
        <v>65</v>
      </c>
      <c r="G65" s="266" t="n">
        <v>36902</v>
      </c>
      <c r="H65" s="287"/>
      <c r="I65" s="287"/>
      <c r="J65" s="287"/>
      <c r="K65" s="276"/>
      <c r="L65" s="288"/>
      <c r="M65" s="277" t="n">
        <v>1121580</v>
      </c>
      <c r="N65" s="277" t="n">
        <v>0</v>
      </c>
      <c r="O65" s="277" t="n">
        <v>1121580</v>
      </c>
      <c r="P65" s="274"/>
      <c r="Q65" s="283"/>
      <c r="R65" s="234"/>
      <c r="S65" s="234"/>
      <c r="T65" s="88"/>
      <c r="U65" s="88" t="n">
        <v>0</v>
      </c>
      <c r="V65" s="115"/>
      <c r="W65" s="88"/>
      <c r="X65" s="88" t="n">
        <v>0</v>
      </c>
      <c r="Y65" s="98" t="s">
        <v>31</v>
      </c>
      <c r="Z65" s="93"/>
    </row>
    <row r="66" customFormat="false" ht="11.25" hidden="false" customHeight="false" outlineLevel="0" collapsed="false">
      <c r="A66" s="279"/>
      <c r="B66" s="263"/>
      <c r="C66" s="264"/>
      <c r="D66" s="263"/>
      <c r="E66" s="263"/>
      <c r="F66" s="265"/>
      <c r="G66" s="266"/>
      <c r="H66" s="264"/>
      <c r="I66" s="264"/>
      <c r="J66" s="268"/>
      <c r="K66" s="269"/>
      <c r="L66" s="270"/>
      <c r="M66" s="271" t="n">
        <v>0</v>
      </c>
      <c r="N66" s="271" t="n">
        <v>0</v>
      </c>
      <c r="O66" s="271" t="n">
        <v>0</v>
      </c>
      <c r="P66" s="274"/>
      <c r="Q66" s="283"/>
      <c r="R66" s="234"/>
      <c r="S66" s="234"/>
      <c r="T66" s="88"/>
      <c r="U66" s="88"/>
      <c r="V66" s="104" t="n">
        <v>-1121580</v>
      </c>
      <c r="W66" s="88"/>
      <c r="X66" s="88"/>
      <c r="Y66" s="98"/>
      <c r="Z66" s="93"/>
    </row>
    <row r="67" customFormat="false" ht="8.1" hidden="false" customHeight="true" outlineLevel="0" collapsed="false">
      <c r="A67" s="279"/>
      <c r="B67" s="263"/>
      <c r="C67" s="264"/>
      <c r="D67" s="263"/>
      <c r="E67" s="264"/>
      <c r="F67" s="265"/>
      <c r="G67" s="263"/>
      <c r="H67" s="264"/>
      <c r="I67" s="264"/>
      <c r="J67" s="268"/>
      <c r="K67" s="280"/>
      <c r="L67" s="282"/>
      <c r="M67" s="281"/>
      <c r="N67" s="281"/>
      <c r="O67" s="281"/>
      <c r="P67" s="274"/>
      <c r="Q67" s="283"/>
      <c r="R67" s="234"/>
      <c r="S67" s="234"/>
      <c r="T67" s="88"/>
      <c r="U67" s="88"/>
      <c r="V67" s="124"/>
      <c r="W67" s="88"/>
      <c r="X67" s="88"/>
      <c r="Y67" s="98"/>
      <c r="Z67" s="93"/>
    </row>
    <row r="68" customFormat="false" ht="11.25" hidden="false" customHeight="false" outlineLevel="0" collapsed="false">
      <c r="A68" s="279"/>
      <c r="B68" s="263" t="s">
        <v>31</v>
      </c>
      <c r="C68" s="264" t="s">
        <v>63</v>
      </c>
      <c r="D68" s="263" t="s">
        <v>69</v>
      </c>
      <c r="E68" s="263" t="s">
        <v>45</v>
      </c>
      <c r="F68" s="265" t="s">
        <v>61</v>
      </c>
      <c r="G68" s="266" t="n">
        <v>36903</v>
      </c>
      <c r="H68" s="267" t="n">
        <v>3.70616666666667</v>
      </c>
      <c r="I68" s="267" t="n">
        <v>3.66283333333333</v>
      </c>
      <c r="J68" s="268" t="n">
        <v>0.0433333333333334</v>
      </c>
      <c r="K68" s="269" t="n">
        <v>-10037500</v>
      </c>
      <c r="L68" s="270" t="n">
        <v>-27500</v>
      </c>
      <c r="M68" s="271" t="n">
        <v>-438900</v>
      </c>
      <c r="N68" s="271" t="n">
        <v>0</v>
      </c>
      <c r="O68" s="271" t="n">
        <v>-438900</v>
      </c>
      <c r="P68" s="272"/>
      <c r="Q68" s="273" t="n">
        <v>438900</v>
      </c>
      <c r="R68" s="119" t="n">
        <v>-1498970</v>
      </c>
      <c r="S68" s="119" t="n">
        <v>1937870</v>
      </c>
      <c r="T68" s="88"/>
      <c r="U68" s="88" t="n">
        <v>1937870</v>
      </c>
      <c r="V68" s="104" t="n">
        <v>-110275</v>
      </c>
      <c r="W68" s="88"/>
      <c r="X68" s="88" t="n">
        <v>110275</v>
      </c>
      <c r="Y68" s="98" t="s">
        <v>31</v>
      </c>
      <c r="Z68" s="93"/>
    </row>
    <row r="69" customFormat="false" ht="11.25" hidden="false" customHeight="false" outlineLevel="0" collapsed="false">
      <c r="A69" s="279"/>
      <c r="B69" s="263" t="s">
        <v>31</v>
      </c>
      <c r="C69" s="264" t="s">
        <v>63</v>
      </c>
      <c r="D69" s="263" t="s">
        <v>70</v>
      </c>
      <c r="E69" s="263" t="s">
        <v>45</v>
      </c>
      <c r="F69" s="265" t="s">
        <v>61</v>
      </c>
      <c r="G69" s="266" t="n">
        <v>36903</v>
      </c>
      <c r="H69" s="267" t="n">
        <v>5.02616666666667</v>
      </c>
      <c r="I69" s="285" t="n">
        <v>5.33575</v>
      </c>
      <c r="J69" s="289" t="n">
        <v>-0.309583333333333</v>
      </c>
      <c r="K69" s="290" t="n">
        <v>-10037500</v>
      </c>
      <c r="L69" s="290" t="n">
        <v>-27500</v>
      </c>
      <c r="M69" s="286" t="n">
        <v>-3012350</v>
      </c>
      <c r="N69" s="271" t="n">
        <v>0</v>
      </c>
      <c r="O69" s="286" t="n">
        <v>-3012350</v>
      </c>
      <c r="P69" s="272"/>
      <c r="Q69" s="273" t="n">
        <v>3012350</v>
      </c>
      <c r="R69" s="119" t="n">
        <v>21839262.5</v>
      </c>
      <c r="S69" s="119" t="n">
        <v>-18826912.5</v>
      </c>
      <c r="T69" s="88"/>
      <c r="U69" s="88" t="n">
        <v>-18826912.5</v>
      </c>
      <c r="V69" s="119" t="n">
        <v>-3337537.5</v>
      </c>
      <c r="W69" s="88"/>
      <c r="X69" s="88" t="n">
        <v>3337537.5</v>
      </c>
      <c r="Y69" s="98" t="s">
        <v>31</v>
      </c>
      <c r="Z69" s="93"/>
    </row>
    <row r="70" customFormat="false" ht="11.25" hidden="false" customHeight="false" outlineLevel="0" collapsed="false">
      <c r="A70" s="279"/>
      <c r="B70" s="263" t="s">
        <v>31</v>
      </c>
      <c r="C70" s="264" t="s">
        <v>71</v>
      </c>
      <c r="D70" s="263" t="n">
        <v>27454</v>
      </c>
      <c r="E70" s="263" t="s">
        <v>68</v>
      </c>
      <c r="F70" s="265" t="s">
        <v>61</v>
      </c>
      <c r="G70" s="266" t="n">
        <v>36901</v>
      </c>
      <c r="H70" s="275"/>
      <c r="I70" s="275"/>
      <c r="J70" s="287"/>
      <c r="K70" s="276"/>
      <c r="L70" s="288"/>
      <c r="M70" s="277" t="n">
        <v>3451250</v>
      </c>
      <c r="N70" s="277" t="n">
        <v>0</v>
      </c>
      <c r="O70" s="277" t="n">
        <v>3451250</v>
      </c>
      <c r="P70" s="274"/>
      <c r="Q70" s="283"/>
      <c r="R70" s="234"/>
      <c r="S70" s="234"/>
      <c r="T70" s="88"/>
      <c r="U70" s="88" t="n">
        <v>0</v>
      </c>
      <c r="V70" s="115"/>
      <c r="W70" s="88"/>
      <c r="X70" s="88" t="n">
        <v>0</v>
      </c>
      <c r="Y70" s="98" t="s">
        <v>31</v>
      </c>
      <c r="Z70" s="93"/>
    </row>
    <row r="71" customFormat="false" ht="11.25" hidden="false" customHeight="false" outlineLevel="0" collapsed="false">
      <c r="A71" s="279"/>
      <c r="B71" s="263"/>
      <c r="C71" s="264"/>
      <c r="D71" s="263"/>
      <c r="E71" s="264"/>
      <c r="F71" s="265"/>
      <c r="G71" s="263"/>
      <c r="H71" s="264"/>
      <c r="I71" s="264"/>
      <c r="J71" s="268"/>
      <c r="K71" s="280"/>
      <c r="L71" s="282"/>
      <c r="M71" s="281" t="n">
        <v>0</v>
      </c>
      <c r="N71" s="281" t="n">
        <v>0</v>
      </c>
      <c r="O71" s="281" t="n">
        <v>0</v>
      </c>
      <c r="P71" s="274"/>
      <c r="Q71" s="283"/>
      <c r="R71" s="234"/>
      <c r="S71" s="234"/>
      <c r="T71" s="88"/>
      <c r="U71" s="88"/>
      <c r="V71" s="124" t="n">
        <v>-3447812.5</v>
      </c>
      <c r="W71" s="88"/>
      <c r="X71" s="88"/>
      <c r="Y71" s="98"/>
      <c r="Z71" s="93"/>
    </row>
    <row r="72" customFormat="false" ht="8.1" hidden="false" customHeight="true" outlineLevel="0" collapsed="false">
      <c r="A72" s="279"/>
      <c r="B72" s="263"/>
      <c r="C72" s="264"/>
      <c r="D72" s="263"/>
      <c r="E72" s="264"/>
      <c r="F72" s="265"/>
      <c r="G72" s="263"/>
      <c r="H72" s="264"/>
      <c r="I72" s="264"/>
      <c r="J72" s="268"/>
      <c r="K72" s="280"/>
      <c r="L72" s="282"/>
      <c r="M72" s="281"/>
      <c r="N72" s="281"/>
      <c r="O72" s="281"/>
      <c r="P72" s="274"/>
      <c r="Q72" s="283"/>
      <c r="R72" s="234"/>
      <c r="S72" s="234"/>
      <c r="T72" s="88"/>
      <c r="U72" s="88"/>
      <c r="V72" s="124"/>
      <c r="W72" s="88"/>
      <c r="X72" s="88"/>
      <c r="Y72" s="98"/>
      <c r="Z72" s="93"/>
    </row>
    <row r="73" customFormat="false" ht="11.25" hidden="false" customHeight="false" outlineLevel="0" collapsed="false">
      <c r="A73" s="279"/>
      <c r="B73" s="263" t="s">
        <v>31</v>
      </c>
      <c r="C73" s="264" t="s">
        <v>63</v>
      </c>
      <c r="D73" s="263" t="s">
        <v>72</v>
      </c>
      <c r="E73" s="263" t="s">
        <v>45</v>
      </c>
      <c r="F73" s="265" t="s">
        <v>73</v>
      </c>
      <c r="G73" s="266" t="n">
        <v>36907</v>
      </c>
      <c r="H73" s="267" t="n">
        <v>4.899</v>
      </c>
      <c r="I73" s="267" t="n">
        <v>5.029</v>
      </c>
      <c r="J73" s="267" t="n">
        <v>-0.130000000000001</v>
      </c>
      <c r="K73" s="269" t="n">
        <v>1311500</v>
      </c>
      <c r="L73" s="270" t="n">
        <v>21500</v>
      </c>
      <c r="M73" s="271" t="n">
        <v>-170495</v>
      </c>
      <c r="N73" s="271" t="n">
        <v>0</v>
      </c>
      <c r="O73" s="271" t="n">
        <v>-170495</v>
      </c>
      <c r="P73" s="272"/>
      <c r="Q73" s="273" t="n">
        <v>170495</v>
      </c>
      <c r="R73" s="119" t="n">
        <v>1311500</v>
      </c>
      <c r="S73" s="119" t="n">
        <v>-1141005</v>
      </c>
      <c r="T73" s="88"/>
      <c r="U73" s="88" t="n">
        <v>-1141005</v>
      </c>
      <c r="V73" s="104" t="n">
        <v>0</v>
      </c>
      <c r="W73" s="88"/>
      <c r="X73" s="88" t="n">
        <v>0</v>
      </c>
      <c r="Y73" s="98" t="s">
        <v>31</v>
      </c>
      <c r="Z73" s="93"/>
    </row>
    <row r="74" customFormat="false" ht="11.25" hidden="false" customHeight="false" outlineLevel="0" collapsed="false">
      <c r="A74" s="279"/>
      <c r="B74" s="263" t="s">
        <v>31</v>
      </c>
      <c r="C74" s="264" t="s">
        <v>63</v>
      </c>
      <c r="D74" s="263" t="s">
        <v>74</v>
      </c>
      <c r="E74" s="263" t="s">
        <v>45</v>
      </c>
      <c r="F74" s="265" t="s">
        <v>73</v>
      </c>
      <c r="G74" s="266" t="n">
        <v>36907</v>
      </c>
      <c r="H74" s="267" t="n">
        <v>4.899</v>
      </c>
      <c r="I74" s="267" t="n">
        <v>3.859</v>
      </c>
      <c r="J74" s="267" t="n">
        <v>1.04</v>
      </c>
      <c r="K74" s="269" t="n">
        <v>-1311500</v>
      </c>
      <c r="L74" s="270" t="n">
        <v>-21500</v>
      </c>
      <c r="M74" s="271" t="n">
        <v>-52460</v>
      </c>
      <c r="N74" s="271" t="n">
        <v>0</v>
      </c>
      <c r="O74" s="271" t="n">
        <v>-52460</v>
      </c>
      <c r="P74" s="272"/>
      <c r="Q74" s="273" t="n">
        <v>52460</v>
      </c>
      <c r="R74" s="119" t="n">
        <v>-36722.0000000006</v>
      </c>
      <c r="S74" s="119" t="n">
        <v>89182.0000000007</v>
      </c>
      <c r="T74" s="88"/>
      <c r="U74" s="88" t="n">
        <v>89182.0000000007</v>
      </c>
      <c r="V74" s="104" t="n">
        <v>0</v>
      </c>
      <c r="W74" s="88"/>
      <c r="X74" s="88" t="n">
        <v>0</v>
      </c>
      <c r="Y74" s="98" t="s">
        <v>31</v>
      </c>
      <c r="Z74" s="93"/>
    </row>
    <row r="75" customFormat="false" ht="11.25" hidden="false" customHeight="false" outlineLevel="0" collapsed="false">
      <c r="A75" s="279"/>
      <c r="B75" s="263" t="s">
        <v>31</v>
      </c>
      <c r="C75" s="264" t="s">
        <v>67</v>
      </c>
      <c r="D75" s="263" t="n">
        <v>27456</v>
      </c>
      <c r="E75" s="263" t="s">
        <v>68</v>
      </c>
      <c r="F75" s="265" t="s">
        <v>73</v>
      </c>
      <c r="G75" s="266" t="n">
        <v>36902</v>
      </c>
      <c r="H75" s="275"/>
      <c r="I75" s="275"/>
      <c r="J75" s="275"/>
      <c r="K75" s="276"/>
      <c r="L75" s="288"/>
      <c r="M75" s="277" t="n">
        <v>222955</v>
      </c>
      <c r="N75" s="277" t="n">
        <v>0</v>
      </c>
      <c r="O75" s="277" t="n">
        <v>222955</v>
      </c>
      <c r="P75" s="274"/>
      <c r="Q75" s="283"/>
      <c r="R75" s="234"/>
      <c r="S75" s="234"/>
      <c r="T75" s="88"/>
      <c r="U75" s="88" t="n">
        <v>0</v>
      </c>
      <c r="V75" s="115"/>
      <c r="W75" s="88"/>
      <c r="X75" s="88" t="n">
        <v>0</v>
      </c>
      <c r="Y75" s="98" t="s">
        <v>31</v>
      </c>
      <c r="Z75" s="93"/>
    </row>
    <row r="76" customFormat="false" ht="11.25" hidden="false" customHeight="false" outlineLevel="0" collapsed="false">
      <c r="A76" s="279"/>
      <c r="B76" s="263"/>
      <c r="C76" s="264"/>
      <c r="D76" s="263"/>
      <c r="E76" s="264"/>
      <c r="F76" s="265"/>
      <c r="G76" s="263"/>
      <c r="H76" s="267"/>
      <c r="I76" s="267"/>
      <c r="J76" s="267"/>
      <c r="K76" s="269"/>
      <c r="L76" s="270"/>
      <c r="M76" s="271" t="n">
        <v>0</v>
      </c>
      <c r="N76" s="271" t="n">
        <v>0</v>
      </c>
      <c r="O76" s="271" t="n">
        <v>0</v>
      </c>
      <c r="P76" s="274"/>
      <c r="Q76" s="283"/>
      <c r="R76" s="234"/>
      <c r="S76" s="234"/>
      <c r="T76" s="88"/>
      <c r="U76" s="88"/>
      <c r="V76" s="104" t="n">
        <v>0</v>
      </c>
      <c r="W76" s="88"/>
      <c r="X76" s="88"/>
      <c r="Y76" s="98"/>
      <c r="Z76" s="93"/>
    </row>
    <row r="77" customFormat="false" ht="8.1" hidden="false" customHeight="true" outlineLevel="0" collapsed="false">
      <c r="A77" s="279"/>
      <c r="B77" s="263"/>
      <c r="C77" s="264"/>
      <c r="D77" s="263"/>
      <c r="E77" s="264"/>
      <c r="F77" s="265"/>
      <c r="G77" s="263"/>
      <c r="H77" s="264"/>
      <c r="I77" s="264"/>
      <c r="J77" s="268"/>
      <c r="K77" s="280"/>
      <c r="L77" s="282"/>
      <c r="M77" s="281"/>
      <c r="N77" s="281"/>
      <c r="O77" s="281"/>
      <c r="P77" s="274"/>
      <c r="Q77" s="283"/>
      <c r="R77" s="234"/>
      <c r="S77" s="234"/>
      <c r="T77" s="88"/>
      <c r="U77" s="88"/>
      <c r="V77" s="124"/>
      <c r="W77" s="88"/>
      <c r="X77" s="88"/>
      <c r="Y77" s="98"/>
      <c r="Z77" s="93"/>
    </row>
    <row r="78" customFormat="false" ht="11.25" hidden="false" customHeight="false" outlineLevel="0" collapsed="false">
      <c r="A78" s="279"/>
      <c r="B78" s="263" t="s">
        <v>31</v>
      </c>
      <c r="C78" s="264" t="s">
        <v>63</v>
      </c>
      <c r="D78" s="263" t="s">
        <v>75</v>
      </c>
      <c r="E78" s="263" t="s">
        <v>45</v>
      </c>
      <c r="F78" s="265" t="s">
        <v>76</v>
      </c>
      <c r="G78" s="266" t="n">
        <v>36907</v>
      </c>
      <c r="H78" s="267" t="n">
        <v>4.8715</v>
      </c>
      <c r="I78" s="267" t="n">
        <v>4.33983333333333</v>
      </c>
      <c r="J78" s="268" t="n">
        <v>0.531666666666666</v>
      </c>
      <c r="K78" s="269" t="n">
        <v>13687500</v>
      </c>
      <c r="L78" s="270" t="n">
        <v>37500</v>
      </c>
      <c r="M78" s="271" t="n">
        <v>7294500</v>
      </c>
      <c r="N78" s="271" t="n">
        <v>0</v>
      </c>
      <c r="O78" s="271" t="n">
        <v>7294500</v>
      </c>
      <c r="P78" s="272"/>
      <c r="Q78" s="273" t="n">
        <v>-7294500</v>
      </c>
      <c r="R78" s="119" t="n">
        <v>2745000</v>
      </c>
      <c r="S78" s="119" t="n">
        <v>-10039500</v>
      </c>
      <c r="T78" s="88"/>
      <c r="U78" s="88" t="n">
        <v>-10039500</v>
      </c>
      <c r="V78" s="104" t="n">
        <v>0</v>
      </c>
      <c r="W78" s="88"/>
      <c r="X78" s="88" t="n">
        <v>0</v>
      </c>
      <c r="Y78" s="98" t="s">
        <v>31</v>
      </c>
      <c r="Z78" s="125"/>
    </row>
    <row r="79" customFormat="false" ht="11.25" hidden="false" customHeight="false" outlineLevel="0" collapsed="false">
      <c r="A79" s="279"/>
      <c r="B79" s="263" t="s">
        <v>31</v>
      </c>
      <c r="C79" s="264" t="s">
        <v>63</v>
      </c>
      <c r="D79" s="263" t="s">
        <v>77</v>
      </c>
      <c r="E79" s="263" t="s">
        <v>45</v>
      </c>
      <c r="F79" s="265" t="s">
        <v>76</v>
      </c>
      <c r="G79" s="266" t="n">
        <v>36907</v>
      </c>
      <c r="H79" s="267" t="n">
        <v>3.6915</v>
      </c>
      <c r="I79" s="267" t="n">
        <v>3.68358333333333</v>
      </c>
      <c r="J79" s="268" t="n">
        <v>0.00791666666666746</v>
      </c>
      <c r="K79" s="269" t="n">
        <v>-13687500</v>
      </c>
      <c r="L79" s="270" t="n">
        <v>-37500</v>
      </c>
      <c r="M79" s="271" t="n">
        <v>-106499.999999999</v>
      </c>
      <c r="N79" s="271" t="n">
        <v>0</v>
      </c>
      <c r="O79" s="271" t="n">
        <v>-106499.999999999</v>
      </c>
      <c r="P79" s="272"/>
      <c r="Q79" s="273" t="n">
        <v>106499.999999999</v>
      </c>
      <c r="R79" s="119" t="n">
        <v>-181612.5</v>
      </c>
      <c r="S79" s="119" t="n">
        <v>288112.499999999</v>
      </c>
      <c r="T79" s="88"/>
      <c r="U79" s="88" t="n">
        <v>288112.499999999</v>
      </c>
      <c r="V79" s="104" t="n">
        <v>0</v>
      </c>
      <c r="W79" s="88"/>
      <c r="X79" s="88" t="n">
        <v>0</v>
      </c>
      <c r="Y79" s="98" t="s">
        <v>31</v>
      </c>
      <c r="Z79" s="93"/>
    </row>
    <row r="80" customFormat="false" ht="11.25" hidden="false" customHeight="false" outlineLevel="0" collapsed="false">
      <c r="A80" s="279"/>
      <c r="B80" s="263" t="s">
        <v>31</v>
      </c>
      <c r="C80" s="264" t="s">
        <v>67</v>
      </c>
      <c r="D80" s="263" t="n">
        <v>27453</v>
      </c>
      <c r="E80" s="263" t="s">
        <v>68</v>
      </c>
      <c r="F80" s="265" t="s">
        <v>76</v>
      </c>
      <c r="G80" s="266" t="n">
        <v>36902</v>
      </c>
      <c r="H80" s="291"/>
      <c r="I80" s="291"/>
      <c r="J80" s="292"/>
      <c r="K80" s="293"/>
      <c r="L80" s="294"/>
      <c r="M80" s="277" t="n">
        <v>-7188000</v>
      </c>
      <c r="N80" s="277" t="n">
        <v>0</v>
      </c>
      <c r="O80" s="277" t="n">
        <v>-7188000</v>
      </c>
      <c r="P80" s="274"/>
      <c r="Q80" s="283"/>
      <c r="R80" s="234"/>
      <c r="S80" s="234"/>
      <c r="T80" s="88"/>
      <c r="U80" s="88" t="n">
        <v>0</v>
      </c>
      <c r="V80" s="115"/>
      <c r="W80" s="88"/>
      <c r="X80" s="88" t="n">
        <v>0</v>
      </c>
      <c r="Y80" s="98" t="s">
        <v>31</v>
      </c>
      <c r="Z80" s="93"/>
    </row>
    <row r="81" customFormat="false" ht="11.25" hidden="false" customHeight="false" outlineLevel="0" collapsed="false">
      <c r="A81" s="279"/>
      <c r="B81" s="263"/>
      <c r="C81" s="264"/>
      <c r="D81" s="263"/>
      <c r="E81" s="264"/>
      <c r="F81" s="265"/>
      <c r="G81" s="263"/>
      <c r="H81" s="295"/>
      <c r="I81" s="295"/>
      <c r="J81" s="296"/>
      <c r="K81" s="280" t="n">
        <v>0</v>
      </c>
      <c r="L81" s="280" t="n">
        <v>0</v>
      </c>
      <c r="M81" s="281" t="n">
        <v>0</v>
      </c>
      <c r="N81" s="281" t="n">
        <v>0</v>
      </c>
      <c r="O81" s="281" t="n">
        <v>0</v>
      </c>
      <c r="P81" s="274"/>
      <c r="Q81" s="283"/>
      <c r="R81" s="234"/>
      <c r="S81" s="234"/>
      <c r="T81" s="88"/>
      <c r="U81" s="88"/>
      <c r="V81" s="124" t="n">
        <v>0</v>
      </c>
      <c r="W81" s="88"/>
      <c r="X81" s="88"/>
      <c r="Y81" s="98"/>
      <c r="Z81" s="93"/>
    </row>
    <row r="82" customFormat="false" ht="11.25" hidden="false" customHeight="false" outlineLevel="0" collapsed="false">
      <c r="A82" s="279"/>
      <c r="B82" s="263"/>
      <c r="C82" s="264"/>
      <c r="D82" s="263"/>
      <c r="E82" s="263"/>
      <c r="F82" s="265"/>
      <c r="G82" s="266"/>
      <c r="H82" s="267"/>
      <c r="I82" s="267"/>
      <c r="J82" s="268"/>
      <c r="K82" s="269"/>
      <c r="L82" s="270"/>
      <c r="M82" s="271"/>
      <c r="N82" s="271"/>
      <c r="O82" s="271"/>
      <c r="P82" s="272"/>
      <c r="Q82" s="273"/>
      <c r="R82" s="119"/>
      <c r="S82" s="119"/>
      <c r="T82" s="88"/>
      <c r="U82" s="88"/>
      <c r="V82" s="104"/>
      <c r="W82" s="88"/>
      <c r="X82" s="88"/>
      <c r="Y82" s="98"/>
      <c r="Z82" s="93"/>
    </row>
    <row r="83" customFormat="false" ht="11.25" hidden="false" customHeight="false" outlineLevel="0" collapsed="false">
      <c r="A83" s="279"/>
      <c r="B83" s="263" t="s">
        <v>31</v>
      </c>
      <c r="C83" s="264" t="s">
        <v>63</v>
      </c>
      <c r="D83" s="263" t="s">
        <v>78</v>
      </c>
      <c r="E83" s="263" t="s">
        <v>45</v>
      </c>
      <c r="F83" s="265" t="s">
        <v>76</v>
      </c>
      <c r="G83" s="266" t="n">
        <v>36908</v>
      </c>
      <c r="H83" s="267" t="n">
        <v>5.0015</v>
      </c>
      <c r="I83" s="267" t="n">
        <v>4.33983333333333</v>
      </c>
      <c r="J83" s="268" t="n">
        <v>0.661666666666667</v>
      </c>
      <c r="K83" s="269" t="n">
        <v>4197500</v>
      </c>
      <c r="L83" s="270" t="n">
        <v>11500</v>
      </c>
      <c r="M83" s="271" t="n">
        <v>2782655</v>
      </c>
      <c r="N83" s="271" t="n">
        <v>0</v>
      </c>
      <c r="O83" s="271" t="n">
        <v>2782655</v>
      </c>
      <c r="P83" s="272"/>
      <c r="Q83" s="273" t="n">
        <v>-2782655</v>
      </c>
      <c r="R83" s="119" t="n">
        <v>296124.999999999</v>
      </c>
      <c r="S83" s="119" t="n">
        <v>-3078780</v>
      </c>
      <c r="T83" s="88"/>
      <c r="U83" s="88" t="n">
        <v>-3078780</v>
      </c>
      <c r="V83" s="104" t="n">
        <v>0</v>
      </c>
      <c r="W83" s="88"/>
      <c r="X83" s="88" t="n">
        <v>0</v>
      </c>
      <c r="Y83" s="98" t="s">
        <v>31</v>
      </c>
      <c r="Z83" s="93" t="n">
        <f aca="false">SUM(Q59:Q86)</f>
        <v>-7076080</v>
      </c>
    </row>
    <row r="84" customFormat="false" ht="11.25" hidden="false" customHeight="false" outlineLevel="0" collapsed="false">
      <c r="A84" s="279"/>
      <c r="B84" s="263" t="s">
        <v>31</v>
      </c>
      <c r="C84" s="264" t="s">
        <v>63</v>
      </c>
      <c r="D84" s="263" t="s">
        <v>79</v>
      </c>
      <c r="E84" s="263" t="s">
        <v>45</v>
      </c>
      <c r="F84" s="265" t="s">
        <v>76</v>
      </c>
      <c r="G84" s="266" t="n">
        <v>36908</v>
      </c>
      <c r="H84" s="267" t="n">
        <v>3.7015</v>
      </c>
      <c r="I84" s="267" t="n">
        <v>3.35158333333333</v>
      </c>
      <c r="J84" s="268" t="n">
        <v>0.349916666666666</v>
      </c>
      <c r="K84" s="269" t="n">
        <v>-4197500</v>
      </c>
      <c r="L84" s="270" t="n">
        <v>-11500</v>
      </c>
      <c r="M84" s="271" t="n">
        <v>-74634.9999999992</v>
      </c>
      <c r="N84" s="271" t="n">
        <v>0</v>
      </c>
      <c r="O84" s="271" t="n">
        <v>-74634.9999999992</v>
      </c>
      <c r="P84" s="272"/>
      <c r="Q84" s="273" t="n">
        <v>74634.9999999992</v>
      </c>
      <c r="R84" s="119" t="n">
        <v>-13719.4999999994</v>
      </c>
      <c r="S84" s="119" t="n">
        <v>88354.4999999986</v>
      </c>
      <c r="T84" s="88"/>
      <c r="U84" s="88" t="n">
        <v>88354.4999999986</v>
      </c>
      <c r="V84" s="104" t="n">
        <v>0</v>
      </c>
      <c r="W84" s="88"/>
      <c r="X84" s="88" t="n">
        <v>0</v>
      </c>
      <c r="Y84" s="98" t="s">
        <v>31</v>
      </c>
      <c r="Z84" s="261" t="n">
        <f aca="false">SUM(X59:X86)</f>
        <v>3836132.5</v>
      </c>
    </row>
    <row r="85" customFormat="false" ht="11.25" hidden="false" customHeight="false" outlineLevel="0" collapsed="false">
      <c r="A85" s="279"/>
      <c r="B85" s="263" t="s">
        <v>31</v>
      </c>
      <c r="C85" s="264" t="s">
        <v>80</v>
      </c>
      <c r="D85" s="263" t="n">
        <v>27458</v>
      </c>
      <c r="E85" s="263" t="s">
        <v>68</v>
      </c>
      <c r="F85" s="265" t="s">
        <v>76</v>
      </c>
      <c r="G85" s="266" t="n">
        <v>36902</v>
      </c>
      <c r="H85" s="291"/>
      <c r="I85" s="291"/>
      <c r="J85" s="292"/>
      <c r="K85" s="293"/>
      <c r="L85" s="297"/>
      <c r="M85" s="277" t="n">
        <v>-2708020</v>
      </c>
      <c r="N85" s="277" t="n">
        <v>0</v>
      </c>
      <c r="O85" s="277" t="n">
        <v>-2708020</v>
      </c>
      <c r="P85" s="274"/>
      <c r="Q85" s="273"/>
      <c r="R85" s="234"/>
      <c r="S85" s="234"/>
      <c r="T85" s="88"/>
      <c r="U85" s="88" t="n">
        <v>0</v>
      </c>
      <c r="V85" s="115"/>
      <c r="W85" s="88"/>
      <c r="X85" s="88" t="n">
        <v>0</v>
      </c>
      <c r="Y85" s="98" t="s">
        <v>31</v>
      </c>
      <c r="Z85" s="298" t="n">
        <f aca="false">+Z83-Z84</f>
        <v>-10912212.5</v>
      </c>
    </row>
    <row r="86" customFormat="false" ht="11.25" hidden="false" customHeight="false" outlineLevel="0" collapsed="false">
      <c r="A86" s="279"/>
      <c r="B86" s="263"/>
      <c r="C86" s="264"/>
      <c r="D86" s="263"/>
      <c r="E86" s="264"/>
      <c r="F86" s="299"/>
      <c r="G86" s="263"/>
      <c r="H86" s="295"/>
      <c r="I86" s="295"/>
      <c r="J86" s="296"/>
      <c r="K86" s="280"/>
      <c r="L86" s="282"/>
      <c r="M86" s="281" t="n">
        <v>0</v>
      </c>
      <c r="N86" s="281" t="n">
        <v>0</v>
      </c>
      <c r="O86" s="281" t="n">
        <v>0</v>
      </c>
      <c r="P86" s="274"/>
      <c r="Q86" s="273"/>
      <c r="R86" s="234"/>
      <c r="S86" s="234"/>
      <c r="T86" s="88"/>
      <c r="U86" s="88"/>
      <c r="V86" s="124" t="n">
        <v>0</v>
      </c>
      <c r="W86" s="88"/>
      <c r="X86" s="88"/>
      <c r="Y86" s="98"/>
      <c r="Z86" s="93"/>
    </row>
    <row r="87" customFormat="false" ht="8.1" hidden="false" customHeight="true" outlineLevel="0" collapsed="false">
      <c r="B87" s="98"/>
      <c r="C87" s="94"/>
      <c r="D87" s="98"/>
      <c r="E87" s="94"/>
      <c r="F87" s="35"/>
      <c r="G87" s="98"/>
      <c r="H87" s="94"/>
      <c r="I87" s="94"/>
      <c r="J87" s="100"/>
      <c r="K87" s="121"/>
      <c r="L87" s="122"/>
      <c r="M87" s="123"/>
      <c r="N87" s="123"/>
      <c r="O87" s="123"/>
      <c r="P87" s="71"/>
      <c r="Q87" s="86"/>
      <c r="R87" s="234"/>
      <c r="S87" s="234"/>
      <c r="T87" s="88"/>
      <c r="U87" s="88"/>
      <c r="V87" s="124"/>
      <c r="W87" s="88"/>
      <c r="X87" s="88"/>
      <c r="Y87" s="98"/>
      <c r="Z87" s="93"/>
    </row>
    <row r="88" customFormat="false" ht="11.25" hidden="false" customHeight="false" outlineLevel="0" collapsed="false">
      <c r="B88" s="45"/>
      <c r="C88" s="45"/>
      <c r="D88" s="45"/>
      <c r="E88" s="45"/>
      <c r="F88" s="35"/>
      <c r="G88" s="85"/>
      <c r="H88" s="38"/>
      <c r="I88" s="38"/>
      <c r="J88" s="47"/>
      <c r="K88" s="68"/>
      <c r="L88" s="68"/>
      <c r="M88" s="52"/>
      <c r="N88" s="41"/>
      <c r="O88" s="41"/>
      <c r="P88" s="76"/>
      <c r="Q88" s="86"/>
      <c r="R88" s="119"/>
      <c r="S88" s="119"/>
      <c r="T88" s="88"/>
      <c r="U88" s="88"/>
      <c r="V88" s="246"/>
      <c r="W88" s="88"/>
      <c r="X88" s="88"/>
      <c r="Y88" s="98"/>
      <c r="Z88" s="93"/>
    </row>
    <row r="89" customFormat="false" ht="11.25" hidden="false" customHeight="false" outlineLevel="0" collapsed="false">
      <c r="B89" s="98"/>
      <c r="C89" s="94"/>
      <c r="D89" s="98"/>
      <c r="E89" s="94"/>
      <c r="F89" s="94"/>
      <c r="G89" s="98"/>
      <c r="H89" s="132"/>
      <c r="I89" s="132"/>
      <c r="J89" s="133"/>
      <c r="K89" s="121"/>
      <c r="L89" s="122"/>
      <c r="M89" s="123"/>
      <c r="N89" s="123"/>
      <c r="O89" s="123"/>
      <c r="P89" s="71"/>
      <c r="Q89" s="86"/>
      <c r="R89" s="234"/>
      <c r="S89" s="234"/>
      <c r="T89" s="88"/>
      <c r="U89" s="88"/>
      <c r="V89" s="124"/>
      <c r="W89" s="88"/>
      <c r="X89" s="88"/>
      <c r="Y89" s="98"/>
      <c r="Z89" s="93"/>
    </row>
    <row r="90" customFormat="false" ht="8.1" hidden="false" customHeight="true" outlineLevel="0" collapsed="false">
      <c r="B90" s="98"/>
      <c r="C90" s="94"/>
      <c r="D90" s="98"/>
      <c r="E90" s="94"/>
      <c r="F90" s="94"/>
      <c r="G90" s="98"/>
      <c r="H90" s="94"/>
      <c r="I90" s="94"/>
      <c r="J90" s="100"/>
      <c r="K90" s="121"/>
      <c r="L90" s="122"/>
      <c r="M90" s="123"/>
      <c r="N90" s="123"/>
      <c r="O90" s="123"/>
      <c r="P90" s="71"/>
      <c r="Q90" s="86"/>
      <c r="R90" s="234"/>
      <c r="S90" s="234"/>
      <c r="T90" s="88"/>
      <c r="U90" s="88"/>
      <c r="V90" s="124"/>
      <c r="W90" s="88"/>
      <c r="X90" s="88"/>
      <c r="Y90" s="98"/>
    </row>
    <row r="91" customFormat="false" ht="12" hidden="false" customHeight="false" outlineLevel="0" collapsed="false">
      <c r="B91" s="45"/>
      <c r="C91" s="45"/>
      <c r="D91" s="45"/>
      <c r="E91" s="45"/>
      <c r="F91" s="45"/>
      <c r="G91" s="45"/>
      <c r="H91" s="136"/>
      <c r="I91" s="46"/>
      <c r="J91" s="46"/>
      <c r="K91" s="137" t="n">
        <v>0</v>
      </c>
      <c r="L91" s="137" t="n">
        <v>0</v>
      </c>
      <c r="M91" s="137" t="n">
        <v>49587.5</v>
      </c>
      <c r="N91" s="137" t="n">
        <v>0</v>
      </c>
      <c r="O91" s="137" t="n">
        <v>58774.9999999996</v>
      </c>
      <c r="P91" s="138" t="n">
        <v>0</v>
      </c>
      <c r="Q91" s="138" t="n">
        <v>-4972180</v>
      </c>
      <c r="R91" s="138" t="n">
        <v>36081435.5</v>
      </c>
      <c r="S91" s="138" t="n">
        <v>-41053615.5</v>
      </c>
      <c r="T91" s="138" t="n">
        <v>0</v>
      </c>
      <c r="U91" s="138" t="n">
        <v>-41053615.5</v>
      </c>
      <c r="V91" s="140" t="n">
        <v>-5940032.5</v>
      </c>
      <c r="W91" s="138" t="n">
        <v>0</v>
      </c>
      <c r="X91" s="138" t="n">
        <v>5940032.5</v>
      </c>
      <c r="Y91" s="300"/>
    </row>
    <row r="92" customFormat="false" ht="11.1" hidden="false" customHeight="true" outlineLevel="0" collapsed="false">
      <c r="B92" s="141"/>
      <c r="C92" s="142"/>
      <c r="D92" s="141"/>
      <c r="E92" s="142"/>
      <c r="F92" s="142"/>
      <c r="G92" s="141"/>
      <c r="H92" s="142"/>
      <c r="I92" s="142"/>
      <c r="J92" s="142"/>
      <c r="K92" s="142"/>
      <c r="L92" s="142"/>
      <c r="M92" s="142"/>
      <c r="N92" s="143"/>
      <c r="O92" s="144" t="s">
        <v>81</v>
      </c>
      <c r="V92" s="223"/>
    </row>
    <row r="93" customFormat="false" ht="11.25" hidden="false" customHeight="false" outlineLevel="0" collapsed="false">
      <c r="B93" s="145"/>
      <c r="C93" s="146"/>
      <c r="D93" s="145"/>
      <c r="E93" s="146"/>
      <c r="F93" s="146"/>
      <c r="G93" s="145"/>
      <c r="H93" s="146"/>
      <c r="I93" s="146"/>
      <c r="J93" s="146"/>
      <c r="K93" s="146"/>
      <c r="L93" s="146"/>
      <c r="M93" s="146"/>
      <c r="N93" s="146"/>
      <c r="O93" s="147"/>
      <c r="P93" s="148" t="s">
        <v>82</v>
      </c>
      <c r="Q93" s="149" t="n">
        <v>-4972180</v>
      </c>
      <c r="V93" s="229"/>
    </row>
    <row r="94" customFormat="false" ht="9" hidden="false" customHeight="true" outlineLevel="0" collapsed="false">
      <c r="B94" s="150" t="s">
        <v>83</v>
      </c>
      <c r="C94" s="146"/>
      <c r="D94" s="145"/>
      <c r="E94" s="146"/>
      <c r="F94" s="146"/>
      <c r="G94" s="145"/>
      <c r="H94" s="146"/>
      <c r="I94" s="146"/>
      <c r="J94" s="146"/>
      <c r="K94" s="146"/>
      <c r="L94" s="146"/>
      <c r="M94" s="146"/>
      <c r="N94" s="146"/>
      <c r="O94" s="147"/>
      <c r="V94" s="229"/>
    </row>
    <row r="95" customFormat="false" ht="9" hidden="false" customHeight="true" outlineLevel="0" collapsed="false">
      <c r="B95" s="145"/>
      <c r="C95" s="146"/>
      <c r="D95" s="145"/>
      <c r="E95" s="146"/>
      <c r="F95" s="146"/>
      <c r="G95" s="145"/>
      <c r="H95" s="146"/>
      <c r="I95" s="146"/>
      <c r="J95" s="146"/>
      <c r="K95" s="146"/>
      <c r="L95" s="146"/>
      <c r="M95" s="146"/>
      <c r="N95" s="146"/>
      <c r="O95" s="147"/>
      <c r="V95" s="229"/>
    </row>
    <row r="96" customFormat="false" ht="9" hidden="false" customHeight="true" outlineLevel="0" collapsed="false">
      <c r="B96" s="145"/>
      <c r="C96" s="146"/>
      <c r="D96" s="145"/>
      <c r="E96" s="146"/>
      <c r="F96" s="146"/>
      <c r="G96" s="145"/>
      <c r="H96" s="146"/>
      <c r="I96" s="146"/>
      <c r="J96" s="146"/>
      <c r="K96" s="146"/>
      <c r="L96" s="146"/>
      <c r="M96" s="146"/>
      <c r="N96" s="146"/>
      <c r="O96" s="147"/>
      <c r="V96" s="229"/>
    </row>
    <row r="97" customFormat="false" ht="9" hidden="false" customHeight="true" outlineLevel="0" collapsed="false">
      <c r="B97" s="145"/>
      <c r="C97" s="146"/>
      <c r="D97" s="145"/>
      <c r="E97" s="146"/>
      <c r="F97" s="146"/>
      <c r="G97" s="145"/>
      <c r="H97" s="146"/>
      <c r="I97" s="146"/>
      <c r="J97" s="146"/>
      <c r="K97" s="146"/>
      <c r="L97" s="146"/>
      <c r="M97" s="146"/>
      <c r="N97" s="146"/>
      <c r="O97" s="147"/>
      <c r="V97" s="229"/>
    </row>
    <row r="98" customFormat="false" ht="11.25" hidden="false" customHeight="false" outlineLevel="0" collapsed="false">
      <c r="B98" s="151" t="s">
        <v>84</v>
      </c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V98" s="301"/>
    </row>
    <row r="99" customFormat="false" ht="12.75" hidden="false" customHeight="false" outlineLevel="0" collapsed="false">
      <c r="B99" s="6" t="s">
        <v>85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R99" s="302"/>
      <c r="S99" s="302"/>
      <c r="V99" s="160"/>
    </row>
    <row r="100" customFormat="false" ht="12.75" hidden="false" customHeight="false" outlineLevel="0" collapsed="false">
      <c r="B100" s="2"/>
      <c r="L100" s="146"/>
      <c r="P100" s="61"/>
      <c r="Q100" s="61"/>
      <c r="R100" s="302"/>
      <c r="S100" s="302"/>
      <c r="Y100" s="160"/>
    </row>
    <row r="101" customFormat="false" ht="12.75" hidden="false" customHeight="false" outlineLevel="0" collapsed="false">
      <c r="A101" s="7"/>
      <c r="B101" s="19" t="s">
        <v>4</v>
      </c>
      <c r="C101" s="153" t="s">
        <v>5</v>
      </c>
      <c r="D101" s="153" t="s">
        <v>5</v>
      </c>
      <c r="E101" s="153" t="s">
        <v>5</v>
      </c>
      <c r="F101" s="153" t="s">
        <v>6</v>
      </c>
      <c r="G101" s="153" t="s">
        <v>7</v>
      </c>
      <c r="H101" s="153" t="s">
        <v>5</v>
      </c>
      <c r="I101" s="153" t="s">
        <v>8</v>
      </c>
      <c r="J101" s="153" t="s">
        <v>9</v>
      </c>
      <c r="K101" s="153" t="s">
        <v>5</v>
      </c>
      <c r="L101" s="153" t="s">
        <v>10</v>
      </c>
      <c r="M101" s="153"/>
      <c r="N101" s="153"/>
      <c r="O101" s="153"/>
      <c r="P101" s="153"/>
      <c r="Q101" s="20"/>
      <c r="R101" s="302"/>
      <c r="S101" s="302"/>
      <c r="T101" s="160"/>
      <c r="U101" s="160"/>
      <c r="V101" s="303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  <c r="BH101" s="160"/>
      <c r="BI101" s="160"/>
      <c r="BJ101" s="160"/>
      <c r="BK101" s="160"/>
      <c r="BL101" s="160"/>
      <c r="BM101" s="160"/>
      <c r="BN101" s="160"/>
      <c r="BO101" s="160"/>
      <c r="BP101" s="160"/>
      <c r="BQ101" s="160"/>
      <c r="BR101" s="160"/>
      <c r="BS101" s="160"/>
      <c r="BT101" s="160"/>
      <c r="BU101" s="160"/>
      <c r="BV101" s="160"/>
      <c r="BW101" s="160"/>
      <c r="BX101" s="160"/>
      <c r="BY101" s="160"/>
      <c r="BZ101" s="160"/>
      <c r="CA101" s="160"/>
      <c r="CB101" s="160"/>
      <c r="CC101" s="160"/>
      <c r="CD101" s="160"/>
      <c r="CE101" s="160"/>
      <c r="CF101" s="160"/>
      <c r="CG101" s="160"/>
      <c r="CH101" s="160"/>
      <c r="CI101" s="160"/>
      <c r="CJ101" s="160"/>
      <c r="CK101" s="160"/>
      <c r="CL101" s="160"/>
      <c r="CM101" s="160"/>
      <c r="CN101" s="160"/>
      <c r="CO101" s="160"/>
      <c r="CP101" s="160"/>
      <c r="CQ101" s="160"/>
      <c r="CR101" s="160"/>
      <c r="CS101" s="160"/>
      <c r="CT101" s="160"/>
      <c r="CU101" s="160"/>
      <c r="CV101" s="160"/>
      <c r="CW101" s="160"/>
      <c r="CX101" s="160"/>
      <c r="CY101" s="160"/>
      <c r="CZ101" s="160"/>
      <c r="DA101" s="160"/>
      <c r="DB101" s="160"/>
      <c r="DC101" s="160"/>
      <c r="DD101" s="160"/>
      <c r="DE101" s="160"/>
      <c r="DF101" s="160"/>
      <c r="DG101" s="160"/>
      <c r="DH101" s="160"/>
      <c r="DI101" s="160"/>
      <c r="DJ101" s="160"/>
      <c r="DK101" s="160"/>
      <c r="DL101" s="160"/>
      <c r="DM101" s="160"/>
      <c r="DN101" s="160"/>
      <c r="DO101" s="160"/>
      <c r="DP101" s="160"/>
      <c r="DQ101" s="160"/>
      <c r="DR101" s="160"/>
      <c r="DS101" s="160"/>
      <c r="DT101" s="160"/>
      <c r="DU101" s="160"/>
      <c r="DV101" s="160"/>
      <c r="DW101" s="160"/>
      <c r="DX101" s="160"/>
      <c r="DY101" s="160"/>
      <c r="DZ101" s="160"/>
      <c r="EA101" s="160"/>
      <c r="EB101" s="160"/>
      <c r="EC101" s="160"/>
      <c r="ED101" s="160"/>
      <c r="EE101" s="160"/>
      <c r="EF101" s="160"/>
      <c r="EG101" s="160"/>
      <c r="EH101" s="160"/>
      <c r="EI101" s="160"/>
      <c r="EJ101" s="160"/>
      <c r="EK101" s="160"/>
      <c r="EL101" s="160"/>
      <c r="EM101" s="160"/>
      <c r="EN101" s="160"/>
      <c r="EO101" s="160"/>
      <c r="EP101" s="160"/>
      <c r="EQ101" s="160"/>
      <c r="ER101" s="160"/>
      <c r="ES101" s="160"/>
      <c r="ET101" s="160"/>
      <c r="EU101" s="160"/>
      <c r="EV101" s="160"/>
      <c r="EW101" s="160"/>
      <c r="EX101" s="160"/>
      <c r="EY101" s="160"/>
      <c r="EZ101" s="160"/>
      <c r="FA101" s="160"/>
      <c r="FB101" s="160"/>
      <c r="FC101" s="160"/>
      <c r="FD101" s="160"/>
      <c r="FE101" s="160"/>
      <c r="FF101" s="160"/>
      <c r="FG101" s="160"/>
      <c r="FH101" s="160"/>
      <c r="FI101" s="160"/>
      <c r="FJ101" s="160"/>
      <c r="FK101" s="160"/>
      <c r="FL101" s="160"/>
      <c r="FM101" s="160"/>
      <c r="FN101" s="160"/>
      <c r="FO101" s="160"/>
      <c r="FP101" s="160"/>
      <c r="FQ101" s="160"/>
      <c r="FR101" s="160"/>
      <c r="FS101" s="160"/>
      <c r="FT101" s="160"/>
      <c r="FU101" s="160"/>
      <c r="FV101" s="160"/>
      <c r="FW101" s="160"/>
      <c r="FX101" s="160"/>
      <c r="FY101" s="160"/>
      <c r="FZ101" s="160"/>
      <c r="GA101" s="160"/>
      <c r="GB101" s="160"/>
      <c r="GC101" s="160"/>
      <c r="GD101" s="160"/>
      <c r="GE101" s="160"/>
      <c r="GF101" s="160"/>
      <c r="GG101" s="160"/>
      <c r="GH101" s="160"/>
      <c r="GI101" s="160"/>
      <c r="GJ101" s="160"/>
      <c r="GK101" s="160"/>
      <c r="GL101" s="160"/>
      <c r="GM101" s="160"/>
      <c r="GN101" s="160"/>
      <c r="GO101" s="160"/>
      <c r="GP101" s="160"/>
      <c r="GQ101" s="160"/>
      <c r="GR101" s="160"/>
      <c r="GS101" s="160"/>
      <c r="GT101" s="160"/>
      <c r="GU101" s="160"/>
      <c r="GV101" s="160"/>
      <c r="GW101" s="160"/>
      <c r="GX101" s="160"/>
      <c r="GY101" s="160"/>
      <c r="GZ101" s="160"/>
      <c r="HA101" s="160"/>
      <c r="HB101" s="160"/>
      <c r="HC101" s="160"/>
      <c r="HD101" s="160"/>
      <c r="HE101" s="160"/>
      <c r="HF101" s="160"/>
      <c r="HG101" s="160"/>
      <c r="HH101" s="160"/>
      <c r="HI101" s="160"/>
      <c r="HJ101" s="160"/>
      <c r="HK101" s="160"/>
      <c r="HL101" s="160"/>
      <c r="HM101" s="160"/>
      <c r="HN101" s="160"/>
      <c r="HO101" s="160"/>
      <c r="HP101" s="160"/>
      <c r="HQ101" s="160"/>
      <c r="HR101" s="160"/>
      <c r="HS101" s="160"/>
      <c r="HT101" s="160"/>
      <c r="HU101" s="160"/>
      <c r="HV101" s="160"/>
      <c r="HW101" s="160"/>
      <c r="HX101" s="160"/>
      <c r="HY101" s="160"/>
      <c r="HZ101" s="160"/>
      <c r="IA101" s="160"/>
      <c r="IB101" s="160"/>
      <c r="IC101" s="160"/>
      <c r="ID101" s="160"/>
      <c r="IE101" s="160"/>
      <c r="IF101" s="160"/>
      <c r="IG101" s="160"/>
      <c r="IH101" s="160"/>
      <c r="II101" s="160"/>
      <c r="IJ101" s="160"/>
      <c r="IK101" s="160"/>
      <c r="IL101" s="160"/>
      <c r="IM101" s="160"/>
      <c r="IN101" s="160"/>
      <c r="IO101" s="160"/>
      <c r="IP101" s="160"/>
      <c r="IQ101" s="160"/>
      <c r="IR101" s="160"/>
      <c r="IS101" s="160"/>
      <c r="IT101" s="160"/>
      <c r="IU101" s="160"/>
      <c r="IV101" s="160"/>
      <c r="IW101" s="160"/>
    </row>
    <row r="102" customFormat="false" ht="12.75" hidden="false" customHeight="false" outlineLevel="0" collapsed="false">
      <c r="A102" s="7"/>
      <c r="B102" s="24" t="s">
        <v>11</v>
      </c>
      <c r="C102" s="154" t="s">
        <v>11</v>
      </c>
      <c r="D102" s="154" t="s">
        <v>12</v>
      </c>
      <c r="E102" s="154" t="s">
        <v>13</v>
      </c>
      <c r="F102" s="154" t="s">
        <v>14</v>
      </c>
      <c r="G102" s="154" t="s">
        <v>15</v>
      </c>
      <c r="H102" s="154" t="s">
        <v>16</v>
      </c>
      <c r="I102" s="154" t="s">
        <v>17</v>
      </c>
      <c r="J102" s="154"/>
      <c r="K102" s="154" t="s">
        <v>18</v>
      </c>
      <c r="L102" s="154"/>
      <c r="M102" s="155" t="s">
        <v>86</v>
      </c>
      <c r="N102" s="155"/>
      <c r="O102" s="155"/>
      <c r="P102" s="155"/>
      <c r="Q102" s="25"/>
      <c r="R102" s="302"/>
      <c r="S102" s="302"/>
      <c r="T102" s="160"/>
      <c r="U102" s="160"/>
      <c r="V102" s="301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  <c r="BI102" s="160"/>
      <c r="BJ102" s="160"/>
      <c r="BK102" s="160"/>
      <c r="BL102" s="160"/>
      <c r="BM102" s="160"/>
      <c r="BN102" s="160"/>
      <c r="BO102" s="160"/>
      <c r="BP102" s="160"/>
      <c r="BQ102" s="160"/>
      <c r="BR102" s="160"/>
      <c r="BS102" s="160"/>
      <c r="BT102" s="160"/>
      <c r="BU102" s="160"/>
      <c r="BV102" s="160"/>
      <c r="BW102" s="160"/>
      <c r="BX102" s="160"/>
      <c r="BY102" s="160"/>
      <c r="BZ102" s="160"/>
      <c r="CA102" s="160"/>
      <c r="CB102" s="160"/>
      <c r="CC102" s="160"/>
      <c r="CD102" s="160"/>
      <c r="CE102" s="160"/>
      <c r="CF102" s="160"/>
      <c r="CG102" s="160"/>
      <c r="CH102" s="160"/>
      <c r="CI102" s="160"/>
      <c r="CJ102" s="160"/>
      <c r="CK102" s="160"/>
      <c r="CL102" s="160"/>
      <c r="CM102" s="160"/>
      <c r="CN102" s="160"/>
      <c r="CO102" s="160"/>
      <c r="CP102" s="160"/>
      <c r="CQ102" s="160"/>
      <c r="CR102" s="160"/>
      <c r="CS102" s="160"/>
      <c r="CT102" s="160"/>
      <c r="CU102" s="160"/>
      <c r="CV102" s="160"/>
      <c r="CW102" s="160"/>
      <c r="CX102" s="160"/>
      <c r="CY102" s="160"/>
      <c r="CZ102" s="160"/>
      <c r="DA102" s="160"/>
      <c r="DB102" s="160"/>
      <c r="DC102" s="160"/>
      <c r="DD102" s="160"/>
      <c r="DE102" s="160"/>
      <c r="DF102" s="160"/>
      <c r="DG102" s="160"/>
      <c r="DH102" s="160"/>
      <c r="DI102" s="160"/>
      <c r="DJ102" s="160"/>
      <c r="DK102" s="160"/>
      <c r="DL102" s="160"/>
      <c r="DM102" s="160"/>
      <c r="DN102" s="160"/>
      <c r="DO102" s="160"/>
      <c r="DP102" s="160"/>
      <c r="DQ102" s="160"/>
      <c r="DR102" s="160"/>
      <c r="DS102" s="160"/>
      <c r="DT102" s="160"/>
      <c r="DU102" s="160"/>
      <c r="DV102" s="160"/>
      <c r="DW102" s="160"/>
      <c r="DX102" s="160"/>
      <c r="DY102" s="160"/>
      <c r="DZ102" s="160"/>
      <c r="EA102" s="160"/>
      <c r="EB102" s="160"/>
      <c r="EC102" s="160"/>
      <c r="ED102" s="160"/>
      <c r="EE102" s="160"/>
      <c r="EF102" s="160"/>
      <c r="EG102" s="160"/>
      <c r="EH102" s="160"/>
      <c r="EI102" s="160"/>
      <c r="EJ102" s="160"/>
      <c r="EK102" s="160"/>
      <c r="EL102" s="160"/>
      <c r="EM102" s="160"/>
      <c r="EN102" s="160"/>
      <c r="EO102" s="160"/>
      <c r="EP102" s="160"/>
      <c r="EQ102" s="160"/>
      <c r="ER102" s="160"/>
      <c r="ES102" s="160"/>
      <c r="ET102" s="160"/>
      <c r="EU102" s="160"/>
      <c r="EV102" s="160"/>
      <c r="EW102" s="160"/>
      <c r="EX102" s="160"/>
      <c r="EY102" s="160"/>
      <c r="EZ102" s="160"/>
      <c r="FA102" s="160"/>
      <c r="FB102" s="160"/>
      <c r="FC102" s="160"/>
      <c r="FD102" s="160"/>
      <c r="FE102" s="160"/>
      <c r="FF102" s="160"/>
      <c r="FG102" s="160"/>
      <c r="FH102" s="160"/>
      <c r="FI102" s="160"/>
      <c r="FJ102" s="160"/>
      <c r="FK102" s="160"/>
      <c r="FL102" s="160"/>
      <c r="FM102" s="160"/>
      <c r="FN102" s="160"/>
      <c r="FO102" s="160"/>
      <c r="FP102" s="160"/>
      <c r="FQ102" s="160"/>
      <c r="FR102" s="160"/>
      <c r="FS102" s="160"/>
      <c r="FT102" s="160"/>
      <c r="FU102" s="160"/>
      <c r="FV102" s="160"/>
      <c r="FW102" s="160"/>
      <c r="FX102" s="160"/>
      <c r="FY102" s="160"/>
      <c r="FZ102" s="160"/>
      <c r="GA102" s="160"/>
      <c r="GB102" s="160"/>
      <c r="GC102" s="160"/>
      <c r="GD102" s="160"/>
      <c r="GE102" s="160"/>
      <c r="GF102" s="160"/>
      <c r="GG102" s="160"/>
      <c r="GH102" s="160"/>
      <c r="GI102" s="160"/>
      <c r="GJ102" s="160"/>
      <c r="GK102" s="160"/>
      <c r="GL102" s="160"/>
      <c r="GM102" s="160"/>
      <c r="GN102" s="160"/>
      <c r="GO102" s="160"/>
      <c r="GP102" s="160"/>
      <c r="GQ102" s="160"/>
      <c r="GR102" s="160"/>
      <c r="GS102" s="160"/>
      <c r="GT102" s="160"/>
      <c r="GU102" s="160"/>
      <c r="GV102" s="160"/>
      <c r="GW102" s="160"/>
      <c r="GX102" s="160"/>
      <c r="GY102" s="160"/>
      <c r="GZ102" s="160"/>
      <c r="HA102" s="160"/>
      <c r="HB102" s="160"/>
      <c r="HC102" s="160"/>
      <c r="HD102" s="160"/>
      <c r="HE102" s="160"/>
      <c r="HF102" s="160"/>
      <c r="HG102" s="160"/>
      <c r="HH102" s="160"/>
      <c r="HI102" s="160"/>
      <c r="HJ102" s="160"/>
      <c r="HK102" s="160"/>
      <c r="HL102" s="160"/>
      <c r="HM102" s="160"/>
      <c r="HN102" s="160"/>
      <c r="HO102" s="160"/>
      <c r="HP102" s="160"/>
      <c r="HQ102" s="160"/>
      <c r="HR102" s="160"/>
      <c r="HS102" s="160"/>
      <c r="HT102" s="160"/>
      <c r="HU102" s="160"/>
      <c r="HV102" s="160"/>
      <c r="HW102" s="160"/>
      <c r="HX102" s="160"/>
      <c r="HY102" s="160"/>
      <c r="HZ102" s="160"/>
      <c r="IA102" s="160"/>
      <c r="IB102" s="160"/>
      <c r="IC102" s="160"/>
      <c r="ID102" s="160"/>
      <c r="IE102" s="160"/>
      <c r="IF102" s="160"/>
      <c r="IG102" s="160"/>
      <c r="IH102" s="160"/>
      <c r="II102" s="160"/>
      <c r="IJ102" s="160"/>
      <c r="IK102" s="160"/>
      <c r="IL102" s="160"/>
      <c r="IM102" s="160"/>
      <c r="IN102" s="160"/>
      <c r="IO102" s="160"/>
      <c r="IP102" s="160"/>
      <c r="IQ102" s="160"/>
      <c r="IR102" s="160"/>
      <c r="IS102" s="160"/>
      <c r="IT102" s="160"/>
      <c r="IU102" s="160"/>
      <c r="IV102" s="160"/>
      <c r="IW102" s="160"/>
    </row>
    <row r="103" customFormat="false" ht="12.75" hidden="false" customHeight="false" outlineLevel="0" collapsed="false">
      <c r="A103" s="7"/>
      <c r="B103" s="24"/>
      <c r="C103" s="154"/>
      <c r="D103" s="154"/>
      <c r="E103" s="154"/>
      <c r="F103" s="154"/>
      <c r="G103" s="154"/>
      <c r="H103" s="154"/>
      <c r="I103" s="154" t="s">
        <v>21</v>
      </c>
      <c r="J103" s="154"/>
      <c r="K103" s="154" t="s">
        <v>87</v>
      </c>
      <c r="L103" s="154"/>
      <c r="M103" s="154" t="s">
        <v>23</v>
      </c>
      <c r="N103" s="154" t="s">
        <v>88</v>
      </c>
      <c r="O103" s="154" t="s">
        <v>89</v>
      </c>
      <c r="P103" s="155" t="s">
        <v>90</v>
      </c>
      <c r="Q103" s="156"/>
      <c r="R103" s="302"/>
      <c r="S103" s="302"/>
      <c r="T103" s="160"/>
      <c r="U103" s="160"/>
      <c r="V103" s="221" t="s">
        <v>25</v>
      </c>
      <c r="W103" s="222" t="s">
        <v>91</v>
      </c>
      <c r="X103" s="223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  <c r="BI103" s="160"/>
      <c r="BJ103" s="160"/>
      <c r="BK103" s="160"/>
      <c r="BL103" s="160"/>
      <c r="BM103" s="160"/>
      <c r="BN103" s="160"/>
      <c r="BO103" s="160"/>
      <c r="BP103" s="160"/>
      <c r="BQ103" s="160"/>
      <c r="BR103" s="160"/>
      <c r="BS103" s="160"/>
      <c r="BT103" s="160"/>
      <c r="BU103" s="160"/>
      <c r="BV103" s="160"/>
      <c r="BW103" s="160"/>
      <c r="BX103" s="160"/>
      <c r="BY103" s="160"/>
      <c r="BZ103" s="160"/>
      <c r="CA103" s="160"/>
      <c r="CB103" s="160"/>
      <c r="CC103" s="160"/>
      <c r="CD103" s="160"/>
      <c r="CE103" s="160"/>
      <c r="CF103" s="160"/>
      <c r="CG103" s="160"/>
      <c r="CH103" s="160"/>
      <c r="CI103" s="160"/>
      <c r="CJ103" s="160"/>
      <c r="CK103" s="160"/>
      <c r="CL103" s="160"/>
      <c r="CM103" s="160"/>
      <c r="CN103" s="160"/>
      <c r="CO103" s="160"/>
      <c r="CP103" s="160"/>
      <c r="CQ103" s="160"/>
      <c r="CR103" s="160"/>
      <c r="CS103" s="160"/>
      <c r="CT103" s="160"/>
      <c r="CU103" s="160"/>
      <c r="CV103" s="160"/>
      <c r="CW103" s="160"/>
      <c r="CX103" s="160"/>
      <c r="CY103" s="160"/>
      <c r="CZ103" s="160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0"/>
      <c r="DO103" s="160"/>
      <c r="DP103" s="160"/>
      <c r="DQ103" s="160"/>
      <c r="DR103" s="160"/>
      <c r="DS103" s="160"/>
      <c r="DT103" s="160"/>
      <c r="DU103" s="160"/>
      <c r="DV103" s="160"/>
      <c r="DW103" s="160"/>
      <c r="DX103" s="160"/>
      <c r="DY103" s="160"/>
      <c r="DZ103" s="160"/>
      <c r="EA103" s="160"/>
      <c r="EB103" s="160"/>
      <c r="EC103" s="160"/>
      <c r="ED103" s="160"/>
      <c r="EE103" s="160"/>
      <c r="EF103" s="160"/>
      <c r="EG103" s="160"/>
      <c r="EH103" s="160"/>
      <c r="EI103" s="160"/>
      <c r="EJ103" s="160"/>
      <c r="EK103" s="160"/>
      <c r="EL103" s="160"/>
      <c r="EM103" s="160"/>
      <c r="EN103" s="160"/>
      <c r="EO103" s="160"/>
      <c r="EP103" s="160"/>
      <c r="EQ103" s="160"/>
      <c r="ER103" s="160"/>
      <c r="ES103" s="160"/>
      <c r="ET103" s="160"/>
      <c r="EU103" s="160"/>
      <c r="EV103" s="160"/>
      <c r="EW103" s="160"/>
      <c r="EX103" s="160"/>
      <c r="EY103" s="160"/>
      <c r="EZ103" s="160"/>
      <c r="FA103" s="160"/>
      <c r="FB103" s="160"/>
      <c r="FC103" s="160"/>
      <c r="FD103" s="160"/>
      <c r="FE103" s="160"/>
      <c r="FF103" s="160"/>
      <c r="FG103" s="160"/>
      <c r="FH103" s="160"/>
      <c r="FI103" s="160"/>
      <c r="FJ103" s="160"/>
      <c r="FK103" s="160"/>
      <c r="FL103" s="160"/>
      <c r="FM103" s="160"/>
      <c r="FN103" s="160"/>
      <c r="FO103" s="160"/>
      <c r="FP103" s="160"/>
      <c r="FQ103" s="160"/>
      <c r="FR103" s="160"/>
      <c r="FS103" s="160"/>
      <c r="FT103" s="160"/>
      <c r="FU103" s="160"/>
      <c r="FV103" s="160"/>
      <c r="FW103" s="160"/>
      <c r="FX103" s="160"/>
      <c r="FY103" s="160"/>
      <c r="FZ103" s="160"/>
      <c r="GA103" s="160"/>
      <c r="GB103" s="160"/>
      <c r="GC103" s="160"/>
      <c r="GD103" s="160"/>
      <c r="GE103" s="160"/>
      <c r="GF103" s="160"/>
      <c r="GG103" s="160"/>
      <c r="GH103" s="160"/>
      <c r="GI103" s="160"/>
      <c r="GJ103" s="160"/>
      <c r="GK103" s="160"/>
      <c r="GL103" s="160"/>
      <c r="GM103" s="160"/>
      <c r="GN103" s="160"/>
      <c r="GO103" s="160"/>
      <c r="GP103" s="160"/>
      <c r="GQ103" s="160"/>
      <c r="GR103" s="160"/>
      <c r="GS103" s="160"/>
      <c r="GT103" s="160"/>
      <c r="GU103" s="160"/>
      <c r="GV103" s="160"/>
      <c r="GW103" s="160"/>
      <c r="GX103" s="160"/>
      <c r="GY103" s="160"/>
      <c r="GZ103" s="160"/>
      <c r="HA103" s="160"/>
      <c r="HB103" s="160"/>
      <c r="HC103" s="160"/>
      <c r="HD103" s="160"/>
      <c r="HE103" s="160"/>
      <c r="HF103" s="160"/>
      <c r="HG103" s="160"/>
      <c r="HH103" s="160"/>
      <c r="HI103" s="160"/>
      <c r="HJ103" s="160"/>
      <c r="HK103" s="160"/>
      <c r="HL103" s="160"/>
      <c r="HM103" s="160"/>
      <c r="HN103" s="160"/>
      <c r="HO103" s="160"/>
      <c r="HP103" s="160"/>
      <c r="HQ103" s="160"/>
      <c r="HR103" s="160"/>
      <c r="HS103" s="160"/>
      <c r="HT103" s="160"/>
      <c r="HU103" s="160"/>
      <c r="HV103" s="160"/>
      <c r="HW103" s="160"/>
      <c r="HX103" s="160"/>
      <c r="HY103" s="160"/>
      <c r="HZ103" s="160"/>
      <c r="IA103" s="160"/>
      <c r="IB103" s="160"/>
      <c r="IC103" s="160"/>
      <c r="ID103" s="160"/>
      <c r="IE103" s="160"/>
      <c r="IF103" s="160"/>
      <c r="IG103" s="160"/>
      <c r="IH103" s="160"/>
      <c r="II103" s="160"/>
      <c r="IJ103" s="160"/>
      <c r="IK103" s="160"/>
      <c r="IL103" s="160"/>
      <c r="IM103" s="160"/>
      <c r="IN103" s="160"/>
      <c r="IO103" s="160"/>
      <c r="IP103" s="160"/>
      <c r="IQ103" s="160"/>
      <c r="IR103" s="160"/>
      <c r="IS103" s="160"/>
      <c r="IT103" s="160"/>
      <c r="IU103" s="160"/>
      <c r="IV103" s="160"/>
      <c r="IW103" s="160"/>
    </row>
    <row r="104" customFormat="false" ht="12.75" hidden="false" customHeight="false" outlineLevel="0" collapsed="false">
      <c r="A104" s="7"/>
      <c r="B104" s="157"/>
      <c r="C104" s="155"/>
      <c r="D104" s="155"/>
      <c r="E104" s="155"/>
      <c r="F104" s="155"/>
      <c r="G104" s="155"/>
      <c r="H104" s="155"/>
      <c r="I104" s="155" t="s">
        <v>27</v>
      </c>
      <c r="J104" s="155"/>
      <c r="K104" s="155" t="s">
        <v>92</v>
      </c>
      <c r="L104" s="158"/>
      <c r="M104" s="155" t="s">
        <v>29</v>
      </c>
      <c r="N104" s="155" t="s">
        <v>29</v>
      </c>
      <c r="O104" s="155" t="s">
        <v>29</v>
      </c>
      <c r="P104" s="155" t="s">
        <v>30</v>
      </c>
      <c r="Q104" s="159" t="s">
        <v>31</v>
      </c>
      <c r="R104" s="302"/>
      <c r="S104" s="302" t="s">
        <v>134</v>
      </c>
      <c r="T104" s="160"/>
      <c r="U104" s="160"/>
      <c r="V104" s="228" t="s">
        <v>33</v>
      </c>
      <c r="W104" s="225" t="s">
        <v>26</v>
      </c>
      <c r="X104" s="226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160"/>
      <c r="BN104" s="160"/>
      <c r="BO104" s="160"/>
      <c r="BP104" s="160"/>
      <c r="BQ104" s="160"/>
      <c r="BR104" s="160"/>
      <c r="BS104" s="160"/>
      <c r="BT104" s="160"/>
      <c r="BU104" s="160"/>
      <c r="BV104" s="160"/>
      <c r="BW104" s="160"/>
      <c r="BX104" s="160"/>
      <c r="BY104" s="160"/>
      <c r="BZ104" s="160"/>
      <c r="CA104" s="160"/>
      <c r="CB104" s="160"/>
      <c r="CC104" s="160"/>
      <c r="CD104" s="160"/>
      <c r="CE104" s="160"/>
      <c r="CF104" s="160"/>
      <c r="CG104" s="160"/>
      <c r="CH104" s="160"/>
      <c r="CI104" s="160"/>
      <c r="CJ104" s="160"/>
      <c r="CK104" s="160"/>
      <c r="CL104" s="160"/>
      <c r="CM104" s="160"/>
      <c r="CN104" s="160"/>
      <c r="CO104" s="160"/>
      <c r="CP104" s="160"/>
      <c r="CQ104" s="160"/>
      <c r="CR104" s="160"/>
      <c r="CS104" s="160"/>
      <c r="CT104" s="160"/>
      <c r="CU104" s="160"/>
      <c r="CV104" s="160"/>
      <c r="CW104" s="160"/>
      <c r="CX104" s="160"/>
      <c r="CY104" s="160"/>
      <c r="CZ104" s="160"/>
      <c r="DA104" s="160"/>
      <c r="DB104" s="160"/>
      <c r="DC104" s="160"/>
      <c r="DD104" s="160"/>
      <c r="DE104" s="160"/>
      <c r="DF104" s="160"/>
      <c r="DG104" s="160"/>
      <c r="DH104" s="160"/>
      <c r="DI104" s="160"/>
      <c r="DJ104" s="160"/>
      <c r="DK104" s="160"/>
      <c r="DL104" s="160"/>
      <c r="DM104" s="160"/>
      <c r="DN104" s="160"/>
      <c r="DO104" s="160"/>
      <c r="DP104" s="160"/>
      <c r="DQ104" s="160"/>
      <c r="DR104" s="160"/>
      <c r="DS104" s="160"/>
      <c r="DT104" s="160"/>
      <c r="DU104" s="160"/>
      <c r="DV104" s="160"/>
      <c r="DW104" s="160"/>
      <c r="DX104" s="160"/>
      <c r="DY104" s="160"/>
      <c r="DZ104" s="160"/>
      <c r="EA104" s="160"/>
      <c r="EB104" s="160"/>
      <c r="EC104" s="160"/>
      <c r="ED104" s="160"/>
      <c r="EE104" s="160"/>
      <c r="EF104" s="160"/>
      <c r="EG104" s="160"/>
      <c r="EH104" s="160"/>
      <c r="EI104" s="160"/>
      <c r="EJ104" s="160"/>
      <c r="EK104" s="160"/>
      <c r="EL104" s="160"/>
      <c r="EM104" s="160"/>
      <c r="EN104" s="160"/>
      <c r="EO104" s="160"/>
      <c r="EP104" s="160"/>
      <c r="EQ104" s="160"/>
      <c r="ER104" s="160"/>
      <c r="ES104" s="160"/>
      <c r="ET104" s="160"/>
      <c r="EU104" s="160"/>
      <c r="EV104" s="160"/>
      <c r="EW104" s="160"/>
      <c r="EX104" s="160"/>
      <c r="EY104" s="160"/>
      <c r="EZ104" s="160"/>
      <c r="FA104" s="160"/>
      <c r="FB104" s="160"/>
      <c r="FC104" s="160"/>
      <c r="FD104" s="160"/>
      <c r="FE104" s="160"/>
      <c r="FF104" s="160"/>
      <c r="FG104" s="160"/>
      <c r="FH104" s="160"/>
      <c r="FI104" s="160"/>
      <c r="FJ104" s="160"/>
      <c r="FK104" s="160"/>
      <c r="FL104" s="160"/>
      <c r="FM104" s="160"/>
      <c r="FN104" s="160"/>
      <c r="FO104" s="160"/>
      <c r="FP104" s="160"/>
      <c r="FQ104" s="160"/>
      <c r="FR104" s="160"/>
      <c r="FS104" s="160"/>
      <c r="FT104" s="160"/>
      <c r="FU104" s="160"/>
      <c r="FV104" s="160"/>
      <c r="FW104" s="160"/>
      <c r="FX104" s="160"/>
      <c r="FY104" s="160"/>
      <c r="FZ104" s="160"/>
      <c r="GA104" s="160"/>
      <c r="GB104" s="160"/>
      <c r="GC104" s="160"/>
      <c r="GD104" s="160"/>
      <c r="GE104" s="160"/>
      <c r="GF104" s="160"/>
      <c r="GG104" s="160"/>
      <c r="GH104" s="160"/>
      <c r="GI104" s="160"/>
      <c r="GJ104" s="160"/>
      <c r="GK104" s="160"/>
      <c r="GL104" s="160"/>
      <c r="GM104" s="160"/>
      <c r="GN104" s="160"/>
      <c r="GO104" s="160"/>
      <c r="GP104" s="160"/>
      <c r="GQ104" s="160"/>
      <c r="GR104" s="160"/>
      <c r="GS104" s="160"/>
      <c r="GT104" s="160"/>
      <c r="GU104" s="160"/>
      <c r="GV104" s="160"/>
      <c r="GW104" s="160"/>
      <c r="GX104" s="160"/>
      <c r="GY104" s="160"/>
      <c r="GZ104" s="160"/>
      <c r="HA104" s="160"/>
      <c r="HB104" s="160"/>
      <c r="HC104" s="160"/>
      <c r="HD104" s="160"/>
      <c r="HE104" s="160"/>
      <c r="HF104" s="160"/>
      <c r="HG104" s="160"/>
      <c r="HH104" s="160"/>
      <c r="HI104" s="160"/>
      <c r="HJ104" s="160"/>
      <c r="HK104" s="160"/>
      <c r="HL104" s="160"/>
      <c r="HM104" s="160"/>
      <c r="HN104" s="160"/>
      <c r="HO104" s="160"/>
      <c r="HP104" s="160"/>
      <c r="HQ104" s="160"/>
      <c r="HR104" s="160"/>
      <c r="HS104" s="160"/>
      <c r="HT104" s="160"/>
      <c r="HU104" s="160"/>
      <c r="HV104" s="160"/>
      <c r="HW104" s="160"/>
      <c r="HX104" s="160"/>
      <c r="HY104" s="160"/>
      <c r="HZ104" s="160"/>
      <c r="IA104" s="160"/>
      <c r="IB104" s="160"/>
      <c r="IC104" s="160"/>
      <c r="ID104" s="160"/>
      <c r="IE104" s="160"/>
      <c r="IF104" s="160"/>
      <c r="IG104" s="160"/>
      <c r="IH104" s="160"/>
      <c r="II104" s="160"/>
      <c r="IJ104" s="160"/>
      <c r="IK104" s="160"/>
      <c r="IL104" s="160"/>
      <c r="IM104" s="160"/>
      <c r="IN104" s="160"/>
      <c r="IO104" s="160"/>
      <c r="IP104" s="160"/>
      <c r="IQ104" s="160"/>
      <c r="IR104" s="160"/>
      <c r="IS104" s="160"/>
      <c r="IT104" s="160"/>
      <c r="IU104" s="160"/>
      <c r="IV104" s="160"/>
      <c r="IW104" s="160"/>
    </row>
    <row r="105" customFormat="false" ht="22.5" hidden="true" customHeight="true" outlineLevel="0" collapsed="false">
      <c r="A105" s="160"/>
      <c r="B105" s="161" t="s">
        <v>30</v>
      </c>
      <c r="C105" s="161" t="s">
        <v>48</v>
      </c>
      <c r="D105" s="161" t="n">
        <v>25834</v>
      </c>
      <c r="E105" s="161" t="s">
        <v>35</v>
      </c>
      <c r="F105" s="162" t="s">
        <v>49</v>
      </c>
      <c r="G105" s="163"/>
      <c r="H105" s="164" t="s">
        <v>93</v>
      </c>
      <c r="I105" s="163"/>
      <c r="J105" s="163"/>
      <c r="K105" s="165" t="n">
        <v>15000000</v>
      </c>
      <c r="L105" s="166"/>
      <c r="M105" s="167" t="n">
        <v>-6992000.00000001</v>
      </c>
      <c r="N105" s="163"/>
      <c r="O105" s="168" t="n">
        <v>-6992000.00000001</v>
      </c>
      <c r="P105" s="163"/>
      <c r="Q105" s="169"/>
      <c r="R105" s="302"/>
      <c r="S105" s="302"/>
      <c r="T105" s="160"/>
      <c r="U105" s="160"/>
      <c r="V105" s="167"/>
      <c r="W105" s="160" t="s">
        <v>30</v>
      </c>
      <c r="X105" s="160" t="s">
        <v>31</v>
      </c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0"/>
      <c r="CA105" s="160"/>
      <c r="CB105" s="160"/>
      <c r="CC105" s="160"/>
      <c r="CD105" s="160"/>
      <c r="CE105" s="160"/>
      <c r="CF105" s="160"/>
      <c r="CG105" s="160"/>
      <c r="CH105" s="160"/>
      <c r="CI105" s="160"/>
      <c r="CJ105" s="160"/>
      <c r="CK105" s="160"/>
      <c r="CL105" s="160"/>
      <c r="CM105" s="160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0"/>
      <c r="EC105" s="160"/>
      <c r="ED105" s="160"/>
      <c r="EE105" s="160"/>
      <c r="EF105" s="160"/>
      <c r="EG105" s="160"/>
      <c r="EH105" s="160"/>
      <c r="EI105" s="160"/>
      <c r="EJ105" s="160"/>
      <c r="EK105" s="160"/>
      <c r="EL105" s="160"/>
      <c r="EM105" s="160"/>
      <c r="EN105" s="160"/>
      <c r="EO105" s="160"/>
      <c r="EP105" s="160"/>
      <c r="EQ105" s="160"/>
      <c r="ER105" s="160"/>
      <c r="ES105" s="160"/>
      <c r="ET105" s="160"/>
      <c r="EU105" s="160"/>
      <c r="EV105" s="160"/>
      <c r="EW105" s="160"/>
      <c r="EX105" s="160"/>
      <c r="EY105" s="160"/>
      <c r="EZ105" s="160"/>
      <c r="FA105" s="160"/>
      <c r="FB105" s="160"/>
      <c r="FC105" s="160"/>
      <c r="FD105" s="160"/>
      <c r="FE105" s="160"/>
      <c r="FF105" s="160"/>
      <c r="FG105" s="160"/>
      <c r="FH105" s="160"/>
      <c r="FI105" s="160"/>
      <c r="FJ105" s="160"/>
      <c r="FK105" s="160"/>
      <c r="FL105" s="160"/>
      <c r="FM105" s="160"/>
      <c r="FN105" s="160"/>
      <c r="FO105" s="160"/>
      <c r="FP105" s="160"/>
      <c r="FQ105" s="160"/>
      <c r="FR105" s="160"/>
      <c r="FS105" s="160"/>
      <c r="FT105" s="160"/>
      <c r="FU105" s="160"/>
      <c r="FV105" s="160"/>
      <c r="FW105" s="160"/>
      <c r="FX105" s="160"/>
      <c r="FY105" s="160"/>
      <c r="FZ105" s="160"/>
      <c r="GA105" s="160"/>
      <c r="GB105" s="160"/>
      <c r="GC105" s="160"/>
      <c r="GD105" s="160"/>
      <c r="GE105" s="160"/>
      <c r="GF105" s="160"/>
      <c r="GG105" s="160"/>
      <c r="GH105" s="160"/>
      <c r="GI105" s="160"/>
      <c r="GJ105" s="160"/>
      <c r="GK105" s="160"/>
      <c r="GL105" s="160"/>
      <c r="GM105" s="160"/>
      <c r="GN105" s="160"/>
      <c r="GO105" s="160"/>
      <c r="GP105" s="160"/>
      <c r="GQ105" s="160"/>
      <c r="GR105" s="160"/>
      <c r="GS105" s="160"/>
      <c r="GT105" s="160"/>
      <c r="GU105" s="160"/>
      <c r="GV105" s="160"/>
      <c r="GW105" s="160"/>
      <c r="GX105" s="160"/>
      <c r="GY105" s="160"/>
      <c r="GZ105" s="160"/>
      <c r="HA105" s="160"/>
      <c r="HB105" s="160"/>
      <c r="HC105" s="160"/>
      <c r="HD105" s="160"/>
      <c r="HE105" s="160"/>
      <c r="HF105" s="160"/>
      <c r="HG105" s="160"/>
      <c r="HH105" s="160"/>
      <c r="HI105" s="160"/>
      <c r="HJ105" s="160"/>
      <c r="HK105" s="160"/>
      <c r="HL105" s="160"/>
      <c r="HM105" s="160"/>
      <c r="HN105" s="160"/>
      <c r="HO105" s="160"/>
      <c r="HP105" s="160"/>
      <c r="HQ105" s="160"/>
      <c r="HR105" s="160"/>
      <c r="HS105" s="160"/>
      <c r="HT105" s="160"/>
      <c r="HU105" s="160"/>
      <c r="HV105" s="160"/>
      <c r="HW105" s="160"/>
      <c r="HX105" s="160"/>
      <c r="HY105" s="160"/>
      <c r="HZ105" s="160"/>
      <c r="IA105" s="160"/>
      <c r="IB105" s="160"/>
      <c r="IC105" s="160"/>
      <c r="ID105" s="160"/>
      <c r="IE105" s="160"/>
      <c r="IF105" s="160"/>
      <c r="IG105" s="160"/>
      <c r="IH105" s="160"/>
      <c r="II105" s="160"/>
      <c r="IJ105" s="160"/>
      <c r="IK105" s="160"/>
      <c r="IL105" s="160"/>
      <c r="IM105" s="160"/>
      <c r="IN105" s="160"/>
      <c r="IO105" s="160"/>
      <c r="IP105" s="160"/>
      <c r="IQ105" s="160"/>
      <c r="IR105" s="160"/>
      <c r="IS105" s="160"/>
      <c r="IT105" s="160"/>
      <c r="IU105" s="160"/>
      <c r="IV105" s="160"/>
      <c r="IW105" s="160"/>
    </row>
    <row r="106" customFormat="false" ht="11.25" hidden="false" customHeight="false" outlineLevel="0" collapsed="false">
      <c r="A106" s="235"/>
      <c r="B106" s="236" t="s">
        <v>30</v>
      </c>
      <c r="C106" s="236" t="s">
        <v>114</v>
      </c>
      <c r="D106" s="304" t="s">
        <v>115</v>
      </c>
      <c r="E106" s="236" t="s">
        <v>45</v>
      </c>
      <c r="F106" s="304" t="s">
        <v>116</v>
      </c>
      <c r="G106" s="305" t="n">
        <v>37007</v>
      </c>
      <c r="H106" s="306" t="n">
        <v>3.8574</v>
      </c>
      <c r="I106" s="306" t="n">
        <v>3.8288</v>
      </c>
      <c r="J106" s="306" t="n">
        <v>0.0286</v>
      </c>
      <c r="K106" s="307" t="n">
        <v>765000</v>
      </c>
      <c r="L106" s="307" t="n">
        <v>24677.4193548387</v>
      </c>
      <c r="M106" s="308" t="n">
        <v>21975.0000000001</v>
      </c>
      <c r="N106" s="308" t="n">
        <v>0</v>
      </c>
      <c r="O106" s="308" t="n">
        <v>21975.0000000001</v>
      </c>
      <c r="P106" s="244" t="n">
        <v>-21975.0000000001</v>
      </c>
      <c r="Q106" s="308"/>
      <c r="R106" s="168"/>
      <c r="S106" s="168"/>
      <c r="T106" s="160"/>
      <c r="U106" s="160"/>
      <c r="V106" s="168" t="n">
        <v>21975</v>
      </c>
      <c r="W106" s="88" t="n">
        <v>-21975</v>
      </c>
      <c r="X106" s="88"/>
      <c r="Y106" s="98" t="s">
        <v>30</v>
      </c>
      <c r="Z106" s="168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0"/>
      <c r="BF106" s="160"/>
      <c r="BG106" s="160"/>
      <c r="BH106" s="160"/>
      <c r="BI106" s="160"/>
      <c r="BJ106" s="160"/>
      <c r="BK106" s="160"/>
      <c r="BL106" s="160"/>
      <c r="BM106" s="160"/>
      <c r="BN106" s="160"/>
      <c r="BO106" s="160"/>
      <c r="BP106" s="160"/>
      <c r="BQ106" s="160"/>
      <c r="BR106" s="160"/>
      <c r="BS106" s="160"/>
      <c r="BT106" s="160"/>
      <c r="BU106" s="160"/>
      <c r="BV106" s="160"/>
      <c r="BW106" s="160"/>
      <c r="BX106" s="160"/>
      <c r="BY106" s="160"/>
      <c r="BZ106" s="160"/>
      <c r="CA106" s="160"/>
      <c r="CB106" s="160"/>
      <c r="CC106" s="160"/>
      <c r="CD106" s="160"/>
      <c r="CE106" s="160"/>
      <c r="CF106" s="160"/>
      <c r="CG106" s="160"/>
      <c r="CH106" s="160"/>
      <c r="CI106" s="160"/>
      <c r="CJ106" s="160"/>
      <c r="CK106" s="160"/>
      <c r="CL106" s="160"/>
      <c r="CM106" s="160"/>
      <c r="CN106" s="160"/>
      <c r="CO106" s="160"/>
      <c r="CP106" s="160"/>
      <c r="CQ106" s="160"/>
      <c r="CR106" s="160"/>
      <c r="CS106" s="160"/>
      <c r="CT106" s="160"/>
      <c r="CU106" s="160"/>
      <c r="CV106" s="160"/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  <c r="DO106" s="160"/>
      <c r="DP106" s="160"/>
      <c r="DQ106" s="160"/>
      <c r="DR106" s="160"/>
      <c r="DS106" s="160"/>
      <c r="DT106" s="160"/>
      <c r="DU106" s="160"/>
      <c r="DV106" s="160"/>
      <c r="DW106" s="160"/>
      <c r="DX106" s="160"/>
      <c r="DY106" s="160"/>
      <c r="DZ106" s="160"/>
      <c r="EA106" s="160"/>
      <c r="EB106" s="160"/>
      <c r="EC106" s="160"/>
      <c r="ED106" s="160"/>
      <c r="EE106" s="160"/>
      <c r="EF106" s="160"/>
      <c r="EG106" s="160"/>
      <c r="EH106" s="160"/>
      <c r="EI106" s="160"/>
      <c r="EJ106" s="160"/>
      <c r="EK106" s="160"/>
      <c r="EL106" s="160"/>
      <c r="EM106" s="160"/>
      <c r="EN106" s="160"/>
      <c r="EO106" s="160"/>
      <c r="EP106" s="160"/>
      <c r="EQ106" s="160"/>
      <c r="ER106" s="160"/>
      <c r="ES106" s="160"/>
      <c r="ET106" s="160"/>
      <c r="EU106" s="160"/>
      <c r="EV106" s="160"/>
      <c r="EW106" s="160"/>
      <c r="EX106" s="160"/>
      <c r="EY106" s="160"/>
      <c r="EZ106" s="160"/>
      <c r="FA106" s="160"/>
      <c r="FB106" s="160"/>
      <c r="FC106" s="160"/>
      <c r="FD106" s="160"/>
      <c r="FE106" s="160"/>
      <c r="FF106" s="160"/>
      <c r="FG106" s="160"/>
      <c r="FH106" s="160"/>
      <c r="FI106" s="160"/>
      <c r="FJ106" s="160"/>
      <c r="FK106" s="160"/>
      <c r="FL106" s="160"/>
      <c r="FM106" s="160"/>
      <c r="FN106" s="160"/>
      <c r="FO106" s="160"/>
      <c r="FP106" s="160"/>
      <c r="FQ106" s="160"/>
      <c r="FR106" s="160"/>
      <c r="FS106" s="160"/>
      <c r="FT106" s="160"/>
      <c r="FU106" s="160"/>
      <c r="FV106" s="160"/>
      <c r="FW106" s="160"/>
      <c r="FX106" s="160"/>
      <c r="FY106" s="160"/>
      <c r="FZ106" s="160"/>
      <c r="GA106" s="160"/>
      <c r="GB106" s="160"/>
      <c r="GC106" s="160"/>
      <c r="GD106" s="160"/>
      <c r="GE106" s="160"/>
      <c r="GF106" s="160"/>
      <c r="GG106" s="160"/>
      <c r="GH106" s="160"/>
      <c r="GI106" s="160"/>
      <c r="GJ106" s="160"/>
      <c r="GK106" s="160"/>
      <c r="GL106" s="160"/>
      <c r="GM106" s="160"/>
      <c r="GN106" s="160"/>
      <c r="GO106" s="160"/>
      <c r="GP106" s="160"/>
      <c r="GQ106" s="160"/>
      <c r="GR106" s="160"/>
      <c r="GS106" s="160"/>
      <c r="GT106" s="160"/>
      <c r="GU106" s="160"/>
      <c r="GV106" s="160"/>
      <c r="GW106" s="160"/>
      <c r="GX106" s="160"/>
      <c r="GY106" s="160"/>
      <c r="GZ106" s="160"/>
      <c r="HA106" s="160"/>
      <c r="HB106" s="160"/>
      <c r="HC106" s="160"/>
      <c r="HD106" s="160"/>
      <c r="HE106" s="160"/>
      <c r="HF106" s="160"/>
      <c r="HG106" s="160"/>
      <c r="HH106" s="160"/>
      <c r="HI106" s="160"/>
      <c r="HJ106" s="160"/>
      <c r="HK106" s="160"/>
      <c r="HL106" s="160"/>
      <c r="HM106" s="160"/>
      <c r="HN106" s="160"/>
      <c r="HO106" s="160"/>
      <c r="HP106" s="160"/>
      <c r="HQ106" s="160"/>
      <c r="HR106" s="160"/>
      <c r="HS106" s="160"/>
      <c r="HT106" s="160"/>
      <c r="HU106" s="160"/>
      <c r="HV106" s="160"/>
      <c r="HW106" s="160"/>
      <c r="HX106" s="160"/>
      <c r="HY106" s="160"/>
      <c r="HZ106" s="160"/>
      <c r="IA106" s="160"/>
      <c r="IB106" s="160"/>
      <c r="IC106" s="160"/>
      <c r="ID106" s="160"/>
      <c r="IE106" s="160"/>
      <c r="IF106" s="160"/>
      <c r="IG106" s="160"/>
      <c r="IH106" s="160"/>
      <c r="II106" s="160"/>
      <c r="IJ106" s="160"/>
      <c r="IK106" s="160"/>
      <c r="IL106" s="160"/>
      <c r="IM106" s="160"/>
      <c r="IN106" s="160"/>
      <c r="IO106" s="160"/>
      <c r="IP106" s="160"/>
      <c r="IQ106" s="160"/>
      <c r="IR106" s="160"/>
      <c r="IS106" s="160"/>
      <c r="IT106" s="160"/>
      <c r="IU106" s="160"/>
      <c r="IV106" s="160"/>
      <c r="IW106" s="160"/>
    </row>
    <row r="107" customFormat="false" ht="11.25" hidden="false" customHeight="false" outlineLevel="0" collapsed="false">
      <c r="A107" s="235"/>
      <c r="B107" s="236" t="s">
        <v>30</v>
      </c>
      <c r="C107" s="236" t="s">
        <v>114</v>
      </c>
      <c r="D107" s="304" t="s">
        <v>117</v>
      </c>
      <c r="E107" s="236" t="s">
        <v>45</v>
      </c>
      <c r="F107" s="304" t="s">
        <v>116</v>
      </c>
      <c r="G107" s="305" t="n">
        <v>37007</v>
      </c>
      <c r="H107" s="306" t="n">
        <v>3.9124</v>
      </c>
      <c r="I107" s="306" t="n">
        <v>3.8568</v>
      </c>
      <c r="J107" s="306" t="n">
        <v>0.0555999999999997</v>
      </c>
      <c r="K107" s="307" t="n">
        <v>-765000</v>
      </c>
      <c r="L107" s="307" t="n">
        <v>-24677.4193548387</v>
      </c>
      <c r="M107" s="308" t="n">
        <v>-42525.0000000001</v>
      </c>
      <c r="N107" s="308" t="n">
        <v>0</v>
      </c>
      <c r="O107" s="308" t="n">
        <v>-42525.0000000001</v>
      </c>
      <c r="P107" s="244" t="n">
        <v>42525.0000000001</v>
      </c>
      <c r="Q107" s="308"/>
      <c r="R107" s="168" t="n">
        <f aca="false">SUM(P106:P107)</f>
        <v>20550</v>
      </c>
      <c r="S107" s="168" t="n">
        <f aca="false">+R107-Z107</f>
        <v>0</v>
      </c>
      <c r="T107" s="160"/>
      <c r="U107" s="160"/>
      <c r="V107" s="168" t="n">
        <v>-42525</v>
      </c>
      <c r="W107" s="88" t="n">
        <v>42525</v>
      </c>
      <c r="X107" s="88"/>
      <c r="Y107" s="98" t="s">
        <v>30</v>
      </c>
      <c r="Z107" s="168" t="n">
        <f aca="false">SUM(W106:W107)</f>
        <v>20550</v>
      </c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0"/>
      <c r="BB107" s="160"/>
      <c r="BC107" s="160"/>
      <c r="BD107" s="160"/>
      <c r="BE107" s="160"/>
      <c r="BF107" s="160"/>
      <c r="BG107" s="160"/>
      <c r="BH107" s="160"/>
      <c r="BI107" s="160"/>
      <c r="BJ107" s="160"/>
      <c r="BK107" s="160"/>
      <c r="BL107" s="160"/>
      <c r="BM107" s="160"/>
      <c r="BN107" s="160"/>
      <c r="BO107" s="160"/>
      <c r="BP107" s="160"/>
      <c r="BQ107" s="160"/>
      <c r="BR107" s="160"/>
      <c r="BS107" s="160"/>
      <c r="BT107" s="160"/>
      <c r="BU107" s="160"/>
      <c r="BV107" s="160"/>
      <c r="BW107" s="160"/>
      <c r="BX107" s="160"/>
      <c r="BY107" s="160"/>
      <c r="BZ107" s="160"/>
      <c r="CA107" s="160"/>
      <c r="CB107" s="160"/>
      <c r="CC107" s="160"/>
      <c r="CD107" s="160"/>
      <c r="CE107" s="160"/>
      <c r="CF107" s="160"/>
      <c r="CG107" s="160"/>
      <c r="CH107" s="160"/>
      <c r="CI107" s="160"/>
      <c r="CJ107" s="160"/>
      <c r="CK107" s="160"/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0"/>
      <c r="DY107" s="160"/>
      <c r="DZ107" s="160"/>
      <c r="EA107" s="160"/>
      <c r="EB107" s="160"/>
      <c r="EC107" s="160"/>
      <c r="ED107" s="160"/>
      <c r="EE107" s="160"/>
      <c r="EF107" s="160"/>
      <c r="EG107" s="160"/>
      <c r="EH107" s="160"/>
      <c r="EI107" s="160"/>
      <c r="EJ107" s="160"/>
      <c r="EK107" s="160"/>
      <c r="EL107" s="160"/>
      <c r="EM107" s="160"/>
      <c r="EN107" s="160"/>
      <c r="EO107" s="160"/>
      <c r="EP107" s="160"/>
      <c r="EQ107" s="160"/>
      <c r="ER107" s="160"/>
      <c r="ES107" s="160"/>
      <c r="ET107" s="160"/>
      <c r="EU107" s="160"/>
      <c r="EV107" s="160"/>
      <c r="EW107" s="160"/>
      <c r="EX107" s="160"/>
      <c r="EY107" s="160"/>
      <c r="EZ107" s="160"/>
      <c r="FA107" s="160"/>
      <c r="FB107" s="160"/>
      <c r="FC107" s="160"/>
      <c r="FD107" s="160"/>
      <c r="FE107" s="160"/>
      <c r="FF107" s="160"/>
      <c r="FG107" s="160"/>
      <c r="FH107" s="160"/>
      <c r="FI107" s="160"/>
      <c r="FJ107" s="160"/>
      <c r="FK107" s="160"/>
      <c r="FL107" s="160"/>
      <c r="FM107" s="160"/>
      <c r="FN107" s="160"/>
      <c r="FO107" s="160"/>
      <c r="FP107" s="160"/>
      <c r="FQ107" s="160"/>
      <c r="FR107" s="160"/>
      <c r="FS107" s="160"/>
      <c r="FT107" s="160"/>
      <c r="FU107" s="160"/>
      <c r="FV107" s="160"/>
      <c r="FW107" s="160"/>
      <c r="FX107" s="160"/>
      <c r="FY107" s="160"/>
      <c r="FZ107" s="160"/>
      <c r="GA107" s="160"/>
      <c r="GB107" s="160"/>
      <c r="GC107" s="160"/>
      <c r="GD107" s="160"/>
      <c r="GE107" s="160"/>
      <c r="GF107" s="160"/>
      <c r="GG107" s="160"/>
      <c r="GH107" s="160"/>
      <c r="GI107" s="160"/>
      <c r="GJ107" s="160"/>
      <c r="GK107" s="160"/>
      <c r="GL107" s="160"/>
      <c r="GM107" s="160"/>
      <c r="GN107" s="160"/>
      <c r="GO107" s="160"/>
      <c r="GP107" s="160"/>
      <c r="GQ107" s="160"/>
      <c r="GR107" s="160"/>
      <c r="GS107" s="160"/>
      <c r="GT107" s="160"/>
      <c r="GU107" s="160"/>
      <c r="GV107" s="160"/>
      <c r="GW107" s="160"/>
      <c r="GX107" s="160"/>
      <c r="GY107" s="160"/>
      <c r="GZ107" s="160"/>
      <c r="HA107" s="160"/>
      <c r="HB107" s="160"/>
      <c r="HC107" s="160"/>
      <c r="HD107" s="160"/>
      <c r="HE107" s="160"/>
      <c r="HF107" s="160"/>
      <c r="HG107" s="160"/>
      <c r="HH107" s="160"/>
      <c r="HI107" s="160"/>
      <c r="HJ107" s="160"/>
      <c r="HK107" s="160"/>
      <c r="HL107" s="160"/>
      <c r="HM107" s="160"/>
      <c r="HN107" s="160"/>
      <c r="HO107" s="160"/>
      <c r="HP107" s="160"/>
      <c r="HQ107" s="160"/>
      <c r="HR107" s="160"/>
      <c r="HS107" s="160"/>
      <c r="HT107" s="160"/>
      <c r="HU107" s="160"/>
      <c r="HV107" s="160"/>
      <c r="HW107" s="160"/>
      <c r="HX107" s="160"/>
      <c r="HY107" s="160"/>
      <c r="HZ107" s="160"/>
      <c r="IA107" s="160"/>
      <c r="IB107" s="160"/>
      <c r="IC107" s="160"/>
      <c r="ID107" s="160"/>
      <c r="IE107" s="160"/>
      <c r="IF107" s="160"/>
      <c r="IG107" s="160"/>
      <c r="IH107" s="160"/>
      <c r="II107" s="160"/>
      <c r="IJ107" s="160"/>
      <c r="IK107" s="160"/>
      <c r="IL107" s="160"/>
      <c r="IM107" s="160"/>
      <c r="IN107" s="160"/>
      <c r="IO107" s="160"/>
      <c r="IP107" s="160"/>
      <c r="IQ107" s="160"/>
      <c r="IR107" s="160"/>
      <c r="IS107" s="160"/>
      <c r="IT107" s="160"/>
      <c r="IU107" s="160"/>
      <c r="IV107" s="160"/>
      <c r="IW107" s="160"/>
    </row>
    <row r="108" customFormat="false" ht="11.25" hidden="false" customHeight="false" outlineLevel="0" collapsed="false">
      <c r="B108" s="45" t="s">
        <v>30</v>
      </c>
      <c r="C108" s="98" t="s">
        <v>48</v>
      </c>
      <c r="D108" s="180" t="n">
        <v>25834</v>
      </c>
      <c r="E108" s="45" t="s">
        <v>45</v>
      </c>
      <c r="F108" s="180" t="s">
        <v>95</v>
      </c>
      <c r="G108" s="181"/>
      <c r="H108" s="182" t="n">
        <v>2.32</v>
      </c>
      <c r="I108" s="182" t="n">
        <v>3.7602</v>
      </c>
      <c r="J108" s="182" t="n">
        <v>-1.4402</v>
      </c>
      <c r="K108" s="165" t="n">
        <v>-15000000</v>
      </c>
      <c r="L108" s="165" t="n">
        <v>-98039.2156862745</v>
      </c>
      <c r="M108" s="168" t="n">
        <v>21692000</v>
      </c>
      <c r="N108" s="168" t="n">
        <v>0</v>
      </c>
      <c r="O108" s="168" t="n">
        <v>21692000</v>
      </c>
      <c r="P108" s="104" t="n">
        <v>-21692000</v>
      </c>
      <c r="Q108" s="168"/>
      <c r="R108" s="168" t="n">
        <f aca="false">SUM(P108)</f>
        <v>-21692000</v>
      </c>
      <c r="S108" s="168" t="n">
        <f aca="false">+R108-Z108</f>
        <v>-21692000</v>
      </c>
      <c r="T108" s="160"/>
      <c r="U108" s="160"/>
      <c r="V108" s="168" t="n">
        <v>0</v>
      </c>
      <c r="W108" s="88" t="n">
        <v>0</v>
      </c>
      <c r="X108" s="88"/>
      <c r="Y108" s="98" t="s">
        <v>30</v>
      </c>
      <c r="Z108" s="168" t="n">
        <f aca="false">SUM(W108)</f>
        <v>0</v>
      </c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/>
      <c r="BO108" s="160"/>
      <c r="BP108" s="160"/>
      <c r="BQ108" s="160"/>
      <c r="BR108" s="160"/>
      <c r="BS108" s="160"/>
      <c r="BT108" s="160"/>
      <c r="BU108" s="160"/>
      <c r="BV108" s="160"/>
      <c r="BW108" s="160"/>
      <c r="BX108" s="160"/>
      <c r="BY108" s="160"/>
      <c r="BZ108" s="160"/>
      <c r="CA108" s="160"/>
      <c r="CB108" s="160"/>
      <c r="CC108" s="160"/>
      <c r="CD108" s="160"/>
      <c r="CE108" s="160"/>
      <c r="CF108" s="160"/>
      <c r="CG108" s="160"/>
      <c r="CH108" s="160"/>
      <c r="CI108" s="160"/>
      <c r="CJ108" s="160"/>
      <c r="CK108" s="160"/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0"/>
      <c r="EC108" s="160"/>
      <c r="ED108" s="160"/>
      <c r="EE108" s="160"/>
      <c r="EF108" s="160"/>
      <c r="EG108" s="160"/>
      <c r="EH108" s="160"/>
      <c r="EI108" s="160"/>
      <c r="EJ108" s="160"/>
      <c r="EK108" s="160"/>
      <c r="EL108" s="160"/>
      <c r="EM108" s="160"/>
      <c r="EN108" s="160"/>
      <c r="EO108" s="160"/>
      <c r="EP108" s="160"/>
      <c r="EQ108" s="160"/>
      <c r="ER108" s="160"/>
      <c r="ES108" s="160"/>
      <c r="ET108" s="160"/>
      <c r="EU108" s="160"/>
      <c r="EV108" s="160"/>
      <c r="EW108" s="160"/>
      <c r="EX108" s="160"/>
      <c r="EY108" s="160"/>
      <c r="EZ108" s="160"/>
      <c r="FA108" s="160"/>
      <c r="FB108" s="160"/>
      <c r="FC108" s="160"/>
      <c r="FD108" s="160"/>
      <c r="FE108" s="160"/>
      <c r="FF108" s="160"/>
      <c r="FG108" s="160"/>
      <c r="FH108" s="160"/>
      <c r="FI108" s="160"/>
      <c r="FJ108" s="160"/>
      <c r="FK108" s="160"/>
      <c r="FL108" s="160"/>
      <c r="FM108" s="160"/>
      <c r="FN108" s="160"/>
      <c r="FO108" s="160"/>
      <c r="FP108" s="160"/>
      <c r="FQ108" s="160"/>
      <c r="FR108" s="160"/>
      <c r="FS108" s="160"/>
      <c r="FT108" s="160"/>
      <c r="FU108" s="160"/>
      <c r="FV108" s="160"/>
      <c r="FW108" s="160"/>
      <c r="FX108" s="160"/>
      <c r="FY108" s="160"/>
      <c r="FZ108" s="160"/>
      <c r="GA108" s="160"/>
      <c r="GB108" s="160"/>
      <c r="GC108" s="160"/>
      <c r="GD108" s="160"/>
      <c r="GE108" s="160"/>
      <c r="GF108" s="160"/>
      <c r="GG108" s="160"/>
      <c r="GH108" s="160"/>
      <c r="GI108" s="160"/>
      <c r="GJ108" s="160"/>
      <c r="GK108" s="160"/>
      <c r="GL108" s="160"/>
      <c r="GM108" s="160"/>
      <c r="GN108" s="160"/>
      <c r="GO108" s="160"/>
      <c r="GP108" s="160"/>
      <c r="GQ108" s="160"/>
      <c r="GR108" s="160"/>
      <c r="GS108" s="160"/>
      <c r="GT108" s="160"/>
      <c r="GU108" s="160"/>
      <c r="GV108" s="160"/>
      <c r="GW108" s="160"/>
      <c r="GX108" s="160"/>
      <c r="GY108" s="160"/>
      <c r="GZ108" s="160"/>
      <c r="HA108" s="160"/>
      <c r="HB108" s="160"/>
      <c r="HC108" s="160"/>
      <c r="HD108" s="160"/>
      <c r="HE108" s="160"/>
      <c r="HF108" s="160"/>
      <c r="HG108" s="160"/>
      <c r="HH108" s="160"/>
      <c r="HI108" s="160"/>
      <c r="HJ108" s="160"/>
      <c r="HK108" s="160"/>
      <c r="HL108" s="160"/>
      <c r="HM108" s="160"/>
      <c r="HN108" s="160"/>
      <c r="HO108" s="160"/>
      <c r="HP108" s="160"/>
      <c r="HQ108" s="160"/>
      <c r="HR108" s="160"/>
      <c r="HS108" s="160"/>
      <c r="HT108" s="160"/>
      <c r="HU108" s="160"/>
      <c r="HV108" s="160"/>
      <c r="HW108" s="160"/>
      <c r="HX108" s="160"/>
      <c r="HY108" s="160"/>
      <c r="HZ108" s="160"/>
      <c r="IA108" s="160"/>
      <c r="IB108" s="160"/>
      <c r="IC108" s="160"/>
      <c r="ID108" s="160"/>
      <c r="IE108" s="160"/>
      <c r="IF108" s="160"/>
      <c r="IG108" s="160"/>
      <c r="IH108" s="160"/>
      <c r="II108" s="160"/>
      <c r="IJ108" s="160"/>
      <c r="IK108" s="160"/>
      <c r="IL108" s="160"/>
      <c r="IM108" s="160"/>
      <c r="IN108" s="160"/>
      <c r="IO108" s="160"/>
      <c r="IP108" s="160"/>
      <c r="IQ108" s="160"/>
      <c r="IR108" s="160"/>
      <c r="IS108" s="160"/>
      <c r="IT108" s="160"/>
      <c r="IU108" s="160"/>
      <c r="IV108" s="160"/>
      <c r="IW108" s="160"/>
    </row>
    <row r="109" customFormat="false" ht="11.25" hidden="false" customHeight="false" outlineLevel="0" collapsed="false">
      <c r="A109" s="309"/>
      <c r="B109" s="310" t="s">
        <v>30</v>
      </c>
      <c r="C109" s="310" t="s">
        <v>52</v>
      </c>
      <c r="D109" s="311" t="s">
        <v>94</v>
      </c>
      <c r="E109" s="310" t="s">
        <v>45</v>
      </c>
      <c r="F109" s="311" t="s">
        <v>95</v>
      </c>
      <c r="G109" s="312"/>
      <c r="H109" s="313" t="n">
        <v>3.3</v>
      </c>
      <c r="I109" s="313" t="n">
        <v>3.7602</v>
      </c>
      <c r="J109" s="313" t="n">
        <v>-0.4602</v>
      </c>
      <c r="K109" s="314" t="n">
        <v>15000000</v>
      </c>
      <c r="L109" s="314" t="n">
        <v>98039.2156862745</v>
      </c>
      <c r="M109" s="315" t="n">
        <v>-6992000.00000001</v>
      </c>
      <c r="N109" s="315" t="n">
        <v>0</v>
      </c>
      <c r="O109" s="315" t="n">
        <v>-6992000.00000001</v>
      </c>
      <c r="P109" s="316" t="n">
        <v>6992000.00000001</v>
      </c>
      <c r="Q109" s="315"/>
      <c r="R109" s="168" t="n">
        <f aca="false">SUM(P109)</f>
        <v>6992000.00000001</v>
      </c>
      <c r="S109" s="168" t="n">
        <f aca="false">+R109-Z109</f>
        <v>6992000.00000001</v>
      </c>
      <c r="T109" s="317" t="n">
        <f aca="false">+S109+S119</f>
        <v>7005400.00132209</v>
      </c>
      <c r="U109" s="160"/>
      <c r="V109" s="168" t="n">
        <v>0</v>
      </c>
      <c r="W109" s="88" t="n">
        <v>0</v>
      </c>
      <c r="X109" s="88"/>
      <c r="Y109" s="98" t="s">
        <v>30</v>
      </c>
      <c r="Z109" s="168" t="n">
        <f aca="false">SUM(W109)</f>
        <v>0</v>
      </c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  <c r="BI109" s="160"/>
      <c r="BJ109" s="160"/>
      <c r="BK109" s="160"/>
      <c r="BL109" s="160"/>
      <c r="BM109" s="160"/>
      <c r="BN109" s="160"/>
      <c r="BO109" s="160"/>
      <c r="BP109" s="160"/>
      <c r="BQ109" s="160"/>
      <c r="BR109" s="160"/>
      <c r="BS109" s="160"/>
      <c r="BT109" s="160"/>
      <c r="BU109" s="160"/>
      <c r="BV109" s="160"/>
      <c r="BW109" s="160"/>
      <c r="BX109" s="160"/>
      <c r="BY109" s="160"/>
      <c r="BZ109" s="160"/>
      <c r="CA109" s="160"/>
      <c r="CB109" s="160"/>
      <c r="CC109" s="160"/>
      <c r="CD109" s="160"/>
      <c r="CE109" s="160"/>
      <c r="CF109" s="160"/>
      <c r="CG109" s="160"/>
      <c r="CH109" s="160"/>
      <c r="CI109" s="160"/>
      <c r="CJ109" s="160"/>
      <c r="CK109" s="160"/>
      <c r="CL109" s="160"/>
      <c r="CM109" s="160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0"/>
      <c r="DU109" s="160"/>
      <c r="DV109" s="160"/>
      <c r="DW109" s="160"/>
      <c r="DX109" s="160"/>
      <c r="DY109" s="160"/>
      <c r="DZ109" s="160"/>
      <c r="EA109" s="160"/>
      <c r="EB109" s="160"/>
      <c r="EC109" s="160"/>
      <c r="ED109" s="160"/>
      <c r="EE109" s="160"/>
      <c r="EF109" s="160"/>
      <c r="EG109" s="160"/>
      <c r="EH109" s="160"/>
      <c r="EI109" s="160"/>
      <c r="EJ109" s="160"/>
      <c r="EK109" s="160"/>
      <c r="EL109" s="160"/>
      <c r="EM109" s="160"/>
      <c r="EN109" s="160"/>
      <c r="EO109" s="160"/>
      <c r="EP109" s="160"/>
      <c r="EQ109" s="160"/>
      <c r="ER109" s="160"/>
      <c r="ES109" s="160"/>
      <c r="ET109" s="160"/>
      <c r="EU109" s="160"/>
      <c r="EV109" s="160"/>
      <c r="EW109" s="160"/>
      <c r="EX109" s="160"/>
      <c r="EY109" s="160"/>
      <c r="EZ109" s="160"/>
      <c r="FA109" s="160"/>
      <c r="FB109" s="160"/>
      <c r="FC109" s="160"/>
      <c r="FD109" s="160"/>
      <c r="FE109" s="160"/>
      <c r="FF109" s="160"/>
      <c r="FG109" s="160"/>
      <c r="FH109" s="160"/>
      <c r="FI109" s="160"/>
      <c r="FJ109" s="160"/>
      <c r="FK109" s="160"/>
      <c r="FL109" s="160"/>
      <c r="FM109" s="160"/>
      <c r="FN109" s="160"/>
      <c r="FO109" s="160"/>
      <c r="FP109" s="160"/>
      <c r="FQ109" s="160"/>
      <c r="FR109" s="160"/>
      <c r="FS109" s="160"/>
      <c r="FT109" s="160"/>
      <c r="FU109" s="160"/>
      <c r="FV109" s="160"/>
      <c r="FW109" s="160"/>
      <c r="FX109" s="160"/>
      <c r="FY109" s="160"/>
      <c r="FZ109" s="160"/>
      <c r="GA109" s="160"/>
      <c r="GB109" s="160"/>
      <c r="GC109" s="160"/>
      <c r="GD109" s="160"/>
      <c r="GE109" s="160"/>
      <c r="GF109" s="160"/>
      <c r="GG109" s="160"/>
      <c r="GH109" s="160"/>
      <c r="GI109" s="160"/>
      <c r="GJ109" s="160"/>
      <c r="GK109" s="160"/>
      <c r="GL109" s="160"/>
      <c r="GM109" s="160"/>
      <c r="GN109" s="160"/>
      <c r="GO109" s="160"/>
      <c r="GP109" s="160"/>
      <c r="GQ109" s="160"/>
      <c r="GR109" s="160"/>
      <c r="GS109" s="160"/>
      <c r="GT109" s="160"/>
      <c r="GU109" s="160"/>
      <c r="GV109" s="160"/>
      <c r="GW109" s="160"/>
      <c r="GX109" s="160"/>
      <c r="GY109" s="160"/>
      <c r="GZ109" s="160"/>
      <c r="HA109" s="160"/>
      <c r="HB109" s="160"/>
      <c r="HC109" s="160"/>
      <c r="HD109" s="160"/>
      <c r="HE109" s="160"/>
      <c r="HF109" s="160"/>
      <c r="HG109" s="160"/>
      <c r="HH109" s="160"/>
      <c r="HI109" s="160"/>
      <c r="HJ109" s="160"/>
      <c r="HK109" s="160"/>
      <c r="HL109" s="160"/>
      <c r="HM109" s="160"/>
      <c r="HN109" s="160"/>
      <c r="HO109" s="160"/>
      <c r="HP109" s="160"/>
      <c r="HQ109" s="160"/>
      <c r="HR109" s="160"/>
      <c r="HS109" s="160"/>
      <c r="HT109" s="160"/>
      <c r="HU109" s="160"/>
      <c r="HV109" s="160"/>
      <c r="HW109" s="160"/>
      <c r="HX109" s="160"/>
      <c r="HY109" s="160"/>
      <c r="HZ109" s="160"/>
      <c r="IA109" s="160"/>
      <c r="IB109" s="160"/>
      <c r="IC109" s="160"/>
      <c r="ID109" s="160"/>
      <c r="IE109" s="160"/>
      <c r="IF109" s="160"/>
      <c r="IG109" s="160"/>
      <c r="IH109" s="160"/>
      <c r="II109" s="160"/>
      <c r="IJ109" s="160"/>
      <c r="IK109" s="160"/>
      <c r="IL109" s="160"/>
      <c r="IM109" s="160"/>
      <c r="IN109" s="160"/>
      <c r="IO109" s="160"/>
      <c r="IP109" s="160"/>
      <c r="IQ109" s="160"/>
      <c r="IR109" s="160"/>
      <c r="IS109" s="160"/>
      <c r="IT109" s="160"/>
      <c r="IU109" s="160"/>
      <c r="IV109" s="160"/>
      <c r="IW109" s="160"/>
    </row>
    <row r="110" customFormat="false" ht="11.25" hidden="false" customHeight="false" outlineLevel="0" collapsed="false">
      <c r="B110" s="45" t="s">
        <v>30</v>
      </c>
      <c r="C110" s="98" t="s">
        <v>103</v>
      </c>
      <c r="D110" s="180" t="n">
        <v>12007624</v>
      </c>
      <c r="E110" s="45" t="s">
        <v>45</v>
      </c>
      <c r="F110" s="180" t="s">
        <v>104</v>
      </c>
      <c r="G110" s="181" t="n">
        <v>36901</v>
      </c>
      <c r="H110" s="182" t="n">
        <v>3.87</v>
      </c>
      <c r="I110" s="182" t="n">
        <v>3.74</v>
      </c>
      <c r="J110" s="182" t="n">
        <v>0.13</v>
      </c>
      <c r="K110" s="165" t="n">
        <v>500000</v>
      </c>
      <c r="L110" s="165" t="n">
        <v>16666.6666666667</v>
      </c>
      <c r="M110" s="168" t="n">
        <v>65000</v>
      </c>
      <c r="N110" s="168" t="n">
        <v>0</v>
      </c>
      <c r="O110" s="168" t="n">
        <v>65000</v>
      </c>
      <c r="P110" s="104" t="n">
        <v>-65000</v>
      </c>
      <c r="Q110" s="168"/>
      <c r="R110" s="168" t="n">
        <f aca="false">SUM(P110)</f>
        <v>-65000</v>
      </c>
      <c r="S110" s="168" t="n">
        <f aca="false">+R110-Z110</f>
        <v>0</v>
      </c>
      <c r="T110" s="160"/>
      <c r="U110" s="160"/>
      <c r="V110" s="168" t="n">
        <v>65000</v>
      </c>
      <c r="W110" s="88" t="n">
        <v>-65000</v>
      </c>
      <c r="X110" s="88"/>
      <c r="Y110" s="98" t="s">
        <v>30</v>
      </c>
      <c r="Z110" s="168" t="n">
        <f aca="false">SUM(W110)</f>
        <v>-65000</v>
      </c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  <c r="BI110" s="160"/>
      <c r="BJ110" s="160"/>
      <c r="BK110" s="160"/>
      <c r="BL110" s="160"/>
      <c r="BM110" s="160"/>
      <c r="BN110" s="160"/>
      <c r="BO110" s="160"/>
      <c r="BP110" s="160"/>
      <c r="BQ110" s="160"/>
      <c r="BR110" s="160"/>
      <c r="BS110" s="160"/>
      <c r="BT110" s="160"/>
      <c r="BU110" s="160"/>
      <c r="BV110" s="160"/>
      <c r="BW110" s="160"/>
      <c r="BX110" s="160"/>
      <c r="BY110" s="160"/>
      <c r="BZ110" s="160"/>
      <c r="CA110" s="160"/>
      <c r="CB110" s="160"/>
      <c r="CC110" s="160"/>
      <c r="CD110" s="160"/>
      <c r="CE110" s="160"/>
      <c r="CF110" s="160"/>
      <c r="CG110" s="160"/>
      <c r="CH110" s="160"/>
      <c r="CI110" s="160"/>
      <c r="CJ110" s="160"/>
      <c r="CK110" s="160"/>
      <c r="CL110" s="160"/>
      <c r="CM110" s="160"/>
      <c r="CN110" s="160"/>
      <c r="CO110" s="160"/>
      <c r="CP110" s="160"/>
      <c r="CQ110" s="160"/>
      <c r="CR110" s="160"/>
      <c r="CS110" s="160"/>
      <c r="CT110" s="160"/>
      <c r="CU110" s="160"/>
      <c r="CV110" s="160"/>
      <c r="CW110" s="160"/>
      <c r="CX110" s="160"/>
      <c r="CY110" s="160"/>
      <c r="CZ110" s="160"/>
      <c r="DA110" s="160"/>
      <c r="DB110" s="160"/>
      <c r="DC110" s="160"/>
      <c r="DD110" s="160"/>
      <c r="DE110" s="160"/>
      <c r="DF110" s="160"/>
      <c r="DG110" s="160"/>
      <c r="DH110" s="160"/>
      <c r="DI110" s="160"/>
      <c r="DJ110" s="160"/>
      <c r="DK110" s="160"/>
      <c r="DL110" s="160"/>
      <c r="DM110" s="160"/>
      <c r="DN110" s="160"/>
      <c r="DO110" s="160"/>
      <c r="DP110" s="160"/>
      <c r="DQ110" s="160"/>
      <c r="DR110" s="160"/>
      <c r="DS110" s="160"/>
      <c r="DT110" s="160"/>
      <c r="DU110" s="160"/>
      <c r="DV110" s="160"/>
      <c r="DW110" s="160"/>
      <c r="DX110" s="160"/>
      <c r="DY110" s="160"/>
      <c r="DZ110" s="160"/>
      <c r="EA110" s="160"/>
      <c r="EB110" s="160"/>
      <c r="EC110" s="160"/>
      <c r="ED110" s="160"/>
      <c r="EE110" s="160"/>
      <c r="EF110" s="160"/>
      <c r="EG110" s="160"/>
      <c r="EH110" s="160"/>
      <c r="EI110" s="160"/>
      <c r="EJ110" s="160"/>
      <c r="EK110" s="160"/>
      <c r="EL110" s="160"/>
      <c r="EM110" s="160"/>
      <c r="EN110" s="160"/>
      <c r="EO110" s="160"/>
      <c r="EP110" s="160"/>
      <c r="EQ110" s="160"/>
      <c r="ER110" s="160"/>
      <c r="ES110" s="160"/>
      <c r="ET110" s="160"/>
      <c r="EU110" s="160"/>
      <c r="EV110" s="160"/>
      <c r="EW110" s="160"/>
      <c r="EX110" s="160"/>
      <c r="EY110" s="160"/>
      <c r="EZ110" s="160"/>
      <c r="FA110" s="160"/>
      <c r="FB110" s="160"/>
      <c r="FC110" s="160"/>
      <c r="FD110" s="160"/>
      <c r="FE110" s="160"/>
      <c r="FF110" s="160"/>
      <c r="FG110" s="160"/>
      <c r="FH110" s="160"/>
      <c r="FI110" s="160"/>
      <c r="FJ110" s="160"/>
      <c r="FK110" s="160"/>
      <c r="FL110" s="160"/>
      <c r="FM110" s="160"/>
      <c r="FN110" s="160"/>
      <c r="FO110" s="160"/>
      <c r="FP110" s="160"/>
      <c r="FQ110" s="160"/>
      <c r="FR110" s="160"/>
      <c r="FS110" s="160"/>
      <c r="FT110" s="160"/>
      <c r="FU110" s="160"/>
      <c r="FV110" s="160"/>
      <c r="FW110" s="160"/>
      <c r="FX110" s="160"/>
      <c r="FY110" s="160"/>
      <c r="FZ110" s="160"/>
      <c r="GA110" s="160"/>
      <c r="GB110" s="160"/>
      <c r="GC110" s="160"/>
      <c r="GD110" s="160"/>
      <c r="GE110" s="160"/>
      <c r="GF110" s="160"/>
      <c r="GG110" s="160"/>
      <c r="GH110" s="160"/>
      <c r="GI110" s="160"/>
      <c r="GJ110" s="160"/>
      <c r="GK110" s="160"/>
      <c r="GL110" s="160"/>
      <c r="GM110" s="160"/>
      <c r="GN110" s="160"/>
      <c r="GO110" s="160"/>
      <c r="GP110" s="160"/>
      <c r="GQ110" s="160"/>
      <c r="GR110" s="160"/>
      <c r="GS110" s="160"/>
      <c r="GT110" s="160"/>
      <c r="GU110" s="160"/>
      <c r="GV110" s="160"/>
      <c r="GW110" s="160"/>
      <c r="GX110" s="160"/>
      <c r="GY110" s="160"/>
      <c r="GZ110" s="160"/>
      <c r="HA110" s="160"/>
      <c r="HB110" s="160"/>
      <c r="HC110" s="160"/>
      <c r="HD110" s="160"/>
      <c r="HE110" s="160"/>
      <c r="HF110" s="160"/>
      <c r="HG110" s="160"/>
      <c r="HH110" s="160"/>
      <c r="HI110" s="160"/>
      <c r="HJ110" s="160"/>
      <c r="HK110" s="160"/>
      <c r="HL110" s="160"/>
      <c r="HM110" s="160"/>
      <c r="HN110" s="160"/>
      <c r="HO110" s="160"/>
      <c r="HP110" s="160"/>
      <c r="HQ110" s="160"/>
      <c r="HR110" s="160"/>
      <c r="HS110" s="160"/>
      <c r="HT110" s="160"/>
      <c r="HU110" s="160"/>
      <c r="HV110" s="160"/>
      <c r="HW110" s="160"/>
      <c r="HX110" s="160"/>
      <c r="HY110" s="160"/>
      <c r="HZ110" s="160"/>
      <c r="IA110" s="160"/>
      <c r="IB110" s="160"/>
      <c r="IC110" s="160"/>
      <c r="ID110" s="160"/>
      <c r="IE110" s="160"/>
      <c r="IF110" s="160"/>
      <c r="IG110" s="160"/>
      <c r="IH110" s="160"/>
      <c r="II110" s="160"/>
      <c r="IJ110" s="160"/>
      <c r="IK110" s="160"/>
      <c r="IL110" s="160"/>
      <c r="IM110" s="160"/>
      <c r="IN110" s="160"/>
      <c r="IO110" s="160"/>
      <c r="IP110" s="160"/>
      <c r="IQ110" s="160"/>
      <c r="IR110" s="160"/>
      <c r="IS110" s="160"/>
      <c r="IT110" s="160"/>
      <c r="IU110" s="160"/>
      <c r="IV110" s="160"/>
      <c r="IW110" s="160"/>
    </row>
    <row r="111" customFormat="false" ht="12.75" hidden="false" customHeight="false" outlineLevel="0" collapsed="false">
      <c r="A111" s="318"/>
      <c r="B111" s="319" t="s">
        <v>30</v>
      </c>
      <c r="C111" s="319" t="s">
        <v>44</v>
      </c>
      <c r="D111" s="320" t="s">
        <v>101</v>
      </c>
      <c r="E111" s="319" t="s">
        <v>45</v>
      </c>
      <c r="F111" s="320" t="s">
        <v>102</v>
      </c>
      <c r="G111" s="321" t="n">
        <v>36837</v>
      </c>
      <c r="H111" s="322"/>
      <c r="I111" s="322"/>
      <c r="J111" s="322"/>
      <c r="K111" s="323"/>
      <c r="L111" s="323"/>
      <c r="M111" s="324" t="n">
        <v>8765.32372786691</v>
      </c>
      <c r="N111" s="324" t="n">
        <v>906.889296414272</v>
      </c>
      <c r="O111" s="324" t="n">
        <v>7858.43443145264</v>
      </c>
      <c r="P111" s="325" t="n">
        <v>-7858.43443145264</v>
      </c>
      <c r="Q111" s="324"/>
      <c r="R111" s="302"/>
      <c r="S111" s="302"/>
      <c r="T111" s="160"/>
      <c r="U111" s="160"/>
      <c r="V111" s="168" t="n">
        <v>3639.62</v>
      </c>
      <c r="W111" s="88" t="n">
        <v>-3639.62</v>
      </c>
      <c r="X111" s="88"/>
      <c r="Y111" s="98" t="s">
        <v>30</v>
      </c>
      <c r="Z111" s="302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60"/>
      <c r="BK111" s="160"/>
      <c r="BL111" s="160"/>
      <c r="BM111" s="160"/>
      <c r="BN111" s="160"/>
      <c r="BO111" s="160"/>
      <c r="BP111" s="160"/>
      <c r="BQ111" s="160"/>
      <c r="BR111" s="160"/>
      <c r="BS111" s="160"/>
      <c r="BT111" s="160"/>
      <c r="BU111" s="160"/>
      <c r="BV111" s="160"/>
      <c r="BW111" s="160"/>
      <c r="BX111" s="160"/>
      <c r="BY111" s="160"/>
      <c r="BZ111" s="160"/>
      <c r="CA111" s="160"/>
      <c r="CB111" s="160"/>
      <c r="CC111" s="160"/>
      <c r="CD111" s="160"/>
      <c r="CE111" s="160"/>
      <c r="CF111" s="160"/>
      <c r="CG111" s="160"/>
      <c r="CH111" s="160"/>
      <c r="CI111" s="160"/>
      <c r="CJ111" s="160"/>
      <c r="CK111" s="160"/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DU111" s="160"/>
      <c r="DV111" s="160"/>
      <c r="DW111" s="160"/>
      <c r="DX111" s="160"/>
      <c r="DY111" s="160"/>
      <c r="DZ111" s="160"/>
      <c r="EA111" s="160"/>
      <c r="EB111" s="160"/>
      <c r="EC111" s="160"/>
      <c r="ED111" s="160"/>
      <c r="EE111" s="160"/>
      <c r="EF111" s="160"/>
      <c r="EG111" s="160"/>
      <c r="EH111" s="160"/>
      <c r="EI111" s="160"/>
      <c r="EJ111" s="160"/>
      <c r="EK111" s="160"/>
      <c r="EL111" s="160"/>
      <c r="EM111" s="160"/>
      <c r="EN111" s="160"/>
      <c r="EO111" s="160"/>
      <c r="EP111" s="160"/>
      <c r="EQ111" s="160"/>
      <c r="ER111" s="160"/>
      <c r="ES111" s="160"/>
      <c r="ET111" s="160"/>
      <c r="EU111" s="160"/>
      <c r="EV111" s="160"/>
      <c r="EW111" s="160"/>
      <c r="EX111" s="160"/>
      <c r="EY111" s="160"/>
      <c r="EZ111" s="160"/>
      <c r="FA111" s="160"/>
      <c r="FB111" s="160"/>
      <c r="FC111" s="160"/>
      <c r="FD111" s="160"/>
      <c r="FE111" s="160"/>
      <c r="FF111" s="160"/>
      <c r="FG111" s="160"/>
      <c r="FH111" s="160"/>
      <c r="FI111" s="160"/>
      <c r="FJ111" s="160"/>
      <c r="FK111" s="160"/>
      <c r="FL111" s="160"/>
      <c r="FM111" s="160"/>
      <c r="FN111" s="160"/>
      <c r="FO111" s="160"/>
      <c r="FP111" s="160"/>
      <c r="FQ111" s="160"/>
      <c r="FR111" s="160"/>
      <c r="FS111" s="160"/>
      <c r="FT111" s="160"/>
      <c r="FU111" s="160"/>
      <c r="FV111" s="160"/>
      <c r="FW111" s="160"/>
      <c r="FX111" s="160"/>
      <c r="FY111" s="160"/>
      <c r="FZ111" s="160"/>
      <c r="GA111" s="160"/>
      <c r="GB111" s="160"/>
      <c r="GC111" s="160"/>
      <c r="GD111" s="160"/>
      <c r="GE111" s="160"/>
      <c r="GF111" s="160"/>
      <c r="GG111" s="160"/>
      <c r="GH111" s="160"/>
      <c r="GI111" s="160"/>
      <c r="GJ111" s="160"/>
      <c r="GK111" s="160"/>
      <c r="GL111" s="160"/>
      <c r="GM111" s="160"/>
      <c r="GN111" s="160"/>
      <c r="GO111" s="160"/>
      <c r="GP111" s="160"/>
      <c r="GQ111" s="160"/>
      <c r="GR111" s="160"/>
      <c r="GS111" s="160"/>
      <c r="GT111" s="160"/>
      <c r="GU111" s="160"/>
      <c r="GV111" s="160"/>
      <c r="GW111" s="160"/>
      <c r="GX111" s="160"/>
      <c r="GY111" s="160"/>
      <c r="GZ111" s="160"/>
      <c r="HA111" s="160"/>
      <c r="HB111" s="160"/>
      <c r="HC111" s="160"/>
      <c r="HD111" s="160"/>
      <c r="HE111" s="160"/>
      <c r="HF111" s="160"/>
      <c r="HG111" s="160"/>
      <c r="HH111" s="160"/>
      <c r="HI111" s="160"/>
      <c r="HJ111" s="160"/>
      <c r="HK111" s="160"/>
      <c r="HL111" s="160"/>
      <c r="HM111" s="160"/>
      <c r="HN111" s="160"/>
      <c r="HO111" s="160"/>
      <c r="HP111" s="160"/>
      <c r="HQ111" s="160"/>
      <c r="HR111" s="160"/>
      <c r="HS111" s="160"/>
      <c r="HT111" s="160"/>
      <c r="HU111" s="160"/>
      <c r="HV111" s="160"/>
      <c r="HW111" s="160"/>
      <c r="HX111" s="160"/>
      <c r="HY111" s="160"/>
      <c r="HZ111" s="160"/>
      <c r="IA111" s="160"/>
      <c r="IB111" s="160"/>
      <c r="IC111" s="160"/>
      <c r="ID111" s="160"/>
      <c r="IE111" s="160"/>
      <c r="IF111" s="160"/>
      <c r="IG111" s="160"/>
      <c r="IH111" s="160"/>
      <c r="II111" s="160"/>
      <c r="IJ111" s="160"/>
      <c r="IK111" s="160"/>
      <c r="IL111" s="160"/>
      <c r="IM111" s="160"/>
      <c r="IN111" s="160"/>
      <c r="IO111" s="160"/>
      <c r="IP111" s="160"/>
      <c r="IQ111" s="160"/>
      <c r="IR111" s="160"/>
      <c r="IS111" s="160"/>
      <c r="IT111" s="160"/>
      <c r="IU111" s="160"/>
      <c r="IV111" s="160"/>
      <c r="IW111" s="160"/>
    </row>
    <row r="112" customFormat="false" ht="12.75" hidden="false" customHeight="false" outlineLevel="0" collapsed="false">
      <c r="A112" s="318"/>
      <c r="B112" s="319" t="s">
        <v>30</v>
      </c>
      <c r="C112" s="319" t="s">
        <v>44</v>
      </c>
      <c r="D112" s="320" t="s">
        <v>105</v>
      </c>
      <c r="E112" s="319" t="s">
        <v>45</v>
      </c>
      <c r="F112" s="320" t="s">
        <v>104</v>
      </c>
      <c r="G112" s="321" t="n">
        <v>36901</v>
      </c>
      <c r="H112" s="322" t="n">
        <v>3.74</v>
      </c>
      <c r="I112" s="322" t="n">
        <v>3.82</v>
      </c>
      <c r="J112" s="322" t="n">
        <v>-0.0799999999999996</v>
      </c>
      <c r="K112" s="323" t="n">
        <v>-500000</v>
      </c>
      <c r="L112" s="323" t="n">
        <v>-16666.6666666667</v>
      </c>
      <c r="M112" s="324" t="n">
        <v>-40000</v>
      </c>
      <c r="N112" s="324" t="n">
        <v>0</v>
      </c>
      <c r="O112" s="324" t="n">
        <v>-40000</v>
      </c>
      <c r="P112" s="325" t="n">
        <v>40000</v>
      </c>
      <c r="Q112" s="324"/>
      <c r="R112" s="326" t="n">
        <f aca="false">SUM(P111:P112)</f>
        <v>32141.5655685474</v>
      </c>
      <c r="S112" s="326" t="n">
        <f aca="false">+R112-Z112</f>
        <v>-4218.81443145264</v>
      </c>
      <c r="T112" s="160"/>
      <c r="U112" s="160"/>
      <c r="V112" s="168" t="n">
        <v>-40000</v>
      </c>
      <c r="W112" s="88" t="n">
        <v>40000</v>
      </c>
      <c r="X112" s="88"/>
      <c r="Y112" s="98" t="s">
        <v>30</v>
      </c>
      <c r="Z112" s="326" t="n">
        <f aca="false">SUM(W111:W112)</f>
        <v>36360.38</v>
      </c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0"/>
      <c r="BB112" s="160"/>
      <c r="BC112" s="160"/>
      <c r="BD112" s="160"/>
      <c r="BE112" s="160"/>
      <c r="BF112" s="160"/>
      <c r="BG112" s="160"/>
      <c r="BH112" s="160"/>
      <c r="BI112" s="160"/>
      <c r="BJ112" s="160"/>
      <c r="BK112" s="160"/>
      <c r="BL112" s="160"/>
      <c r="BM112" s="160"/>
      <c r="BN112" s="160"/>
      <c r="BO112" s="160"/>
      <c r="BP112" s="160"/>
      <c r="BQ112" s="160"/>
      <c r="BR112" s="160"/>
      <c r="BS112" s="160"/>
      <c r="BT112" s="160"/>
      <c r="BU112" s="160"/>
      <c r="BV112" s="160"/>
      <c r="BW112" s="160"/>
      <c r="BX112" s="160"/>
      <c r="BY112" s="160"/>
      <c r="BZ112" s="160"/>
      <c r="CA112" s="160"/>
      <c r="CB112" s="160"/>
      <c r="CC112" s="160"/>
      <c r="CD112" s="160"/>
      <c r="CE112" s="160"/>
      <c r="CF112" s="160"/>
      <c r="CG112" s="160"/>
      <c r="CH112" s="160"/>
      <c r="CI112" s="160"/>
      <c r="CJ112" s="160"/>
      <c r="CK112" s="160"/>
      <c r="CL112" s="160"/>
      <c r="CM112" s="160"/>
      <c r="CN112" s="160"/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0"/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0"/>
      <c r="DY112" s="160"/>
      <c r="DZ112" s="160"/>
      <c r="EA112" s="160"/>
      <c r="EB112" s="160"/>
      <c r="EC112" s="160"/>
      <c r="ED112" s="160"/>
      <c r="EE112" s="160"/>
      <c r="EF112" s="160"/>
      <c r="EG112" s="160"/>
      <c r="EH112" s="160"/>
      <c r="EI112" s="160"/>
      <c r="EJ112" s="160"/>
      <c r="EK112" s="160"/>
      <c r="EL112" s="160"/>
      <c r="EM112" s="160"/>
      <c r="EN112" s="160"/>
      <c r="EO112" s="160"/>
      <c r="EP112" s="160"/>
      <c r="EQ112" s="160"/>
      <c r="ER112" s="160"/>
      <c r="ES112" s="160"/>
      <c r="ET112" s="160"/>
      <c r="EU112" s="160"/>
      <c r="EV112" s="160"/>
      <c r="EW112" s="160"/>
      <c r="EX112" s="160"/>
      <c r="EY112" s="160"/>
      <c r="EZ112" s="160"/>
      <c r="FA112" s="160"/>
      <c r="FB112" s="160"/>
      <c r="FC112" s="160"/>
      <c r="FD112" s="160"/>
      <c r="FE112" s="160"/>
      <c r="FF112" s="160"/>
      <c r="FG112" s="160"/>
      <c r="FH112" s="160"/>
      <c r="FI112" s="160"/>
      <c r="FJ112" s="160"/>
      <c r="FK112" s="160"/>
      <c r="FL112" s="160"/>
      <c r="FM112" s="160"/>
      <c r="FN112" s="160"/>
      <c r="FO112" s="160"/>
      <c r="FP112" s="160"/>
      <c r="FQ112" s="160"/>
      <c r="FR112" s="160"/>
      <c r="FS112" s="160"/>
      <c r="FT112" s="160"/>
      <c r="FU112" s="160"/>
      <c r="FV112" s="160"/>
      <c r="FW112" s="160"/>
      <c r="FX112" s="160"/>
      <c r="FY112" s="160"/>
      <c r="FZ112" s="160"/>
      <c r="GA112" s="160"/>
      <c r="GB112" s="160"/>
      <c r="GC112" s="160"/>
      <c r="GD112" s="160"/>
      <c r="GE112" s="160"/>
      <c r="GF112" s="160"/>
      <c r="GG112" s="160"/>
      <c r="GH112" s="160"/>
      <c r="GI112" s="160"/>
      <c r="GJ112" s="160"/>
      <c r="GK112" s="160"/>
      <c r="GL112" s="160"/>
      <c r="GM112" s="160"/>
      <c r="GN112" s="160"/>
      <c r="GO112" s="160"/>
      <c r="GP112" s="160"/>
      <c r="GQ112" s="160"/>
      <c r="GR112" s="160"/>
      <c r="GS112" s="160"/>
      <c r="GT112" s="160"/>
      <c r="GU112" s="160"/>
      <c r="GV112" s="160"/>
      <c r="GW112" s="160"/>
      <c r="GX112" s="160"/>
      <c r="GY112" s="160"/>
      <c r="GZ112" s="160"/>
      <c r="HA112" s="160"/>
      <c r="HB112" s="160"/>
      <c r="HC112" s="160"/>
      <c r="HD112" s="160"/>
      <c r="HE112" s="160"/>
      <c r="HF112" s="160"/>
      <c r="HG112" s="160"/>
      <c r="HH112" s="160"/>
      <c r="HI112" s="160"/>
      <c r="HJ112" s="160"/>
      <c r="HK112" s="160"/>
      <c r="HL112" s="160"/>
      <c r="HM112" s="160"/>
      <c r="HN112" s="160"/>
      <c r="HO112" s="160"/>
      <c r="HP112" s="160"/>
      <c r="HQ112" s="160"/>
      <c r="HR112" s="160"/>
      <c r="HS112" s="160"/>
      <c r="HT112" s="160"/>
      <c r="HU112" s="160"/>
      <c r="HV112" s="160"/>
      <c r="HW112" s="160"/>
      <c r="HX112" s="160"/>
      <c r="HY112" s="160"/>
      <c r="HZ112" s="160"/>
      <c r="IA112" s="160"/>
      <c r="IB112" s="160"/>
      <c r="IC112" s="160"/>
      <c r="ID112" s="160"/>
      <c r="IE112" s="160"/>
      <c r="IF112" s="160"/>
      <c r="IG112" s="160"/>
      <c r="IH112" s="160"/>
      <c r="II112" s="160"/>
      <c r="IJ112" s="160"/>
      <c r="IK112" s="160"/>
      <c r="IL112" s="160"/>
      <c r="IM112" s="160"/>
      <c r="IN112" s="160"/>
      <c r="IO112" s="160"/>
      <c r="IP112" s="160"/>
      <c r="IQ112" s="160"/>
      <c r="IR112" s="160"/>
      <c r="IS112" s="160"/>
      <c r="IT112" s="160"/>
      <c r="IU112" s="160"/>
      <c r="IV112" s="160"/>
      <c r="IW112" s="160"/>
    </row>
    <row r="113" customFormat="false" ht="12.75" hidden="false" customHeight="false" outlineLevel="0" collapsed="false">
      <c r="A113" s="279"/>
      <c r="B113" s="263" t="s">
        <v>30</v>
      </c>
      <c r="C113" s="263" t="s">
        <v>96</v>
      </c>
      <c r="D113" s="327" t="s">
        <v>111</v>
      </c>
      <c r="E113" s="263" t="s">
        <v>45</v>
      </c>
      <c r="F113" s="327" t="s">
        <v>112</v>
      </c>
      <c r="G113" s="284" t="n">
        <v>36924</v>
      </c>
      <c r="H113" s="328" t="n">
        <v>4.19385714285714</v>
      </c>
      <c r="I113" s="328" t="n">
        <v>4.182</v>
      </c>
      <c r="J113" s="328" t="n">
        <v>0.0118571428571421</v>
      </c>
      <c r="K113" s="329" t="n">
        <v>-1070000</v>
      </c>
      <c r="L113" s="329" t="n">
        <v>-34516.1290322581</v>
      </c>
      <c r="M113" s="330" t="n">
        <v>-12805.0000000003</v>
      </c>
      <c r="N113" s="330" t="n">
        <v>5344.99999999989</v>
      </c>
      <c r="O113" s="330" t="n">
        <v>-18150.0000000002</v>
      </c>
      <c r="P113" s="272" t="n">
        <v>18150.0000000002</v>
      </c>
      <c r="Q113" s="330"/>
      <c r="R113" s="302"/>
      <c r="S113" s="302"/>
      <c r="T113" s="160"/>
      <c r="U113" s="160"/>
      <c r="V113" s="168" t="n">
        <v>-18150</v>
      </c>
      <c r="W113" s="88" t="n">
        <v>18150</v>
      </c>
      <c r="X113" s="88"/>
      <c r="Y113" s="98" t="s">
        <v>30</v>
      </c>
      <c r="Z113" s="302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0"/>
      <c r="BB113" s="160"/>
      <c r="BC113" s="160"/>
      <c r="BD113" s="160"/>
      <c r="BE113" s="160"/>
      <c r="BF113" s="160"/>
      <c r="BG113" s="160"/>
      <c r="BH113" s="160"/>
      <c r="BI113" s="160"/>
      <c r="BJ113" s="160"/>
      <c r="BK113" s="160"/>
      <c r="BL113" s="160"/>
      <c r="BM113" s="160"/>
      <c r="BN113" s="160"/>
      <c r="BO113" s="160"/>
      <c r="BP113" s="160"/>
      <c r="BQ113" s="160"/>
      <c r="BR113" s="160"/>
      <c r="BS113" s="160"/>
      <c r="BT113" s="160"/>
      <c r="BU113" s="160"/>
      <c r="BV113" s="160"/>
      <c r="BW113" s="160"/>
      <c r="BX113" s="160"/>
      <c r="BY113" s="160"/>
      <c r="BZ113" s="160"/>
      <c r="CA113" s="160"/>
      <c r="CB113" s="160"/>
      <c r="CC113" s="160"/>
      <c r="CD113" s="160"/>
      <c r="CE113" s="160"/>
      <c r="CF113" s="160"/>
      <c r="CG113" s="160"/>
      <c r="CH113" s="160"/>
      <c r="CI113" s="160"/>
      <c r="CJ113" s="160"/>
      <c r="CK113" s="160"/>
      <c r="CL113" s="160"/>
      <c r="CM113" s="160"/>
      <c r="CN113" s="160"/>
      <c r="CO113" s="160"/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60"/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0"/>
      <c r="DY113" s="160"/>
      <c r="DZ113" s="160"/>
      <c r="EA113" s="160"/>
      <c r="EB113" s="160"/>
      <c r="EC113" s="160"/>
      <c r="ED113" s="160"/>
      <c r="EE113" s="160"/>
      <c r="EF113" s="160"/>
      <c r="EG113" s="160"/>
      <c r="EH113" s="160"/>
      <c r="EI113" s="160"/>
      <c r="EJ113" s="160"/>
      <c r="EK113" s="160"/>
      <c r="EL113" s="160"/>
      <c r="EM113" s="160"/>
      <c r="EN113" s="160"/>
      <c r="EO113" s="160"/>
      <c r="EP113" s="160"/>
      <c r="EQ113" s="160"/>
      <c r="ER113" s="160"/>
      <c r="ES113" s="160"/>
      <c r="ET113" s="160"/>
      <c r="EU113" s="160"/>
      <c r="EV113" s="160"/>
      <c r="EW113" s="160"/>
      <c r="EX113" s="160"/>
      <c r="EY113" s="160"/>
      <c r="EZ113" s="160"/>
      <c r="FA113" s="160"/>
      <c r="FB113" s="160"/>
      <c r="FC113" s="160"/>
      <c r="FD113" s="160"/>
      <c r="FE113" s="160"/>
      <c r="FF113" s="160"/>
      <c r="FG113" s="160"/>
      <c r="FH113" s="160"/>
      <c r="FI113" s="160"/>
      <c r="FJ113" s="160"/>
      <c r="FK113" s="160"/>
      <c r="FL113" s="160"/>
      <c r="FM113" s="160"/>
      <c r="FN113" s="160"/>
      <c r="FO113" s="160"/>
      <c r="FP113" s="160"/>
      <c r="FQ113" s="160"/>
      <c r="FR113" s="160"/>
      <c r="FS113" s="160"/>
      <c r="FT113" s="160"/>
      <c r="FU113" s="160"/>
      <c r="FV113" s="160"/>
      <c r="FW113" s="160"/>
      <c r="FX113" s="160"/>
      <c r="FY113" s="160"/>
      <c r="FZ113" s="160"/>
      <c r="GA113" s="160"/>
      <c r="GB113" s="160"/>
      <c r="GC113" s="160"/>
      <c r="GD113" s="160"/>
      <c r="GE113" s="160"/>
      <c r="GF113" s="160"/>
      <c r="GG113" s="160"/>
      <c r="GH113" s="160"/>
      <c r="GI113" s="160"/>
      <c r="GJ113" s="160"/>
      <c r="GK113" s="160"/>
      <c r="GL113" s="160"/>
      <c r="GM113" s="160"/>
      <c r="GN113" s="160"/>
      <c r="GO113" s="160"/>
      <c r="GP113" s="160"/>
      <c r="GQ113" s="160"/>
      <c r="GR113" s="160"/>
      <c r="GS113" s="160"/>
      <c r="GT113" s="160"/>
      <c r="GU113" s="160"/>
      <c r="GV113" s="160"/>
      <c r="GW113" s="160"/>
      <c r="GX113" s="160"/>
      <c r="GY113" s="160"/>
      <c r="GZ113" s="160"/>
      <c r="HA113" s="160"/>
      <c r="HB113" s="160"/>
      <c r="HC113" s="160"/>
      <c r="HD113" s="160"/>
      <c r="HE113" s="160"/>
      <c r="HF113" s="160"/>
      <c r="HG113" s="160"/>
      <c r="HH113" s="160"/>
      <c r="HI113" s="160"/>
      <c r="HJ113" s="160"/>
      <c r="HK113" s="160"/>
      <c r="HL113" s="160"/>
      <c r="HM113" s="160"/>
      <c r="HN113" s="160"/>
      <c r="HO113" s="160"/>
      <c r="HP113" s="160"/>
      <c r="HQ113" s="160"/>
      <c r="HR113" s="160"/>
      <c r="HS113" s="160"/>
      <c r="HT113" s="160"/>
      <c r="HU113" s="160"/>
      <c r="HV113" s="160"/>
      <c r="HW113" s="160"/>
      <c r="HX113" s="160"/>
      <c r="HY113" s="160"/>
      <c r="HZ113" s="160"/>
      <c r="IA113" s="160"/>
      <c r="IB113" s="160"/>
      <c r="IC113" s="160"/>
      <c r="ID113" s="160"/>
      <c r="IE113" s="160"/>
      <c r="IF113" s="160"/>
      <c r="IG113" s="160"/>
      <c r="IH113" s="160"/>
      <c r="II113" s="160"/>
      <c r="IJ113" s="160"/>
      <c r="IK113" s="160"/>
      <c r="IL113" s="160"/>
      <c r="IM113" s="160"/>
      <c r="IN113" s="160"/>
      <c r="IO113" s="160"/>
      <c r="IP113" s="160"/>
      <c r="IQ113" s="160"/>
      <c r="IR113" s="160"/>
      <c r="IS113" s="160"/>
      <c r="IT113" s="160"/>
      <c r="IU113" s="160"/>
      <c r="IV113" s="160"/>
      <c r="IW113" s="160"/>
    </row>
    <row r="114" customFormat="false" ht="12.75" hidden="false" customHeight="false" outlineLevel="0" collapsed="false">
      <c r="A114" s="279"/>
      <c r="B114" s="263" t="s">
        <v>30</v>
      </c>
      <c r="C114" s="263" t="s">
        <v>96</v>
      </c>
      <c r="D114" s="327" t="s">
        <v>113</v>
      </c>
      <c r="E114" s="263" t="s">
        <v>45</v>
      </c>
      <c r="F114" s="327" t="s">
        <v>112</v>
      </c>
      <c r="G114" s="284" t="n">
        <v>36924</v>
      </c>
      <c r="H114" s="328" t="n">
        <v>4.28385714285714</v>
      </c>
      <c r="I114" s="328" t="n">
        <v>4.21342857142857</v>
      </c>
      <c r="J114" s="328" t="n">
        <v>0.0704285714285717</v>
      </c>
      <c r="K114" s="329" t="n">
        <v>1070000</v>
      </c>
      <c r="L114" s="329" t="n">
        <v>34516.1290322581</v>
      </c>
      <c r="M114" s="330" t="n">
        <v>75630</v>
      </c>
      <c r="N114" s="330" t="n">
        <v>10155.0000000001</v>
      </c>
      <c r="O114" s="330" t="n">
        <v>65475</v>
      </c>
      <c r="P114" s="272" t="n">
        <v>-65475</v>
      </c>
      <c r="Q114" s="330"/>
      <c r="R114" s="302"/>
      <c r="S114" s="302"/>
      <c r="T114" s="160"/>
      <c r="U114" s="160"/>
      <c r="V114" s="168" t="n">
        <v>65475</v>
      </c>
      <c r="W114" s="88" t="n">
        <v>-65475</v>
      </c>
      <c r="X114" s="88"/>
      <c r="Y114" s="98" t="s">
        <v>30</v>
      </c>
      <c r="Z114" s="302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0"/>
      <c r="BN114" s="160"/>
      <c r="BO114" s="160"/>
      <c r="BP114" s="160"/>
      <c r="BQ114" s="160"/>
      <c r="BR114" s="160"/>
      <c r="BS114" s="160"/>
      <c r="BT114" s="160"/>
      <c r="BU114" s="160"/>
      <c r="BV114" s="160"/>
      <c r="BW114" s="160"/>
      <c r="BX114" s="160"/>
      <c r="BY114" s="160"/>
      <c r="BZ114" s="160"/>
      <c r="CA114" s="160"/>
      <c r="CB114" s="160"/>
      <c r="CC114" s="160"/>
      <c r="CD114" s="160"/>
      <c r="CE114" s="160"/>
      <c r="CF114" s="160"/>
      <c r="CG114" s="160"/>
      <c r="CH114" s="160"/>
      <c r="CI114" s="160"/>
      <c r="CJ114" s="160"/>
      <c r="CK114" s="160"/>
      <c r="CL114" s="160"/>
      <c r="CM114" s="160"/>
      <c r="CN114" s="160"/>
      <c r="CO114" s="160"/>
      <c r="CP114" s="160"/>
      <c r="CQ114" s="160"/>
      <c r="CR114" s="160"/>
      <c r="CS114" s="160"/>
      <c r="CT114" s="160"/>
      <c r="CU114" s="160"/>
      <c r="CV114" s="160"/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  <c r="DO114" s="160"/>
      <c r="DP114" s="160"/>
      <c r="DQ114" s="160"/>
      <c r="DR114" s="160"/>
      <c r="DS114" s="160"/>
      <c r="DT114" s="160"/>
      <c r="DU114" s="160"/>
      <c r="DV114" s="160"/>
      <c r="DW114" s="160"/>
      <c r="DX114" s="160"/>
      <c r="DY114" s="160"/>
      <c r="DZ114" s="160"/>
      <c r="EA114" s="160"/>
      <c r="EB114" s="160"/>
      <c r="EC114" s="160"/>
      <c r="ED114" s="160"/>
      <c r="EE114" s="160"/>
      <c r="EF114" s="160"/>
      <c r="EG114" s="160"/>
      <c r="EH114" s="160"/>
      <c r="EI114" s="160"/>
      <c r="EJ114" s="160"/>
      <c r="EK114" s="160"/>
      <c r="EL114" s="160"/>
      <c r="EM114" s="160"/>
      <c r="EN114" s="160"/>
      <c r="EO114" s="160"/>
      <c r="EP114" s="160"/>
      <c r="EQ114" s="160"/>
      <c r="ER114" s="160"/>
      <c r="ES114" s="160"/>
      <c r="ET114" s="160"/>
      <c r="EU114" s="160"/>
      <c r="EV114" s="160"/>
      <c r="EW114" s="160"/>
      <c r="EX114" s="160"/>
      <c r="EY114" s="160"/>
      <c r="EZ114" s="160"/>
      <c r="FA114" s="160"/>
      <c r="FB114" s="160"/>
      <c r="FC114" s="160"/>
      <c r="FD114" s="160"/>
      <c r="FE114" s="160"/>
      <c r="FF114" s="160"/>
      <c r="FG114" s="160"/>
      <c r="FH114" s="160"/>
      <c r="FI114" s="160"/>
      <c r="FJ114" s="160"/>
      <c r="FK114" s="160"/>
      <c r="FL114" s="160"/>
      <c r="FM114" s="160"/>
      <c r="FN114" s="160"/>
      <c r="FO114" s="160"/>
      <c r="FP114" s="160"/>
      <c r="FQ114" s="160"/>
      <c r="FR114" s="160"/>
      <c r="FS114" s="160"/>
      <c r="FT114" s="160"/>
      <c r="FU114" s="160"/>
      <c r="FV114" s="160"/>
      <c r="FW114" s="160"/>
      <c r="FX114" s="160"/>
      <c r="FY114" s="160"/>
      <c r="FZ114" s="160"/>
      <c r="GA114" s="160"/>
      <c r="GB114" s="160"/>
      <c r="GC114" s="160"/>
      <c r="GD114" s="160"/>
      <c r="GE114" s="160"/>
      <c r="GF114" s="160"/>
      <c r="GG114" s="160"/>
      <c r="GH114" s="160"/>
      <c r="GI114" s="160"/>
      <c r="GJ114" s="160"/>
      <c r="GK114" s="160"/>
      <c r="GL114" s="160"/>
      <c r="GM114" s="160"/>
      <c r="GN114" s="160"/>
      <c r="GO114" s="160"/>
      <c r="GP114" s="160"/>
      <c r="GQ114" s="160"/>
      <c r="GR114" s="160"/>
      <c r="GS114" s="160"/>
      <c r="GT114" s="160"/>
      <c r="GU114" s="160"/>
      <c r="GV114" s="160"/>
      <c r="GW114" s="160"/>
      <c r="GX114" s="160"/>
      <c r="GY114" s="160"/>
      <c r="GZ114" s="160"/>
      <c r="HA114" s="160"/>
      <c r="HB114" s="160"/>
      <c r="HC114" s="160"/>
      <c r="HD114" s="160"/>
      <c r="HE114" s="160"/>
      <c r="HF114" s="160"/>
      <c r="HG114" s="160"/>
      <c r="HH114" s="160"/>
      <c r="HI114" s="160"/>
      <c r="HJ114" s="160"/>
      <c r="HK114" s="160"/>
      <c r="HL114" s="160"/>
      <c r="HM114" s="160"/>
      <c r="HN114" s="160"/>
      <c r="HO114" s="160"/>
      <c r="HP114" s="160"/>
      <c r="HQ114" s="160"/>
      <c r="HR114" s="160"/>
      <c r="HS114" s="160"/>
      <c r="HT114" s="160"/>
      <c r="HU114" s="160"/>
      <c r="HV114" s="160"/>
      <c r="HW114" s="160"/>
      <c r="HX114" s="160"/>
      <c r="HY114" s="160"/>
      <c r="HZ114" s="160"/>
      <c r="IA114" s="160"/>
      <c r="IB114" s="160"/>
      <c r="IC114" s="160"/>
      <c r="ID114" s="160"/>
      <c r="IE114" s="160"/>
      <c r="IF114" s="160"/>
      <c r="IG114" s="160"/>
      <c r="IH114" s="160"/>
      <c r="II114" s="160"/>
      <c r="IJ114" s="160"/>
      <c r="IK114" s="160"/>
      <c r="IL114" s="160"/>
      <c r="IM114" s="160"/>
      <c r="IN114" s="160"/>
      <c r="IO114" s="160"/>
      <c r="IP114" s="160"/>
      <c r="IQ114" s="160"/>
      <c r="IR114" s="160"/>
      <c r="IS114" s="160"/>
      <c r="IT114" s="160"/>
      <c r="IU114" s="160"/>
      <c r="IV114" s="160"/>
      <c r="IW114" s="160"/>
    </row>
    <row r="115" customFormat="false" ht="12.75" hidden="false" customHeight="false" outlineLevel="0" collapsed="false">
      <c r="A115" s="279"/>
      <c r="B115" s="263" t="s">
        <v>30</v>
      </c>
      <c r="C115" s="263" t="s">
        <v>96</v>
      </c>
      <c r="D115" s="327" t="s">
        <v>118</v>
      </c>
      <c r="E115" s="263" t="s">
        <v>45</v>
      </c>
      <c r="F115" s="327" t="s">
        <v>119</v>
      </c>
      <c r="G115" s="284" t="n">
        <v>37033</v>
      </c>
      <c r="H115" s="328" t="n">
        <v>3.6275</v>
      </c>
      <c r="I115" s="328" t="n">
        <v>3.6385</v>
      </c>
      <c r="J115" s="328" t="n">
        <v>-0.0110000000000028</v>
      </c>
      <c r="K115" s="329" t="n">
        <v>300000</v>
      </c>
      <c r="L115" s="329" t="n">
        <v>10000</v>
      </c>
      <c r="M115" s="330" t="n">
        <v>-3299.99999999996</v>
      </c>
      <c r="N115" s="330" t="n">
        <v>0</v>
      </c>
      <c r="O115" s="330" t="n">
        <v>-3299.99999999996</v>
      </c>
      <c r="P115" s="272" t="n">
        <v>3299.99999999996</v>
      </c>
      <c r="Q115" s="330"/>
      <c r="R115" s="302"/>
      <c r="S115" s="302"/>
      <c r="T115" s="160"/>
      <c r="U115" s="160"/>
      <c r="V115" s="168" t="n">
        <v>3300</v>
      </c>
      <c r="W115" s="88" t="n">
        <v>-3300</v>
      </c>
      <c r="X115" s="88"/>
      <c r="Y115" s="98" t="s">
        <v>30</v>
      </c>
      <c r="Z115" s="302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0"/>
      <c r="BN115" s="160"/>
      <c r="BO115" s="160"/>
      <c r="BP115" s="160"/>
      <c r="BQ115" s="160"/>
      <c r="BR115" s="160"/>
      <c r="BS115" s="160"/>
      <c r="BT115" s="160"/>
      <c r="BU115" s="160"/>
      <c r="BV115" s="160"/>
      <c r="BW115" s="160"/>
      <c r="BX115" s="160"/>
      <c r="BY115" s="160"/>
      <c r="BZ115" s="160"/>
      <c r="CA115" s="160"/>
      <c r="CB115" s="160"/>
      <c r="CC115" s="160"/>
      <c r="CD115" s="160"/>
      <c r="CE115" s="160"/>
      <c r="CF115" s="160"/>
      <c r="CG115" s="160"/>
      <c r="CH115" s="160"/>
      <c r="CI115" s="160"/>
      <c r="CJ115" s="160"/>
      <c r="CK115" s="160"/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0"/>
      <c r="EC115" s="160"/>
      <c r="ED115" s="160"/>
      <c r="EE115" s="160"/>
      <c r="EF115" s="160"/>
      <c r="EG115" s="160"/>
      <c r="EH115" s="160"/>
      <c r="EI115" s="160"/>
      <c r="EJ115" s="160"/>
      <c r="EK115" s="160"/>
      <c r="EL115" s="160"/>
      <c r="EM115" s="160"/>
      <c r="EN115" s="160"/>
      <c r="EO115" s="160"/>
      <c r="EP115" s="160"/>
      <c r="EQ115" s="160"/>
      <c r="ER115" s="160"/>
      <c r="ES115" s="160"/>
      <c r="ET115" s="160"/>
      <c r="EU115" s="160"/>
      <c r="EV115" s="160"/>
      <c r="EW115" s="160"/>
      <c r="EX115" s="160"/>
      <c r="EY115" s="160"/>
      <c r="EZ115" s="160"/>
      <c r="FA115" s="160"/>
      <c r="FB115" s="160"/>
      <c r="FC115" s="160"/>
      <c r="FD115" s="160"/>
      <c r="FE115" s="160"/>
      <c r="FF115" s="160"/>
      <c r="FG115" s="160"/>
      <c r="FH115" s="160"/>
      <c r="FI115" s="160"/>
      <c r="FJ115" s="160"/>
      <c r="FK115" s="160"/>
      <c r="FL115" s="160"/>
      <c r="FM115" s="160"/>
      <c r="FN115" s="160"/>
      <c r="FO115" s="160"/>
      <c r="FP115" s="160"/>
      <c r="FQ115" s="160"/>
      <c r="FR115" s="160"/>
      <c r="FS115" s="160"/>
      <c r="FT115" s="160"/>
      <c r="FU115" s="160"/>
      <c r="FV115" s="160"/>
      <c r="FW115" s="160"/>
      <c r="FX115" s="160"/>
      <c r="FY115" s="160"/>
      <c r="FZ115" s="160"/>
      <c r="GA115" s="160"/>
      <c r="GB115" s="160"/>
      <c r="GC115" s="160"/>
      <c r="GD115" s="160"/>
      <c r="GE115" s="160"/>
      <c r="GF115" s="160"/>
      <c r="GG115" s="160"/>
      <c r="GH115" s="160"/>
      <c r="GI115" s="160"/>
      <c r="GJ115" s="160"/>
      <c r="GK115" s="160"/>
      <c r="GL115" s="160"/>
      <c r="GM115" s="160"/>
      <c r="GN115" s="160"/>
      <c r="GO115" s="160"/>
      <c r="GP115" s="160"/>
      <c r="GQ115" s="160"/>
      <c r="GR115" s="160"/>
      <c r="GS115" s="160"/>
      <c r="GT115" s="160"/>
      <c r="GU115" s="160"/>
      <c r="GV115" s="160"/>
      <c r="GW115" s="160"/>
      <c r="GX115" s="160"/>
      <c r="GY115" s="160"/>
      <c r="GZ115" s="160"/>
      <c r="HA115" s="160"/>
      <c r="HB115" s="160"/>
      <c r="HC115" s="160"/>
      <c r="HD115" s="160"/>
      <c r="HE115" s="160"/>
      <c r="HF115" s="160"/>
      <c r="HG115" s="160"/>
      <c r="HH115" s="160"/>
      <c r="HI115" s="160"/>
      <c r="HJ115" s="160"/>
      <c r="HK115" s="160"/>
      <c r="HL115" s="160"/>
      <c r="HM115" s="160"/>
      <c r="HN115" s="160"/>
      <c r="HO115" s="160"/>
      <c r="HP115" s="160"/>
      <c r="HQ115" s="160"/>
      <c r="HR115" s="160"/>
      <c r="HS115" s="160"/>
      <c r="HT115" s="160"/>
      <c r="HU115" s="160"/>
      <c r="HV115" s="160"/>
      <c r="HW115" s="160"/>
      <c r="HX115" s="160"/>
      <c r="HY115" s="160"/>
      <c r="HZ115" s="160"/>
      <c r="IA115" s="160"/>
      <c r="IB115" s="160"/>
      <c r="IC115" s="160"/>
      <c r="ID115" s="160"/>
      <c r="IE115" s="160"/>
      <c r="IF115" s="160"/>
      <c r="IG115" s="160"/>
      <c r="IH115" s="160"/>
      <c r="II115" s="160"/>
      <c r="IJ115" s="160"/>
      <c r="IK115" s="160"/>
      <c r="IL115" s="160"/>
      <c r="IM115" s="160"/>
      <c r="IN115" s="160"/>
      <c r="IO115" s="160"/>
      <c r="IP115" s="160"/>
      <c r="IQ115" s="160"/>
      <c r="IR115" s="160"/>
      <c r="IS115" s="160"/>
      <c r="IT115" s="160"/>
      <c r="IU115" s="160"/>
      <c r="IV115" s="160"/>
      <c r="IW115" s="160"/>
    </row>
    <row r="116" customFormat="false" ht="12.75" hidden="false" customHeight="false" outlineLevel="0" collapsed="false">
      <c r="A116" s="279"/>
      <c r="B116" s="263" t="s">
        <v>30</v>
      </c>
      <c r="C116" s="263" t="s">
        <v>96</v>
      </c>
      <c r="D116" s="327" t="s">
        <v>120</v>
      </c>
      <c r="E116" s="263" t="s">
        <v>45</v>
      </c>
      <c r="F116" s="327" t="s">
        <v>119</v>
      </c>
      <c r="G116" s="284" t="n">
        <v>37033</v>
      </c>
      <c r="H116" s="328" t="n">
        <v>3.6325</v>
      </c>
      <c r="I116" s="328" t="n">
        <v>3.62116666666667</v>
      </c>
      <c r="J116" s="328" t="n">
        <v>0.0113333333333316</v>
      </c>
      <c r="K116" s="329" t="n">
        <v>-300000</v>
      </c>
      <c r="L116" s="329" t="n">
        <v>-10000</v>
      </c>
      <c r="M116" s="330" t="n">
        <v>-3399.9999999999</v>
      </c>
      <c r="N116" s="330" t="n">
        <v>0</v>
      </c>
      <c r="O116" s="330" t="n">
        <v>-3399.9999999999</v>
      </c>
      <c r="P116" s="272" t="n">
        <v>3399.9999999999</v>
      </c>
      <c r="Q116" s="330"/>
      <c r="R116" s="302"/>
      <c r="S116" s="302"/>
      <c r="T116" s="160"/>
      <c r="U116" s="160"/>
      <c r="V116" s="168" t="n">
        <v>3400</v>
      </c>
      <c r="W116" s="88" t="n">
        <v>-3400</v>
      </c>
      <c r="X116" s="88"/>
      <c r="Y116" s="98" t="s">
        <v>30</v>
      </c>
      <c r="Z116" s="302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0"/>
      <c r="BN116" s="160"/>
      <c r="BO116" s="160"/>
      <c r="BP116" s="160"/>
      <c r="BQ116" s="160"/>
      <c r="BR116" s="160"/>
      <c r="BS116" s="160"/>
      <c r="BT116" s="160"/>
      <c r="BU116" s="160"/>
      <c r="BV116" s="160"/>
      <c r="BW116" s="160"/>
      <c r="BX116" s="160"/>
      <c r="BY116" s="160"/>
      <c r="BZ116" s="160"/>
      <c r="CA116" s="160"/>
      <c r="CB116" s="160"/>
      <c r="CC116" s="160"/>
      <c r="CD116" s="160"/>
      <c r="CE116" s="160"/>
      <c r="CF116" s="160"/>
      <c r="CG116" s="160"/>
      <c r="CH116" s="160"/>
      <c r="CI116" s="160"/>
      <c r="CJ116" s="160"/>
      <c r="CK116" s="160"/>
      <c r="CL116" s="160"/>
      <c r="CM116" s="160"/>
      <c r="CN116" s="160"/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0"/>
      <c r="DY116" s="160"/>
      <c r="DZ116" s="160"/>
      <c r="EA116" s="160"/>
      <c r="EB116" s="160"/>
      <c r="EC116" s="160"/>
      <c r="ED116" s="160"/>
      <c r="EE116" s="160"/>
      <c r="EF116" s="160"/>
      <c r="EG116" s="160"/>
      <c r="EH116" s="160"/>
      <c r="EI116" s="160"/>
      <c r="EJ116" s="160"/>
      <c r="EK116" s="160"/>
      <c r="EL116" s="160"/>
      <c r="EM116" s="160"/>
      <c r="EN116" s="160"/>
      <c r="EO116" s="160"/>
      <c r="EP116" s="160"/>
      <c r="EQ116" s="160"/>
      <c r="ER116" s="160"/>
      <c r="ES116" s="160"/>
      <c r="ET116" s="160"/>
      <c r="EU116" s="160"/>
      <c r="EV116" s="160"/>
      <c r="EW116" s="160"/>
      <c r="EX116" s="160"/>
      <c r="EY116" s="160"/>
      <c r="EZ116" s="160"/>
      <c r="FA116" s="160"/>
      <c r="FB116" s="160"/>
      <c r="FC116" s="160"/>
      <c r="FD116" s="160"/>
      <c r="FE116" s="160"/>
      <c r="FF116" s="160"/>
      <c r="FG116" s="160"/>
      <c r="FH116" s="160"/>
      <c r="FI116" s="160"/>
      <c r="FJ116" s="160"/>
      <c r="FK116" s="160"/>
      <c r="FL116" s="160"/>
      <c r="FM116" s="160"/>
      <c r="FN116" s="160"/>
      <c r="FO116" s="160"/>
      <c r="FP116" s="160"/>
      <c r="FQ116" s="160"/>
      <c r="FR116" s="160"/>
      <c r="FS116" s="160"/>
      <c r="FT116" s="160"/>
      <c r="FU116" s="160"/>
      <c r="FV116" s="160"/>
      <c r="FW116" s="160"/>
      <c r="FX116" s="160"/>
      <c r="FY116" s="160"/>
      <c r="FZ116" s="160"/>
      <c r="GA116" s="160"/>
      <c r="GB116" s="160"/>
      <c r="GC116" s="160"/>
      <c r="GD116" s="160"/>
      <c r="GE116" s="160"/>
      <c r="GF116" s="160"/>
      <c r="GG116" s="160"/>
      <c r="GH116" s="160"/>
      <c r="GI116" s="160"/>
      <c r="GJ116" s="160"/>
      <c r="GK116" s="160"/>
      <c r="GL116" s="160"/>
      <c r="GM116" s="160"/>
      <c r="GN116" s="160"/>
      <c r="GO116" s="160"/>
      <c r="GP116" s="160"/>
      <c r="GQ116" s="160"/>
      <c r="GR116" s="160"/>
      <c r="GS116" s="160"/>
      <c r="GT116" s="160"/>
      <c r="GU116" s="160"/>
      <c r="GV116" s="160"/>
      <c r="GW116" s="160"/>
      <c r="GX116" s="160"/>
      <c r="GY116" s="160"/>
      <c r="GZ116" s="160"/>
      <c r="HA116" s="160"/>
      <c r="HB116" s="160"/>
      <c r="HC116" s="160"/>
      <c r="HD116" s="160"/>
      <c r="HE116" s="160"/>
      <c r="HF116" s="160"/>
      <c r="HG116" s="160"/>
      <c r="HH116" s="160"/>
      <c r="HI116" s="160"/>
      <c r="HJ116" s="160"/>
      <c r="HK116" s="160"/>
      <c r="HL116" s="160"/>
      <c r="HM116" s="160"/>
      <c r="HN116" s="160"/>
      <c r="HO116" s="160"/>
      <c r="HP116" s="160"/>
      <c r="HQ116" s="160"/>
      <c r="HR116" s="160"/>
      <c r="HS116" s="160"/>
      <c r="HT116" s="160"/>
      <c r="HU116" s="160"/>
      <c r="HV116" s="160"/>
      <c r="HW116" s="160"/>
      <c r="HX116" s="160"/>
      <c r="HY116" s="160"/>
      <c r="HZ116" s="160"/>
      <c r="IA116" s="160"/>
      <c r="IB116" s="160"/>
      <c r="IC116" s="160"/>
      <c r="ID116" s="160"/>
      <c r="IE116" s="160"/>
      <c r="IF116" s="160"/>
      <c r="IG116" s="160"/>
      <c r="IH116" s="160"/>
      <c r="II116" s="160"/>
      <c r="IJ116" s="160"/>
      <c r="IK116" s="160"/>
      <c r="IL116" s="160"/>
      <c r="IM116" s="160"/>
      <c r="IN116" s="160"/>
      <c r="IO116" s="160"/>
      <c r="IP116" s="160"/>
      <c r="IQ116" s="160"/>
      <c r="IR116" s="160"/>
      <c r="IS116" s="160"/>
      <c r="IT116" s="160"/>
      <c r="IU116" s="160"/>
      <c r="IV116" s="160"/>
      <c r="IW116" s="160"/>
    </row>
    <row r="117" customFormat="false" ht="12.75" hidden="false" customHeight="false" outlineLevel="0" collapsed="false">
      <c r="A117" s="279"/>
      <c r="B117" s="263" t="s">
        <v>30</v>
      </c>
      <c r="C117" s="263" t="s">
        <v>96</v>
      </c>
      <c r="D117" s="327" t="s">
        <v>98</v>
      </c>
      <c r="E117" s="263" t="s">
        <v>45</v>
      </c>
      <c r="F117" s="327" t="s">
        <v>99</v>
      </c>
      <c r="G117" s="284" t="n">
        <v>36894</v>
      </c>
      <c r="H117" s="328" t="n">
        <v>4.00781818181818</v>
      </c>
      <c r="I117" s="328" t="n">
        <v>3.01890909090909</v>
      </c>
      <c r="J117" s="328" t="n">
        <v>0.988909090909091</v>
      </c>
      <c r="K117" s="329" t="n">
        <v>6680000</v>
      </c>
      <c r="L117" s="329" t="n">
        <v>20000</v>
      </c>
      <c r="M117" s="330" t="n">
        <v>11881480</v>
      </c>
      <c r="N117" s="330" t="n">
        <v>2229540</v>
      </c>
      <c r="O117" s="330" t="n">
        <v>9651940</v>
      </c>
      <c r="P117" s="272" t="n">
        <v>-9651940</v>
      </c>
      <c r="Q117" s="330"/>
      <c r="R117" s="302"/>
      <c r="S117" s="302"/>
      <c r="T117" s="160"/>
      <c r="U117" s="160"/>
      <c r="V117" s="168" t="n">
        <v>9651940</v>
      </c>
      <c r="W117" s="88" t="n">
        <v>-9651940</v>
      </c>
      <c r="X117" s="88"/>
      <c r="Y117" s="98" t="s">
        <v>30</v>
      </c>
      <c r="Z117" s="302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/>
      <c r="CL117" s="160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  <c r="EA117" s="160"/>
      <c r="EB117" s="160"/>
      <c r="EC117" s="160"/>
      <c r="ED117" s="160"/>
      <c r="EE117" s="160"/>
      <c r="EF117" s="160"/>
      <c r="EG117" s="160"/>
      <c r="EH117" s="160"/>
      <c r="EI117" s="160"/>
      <c r="EJ117" s="160"/>
      <c r="EK117" s="160"/>
      <c r="EL117" s="160"/>
      <c r="EM117" s="160"/>
      <c r="EN117" s="160"/>
      <c r="EO117" s="160"/>
      <c r="EP117" s="160"/>
      <c r="EQ117" s="160"/>
      <c r="ER117" s="160"/>
      <c r="ES117" s="160"/>
      <c r="ET117" s="160"/>
      <c r="EU117" s="160"/>
      <c r="EV117" s="160"/>
      <c r="EW117" s="160"/>
      <c r="EX117" s="160"/>
      <c r="EY117" s="160"/>
      <c r="EZ117" s="160"/>
      <c r="FA117" s="160"/>
      <c r="FB117" s="160"/>
      <c r="FC117" s="160"/>
      <c r="FD117" s="160"/>
      <c r="FE117" s="160"/>
      <c r="FF117" s="160"/>
      <c r="FG117" s="160"/>
      <c r="FH117" s="160"/>
      <c r="FI117" s="160"/>
      <c r="FJ117" s="160"/>
      <c r="FK117" s="160"/>
      <c r="FL117" s="160"/>
      <c r="FM117" s="160"/>
      <c r="FN117" s="160"/>
      <c r="FO117" s="160"/>
      <c r="FP117" s="160"/>
      <c r="FQ117" s="160"/>
      <c r="FR117" s="160"/>
      <c r="FS117" s="160"/>
      <c r="FT117" s="160"/>
      <c r="FU117" s="160"/>
      <c r="FV117" s="160"/>
      <c r="FW117" s="160"/>
      <c r="FX117" s="160"/>
      <c r="FY117" s="160"/>
      <c r="FZ117" s="160"/>
      <c r="GA117" s="160"/>
      <c r="GB117" s="160"/>
      <c r="GC117" s="160"/>
      <c r="GD117" s="160"/>
      <c r="GE117" s="160"/>
      <c r="GF117" s="160"/>
      <c r="GG117" s="160"/>
      <c r="GH117" s="160"/>
      <c r="GI117" s="160"/>
      <c r="GJ117" s="160"/>
      <c r="GK117" s="160"/>
      <c r="GL117" s="160"/>
      <c r="GM117" s="160"/>
      <c r="GN117" s="160"/>
      <c r="GO117" s="160"/>
      <c r="GP117" s="160"/>
      <c r="GQ117" s="160"/>
      <c r="GR117" s="160"/>
      <c r="GS117" s="160"/>
      <c r="GT117" s="160"/>
      <c r="GU117" s="160"/>
      <c r="GV117" s="160"/>
      <c r="GW117" s="160"/>
      <c r="GX117" s="160"/>
      <c r="GY117" s="160"/>
      <c r="GZ117" s="160"/>
      <c r="HA117" s="160"/>
      <c r="HB117" s="160"/>
      <c r="HC117" s="160"/>
      <c r="HD117" s="160"/>
      <c r="HE117" s="160"/>
      <c r="HF117" s="160"/>
      <c r="HG117" s="160"/>
      <c r="HH117" s="160"/>
      <c r="HI117" s="160"/>
      <c r="HJ117" s="160"/>
      <c r="HK117" s="160"/>
      <c r="HL117" s="160"/>
      <c r="HM117" s="160"/>
      <c r="HN117" s="160"/>
      <c r="HO117" s="160"/>
      <c r="HP117" s="160"/>
      <c r="HQ117" s="160"/>
      <c r="HR117" s="160"/>
      <c r="HS117" s="160"/>
      <c r="HT117" s="160"/>
      <c r="HU117" s="160"/>
      <c r="HV117" s="160"/>
      <c r="HW117" s="160"/>
      <c r="HX117" s="160"/>
      <c r="HY117" s="160"/>
      <c r="HZ117" s="160"/>
      <c r="IA117" s="160"/>
      <c r="IB117" s="160"/>
      <c r="IC117" s="160"/>
      <c r="ID117" s="160"/>
      <c r="IE117" s="160"/>
      <c r="IF117" s="160"/>
      <c r="IG117" s="160"/>
      <c r="IH117" s="160"/>
      <c r="II117" s="160"/>
      <c r="IJ117" s="160"/>
      <c r="IK117" s="160"/>
      <c r="IL117" s="160"/>
      <c r="IM117" s="160"/>
      <c r="IN117" s="160"/>
      <c r="IO117" s="160"/>
      <c r="IP117" s="160"/>
      <c r="IQ117" s="160"/>
      <c r="IR117" s="160"/>
      <c r="IS117" s="160"/>
      <c r="IT117" s="160"/>
      <c r="IU117" s="160"/>
      <c r="IV117" s="160"/>
      <c r="IW117" s="160"/>
    </row>
    <row r="118" customFormat="false" ht="12.75" hidden="false" customHeight="false" outlineLevel="0" collapsed="false">
      <c r="A118" s="279"/>
      <c r="B118" s="263" t="s">
        <v>30</v>
      </c>
      <c r="C118" s="263" t="s">
        <v>96</v>
      </c>
      <c r="D118" s="327" t="s">
        <v>100</v>
      </c>
      <c r="E118" s="263" t="s">
        <v>45</v>
      </c>
      <c r="F118" s="327" t="s">
        <v>99</v>
      </c>
      <c r="G118" s="284" t="n">
        <v>36894</v>
      </c>
      <c r="H118" s="328" t="n">
        <v>3.94545454545455</v>
      </c>
      <c r="I118" s="328" t="n">
        <v>3.01890909090909</v>
      </c>
      <c r="J118" s="328" t="n">
        <v>0.926545454545455</v>
      </c>
      <c r="K118" s="329" t="n">
        <v>-6680000</v>
      </c>
      <c r="L118" s="329" t="n">
        <v>-20000</v>
      </c>
      <c r="M118" s="330" t="n">
        <v>-11226840</v>
      </c>
      <c r="N118" s="330" t="n">
        <v>-1994340</v>
      </c>
      <c r="O118" s="330" t="n">
        <v>-9232500</v>
      </c>
      <c r="P118" s="272" t="n">
        <v>9232500</v>
      </c>
      <c r="Q118" s="330"/>
      <c r="R118" s="302"/>
      <c r="S118" s="302"/>
      <c r="T118" s="160"/>
      <c r="U118" s="160"/>
      <c r="V118" s="168" t="n">
        <v>-9232500</v>
      </c>
      <c r="W118" s="88" t="n">
        <v>9232500</v>
      </c>
      <c r="X118" s="88"/>
      <c r="Y118" s="98" t="s">
        <v>30</v>
      </c>
      <c r="Z118" s="302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0"/>
      <c r="BN118" s="160"/>
      <c r="BO118" s="160"/>
      <c r="BP118" s="160"/>
      <c r="BQ118" s="160"/>
      <c r="BR118" s="160"/>
      <c r="BS118" s="160"/>
      <c r="BT118" s="160"/>
      <c r="BU118" s="160"/>
      <c r="BV118" s="160"/>
      <c r="BW118" s="160"/>
      <c r="BX118" s="160"/>
      <c r="BY118" s="160"/>
      <c r="BZ118" s="160"/>
      <c r="CA118" s="160"/>
      <c r="CB118" s="160"/>
      <c r="CC118" s="160"/>
      <c r="CD118" s="160"/>
      <c r="CE118" s="160"/>
      <c r="CF118" s="160"/>
      <c r="CG118" s="160"/>
      <c r="CH118" s="160"/>
      <c r="CI118" s="160"/>
      <c r="CJ118" s="160"/>
      <c r="CK118" s="160"/>
      <c r="CL118" s="160"/>
      <c r="CM118" s="160"/>
      <c r="CN118" s="160"/>
      <c r="CO118" s="160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0"/>
      <c r="DY118" s="160"/>
      <c r="DZ118" s="160"/>
      <c r="EA118" s="160"/>
      <c r="EB118" s="160"/>
      <c r="EC118" s="160"/>
      <c r="ED118" s="160"/>
      <c r="EE118" s="160"/>
      <c r="EF118" s="160"/>
      <c r="EG118" s="160"/>
      <c r="EH118" s="160"/>
      <c r="EI118" s="160"/>
      <c r="EJ118" s="160"/>
      <c r="EK118" s="160"/>
      <c r="EL118" s="160"/>
      <c r="EM118" s="160"/>
      <c r="EN118" s="160"/>
      <c r="EO118" s="160"/>
      <c r="EP118" s="160"/>
      <c r="EQ118" s="160"/>
      <c r="ER118" s="160"/>
      <c r="ES118" s="160"/>
      <c r="ET118" s="160"/>
      <c r="EU118" s="160"/>
      <c r="EV118" s="160"/>
      <c r="EW118" s="160"/>
      <c r="EX118" s="160"/>
      <c r="EY118" s="160"/>
      <c r="EZ118" s="160"/>
      <c r="FA118" s="160"/>
      <c r="FB118" s="160"/>
      <c r="FC118" s="160"/>
      <c r="FD118" s="160"/>
      <c r="FE118" s="160"/>
      <c r="FF118" s="160"/>
      <c r="FG118" s="160"/>
      <c r="FH118" s="160"/>
      <c r="FI118" s="160"/>
      <c r="FJ118" s="160"/>
      <c r="FK118" s="160"/>
      <c r="FL118" s="160"/>
      <c r="FM118" s="160"/>
      <c r="FN118" s="160"/>
      <c r="FO118" s="160"/>
      <c r="FP118" s="160"/>
      <c r="FQ118" s="160"/>
      <c r="FR118" s="160"/>
      <c r="FS118" s="160"/>
      <c r="FT118" s="160"/>
      <c r="FU118" s="160"/>
      <c r="FV118" s="160"/>
      <c r="FW118" s="160"/>
      <c r="FX118" s="160"/>
      <c r="FY118" s="160"/>
      <c r="FZ118" s="160"/>
      <c r="GA118" s="160"/>
      <c r="GB118" s="160"/>
      <c r="GC118" s="160"/>
      <c r="GD118" s="160"/>
      <c r="GE118" s="160"/>
      <c r="GF118" s="160"/>
      <c r="GG118" s="160"/>
      <c r="GH118" s="160"/>
      <c r="GI118" s="160"/>
      <c r="GJ118" s="160"/>
      <c r="GK118" s="160"/>
      <c r="GL118" s="160"/>
      <c r="GM118" s="160"/>
      <c r="GN118" s="160"/>
      <c r="GO118" s="160"/>
      <c r="GP118" s="160"/>
      <c r="GQ118" s="160"/>
      <c r="GR118" s="160"/>
      <c r="GS118" s="160"/>
      <c r="GT118" s="160"/>
      <c r="GU118" s="160"/>
      <c r="GV118" s="160"/>
      <c r="GW118" s="160"/>
      <c r="GX118" s="160"/>
      <c r="GY118" s="160"/>
      <c r="GZ118" s="160"/>
      <c r="HA118" s="160"/>
      <c r="HB118" s="160"/>
      <c r="HC118" s="160"/>
      <c r="HD118" s="160"/>
      <c r="HE118" s="160"/>
      <c r="HF118" s="160"/>
      <c r="HG118" s="160"/>
      <c r="HH118" s="160"/>
      <c r="HI118" s="160"/>
      <c r="HJ118" s="160"/>
      <c r="HK118" s="160"/>
      <c r="HL118" s="160"/>
      <c r="HM118" s="160"/>
      <c r="HN118" s="160"/>
      <c r="HO118" s="160"/>
      <c r="HP118" s="160"/>
      <c r="HQ118" s="160"/>
      <c r="HR118" s="160"/>
      <c r="HS118" s="160"/>
      <c r="HT118" s="160"/>
      <c r="HU118" s="160"/>
      <c r="HV118" s="160"/>
      <c r="HW118" s="160"/>
      <c r="HX118" s="160"/>
      <c r="HY118" s="160"/>
      <c r="HZ118" s="160"/>
      <c r="IA118" s="160"/>
      <c r="IB118" s="160"/>
      <c r="IC118" s="160"/>
      <c r="ID118" s="160"/>
      <c r="IE118" s="160"/>
      <c r="IF118" s="160"/>
      <c r="IG118" s="160"/>
      <c r="IH118" s="160"/>
      <c r="II118" s="160"/>
      <c r="IJ118" s="160"/>
      <c r="IK118" s="160"/>
      <c r="IL118" s="160"/>
      <c r="IM118" s="160"/>
      <c r="IN118" s="160"/>
      <c r="IO118" s="160"/>
      <c r="IP118" s="160"/>
      <c r="IQ118" s="160"/>
      <c r="IR118" s="160"/>
      <c r="IS118" s="160"/>
      <c r="IT118" s="160"/>
      <c r="IU118" s="160"/>
      <c r="IV118" s="160"/>
      <c r="IW118" s="160"/>
    </row>
    <row r="119" customFormat="false" ht="12.75" hidden="false" customHeight="false" outlineLevel="0" collapsed="false">
      <c r="A119" s="279"/>
      <c r="B119" s="263" t="s">
        <v>30</v>
      </c>
      <c r="C119" s="263" t="s">
        <v>96</v>
      </c>
      <c r="D119" s="327"/>
      <c r="E119" s="263" t="s">
        <v>45</v>
      </c>
      <c r="F119" s="327" t="s">
        <v>97</v>
      </c>
      <c r="G119" s="284"/>
      <c r="H119" s="328" t="n">
        <v>0.94</v>
      </c>
      <c r="I119" s="328" t="n">
        <v>0.9</v>
      </c>
      <c r="J119" s="328" t="n">
        <v>0.04</v>
      </c>
      <c r="K119" s="329" t="n">
        <v>62401635.28848</v>
      </c>
      <c r="L119" s="329" t="n">
        <v>85481.692176</v>
      </c>
      <c r="M119" s="330" t="n">
        <v>1535955.71449322</v>
      </c>
      <c r="N119" s="330" t="n">
        <v>449118.885815307</v>
      </c>
      <c r="O119" s="330" t="n">
        <v>1086836.82867791</v>
      </c>
      <c r="P119" s="272" t="n">
        <v>-1086836.82867791</v>
      </c>
      <c r="Q119" s="330"/>
      <c r="R119" s="326" t="n">
        <f aca="false">SUM(P113:P119)</f>
        <v>-1546901.82867791</v>
      </c>
      <c r="S119" s="326" t="n">
        <f aca="false">+R119-Z119</f>
        <v>13400.0013220885</v>
      </c>
      <c r="T119" s="160"/>
      <c r="U119" s="160"/>
      <c r="V119" s="168" t="n">
        <v>1086836.83</v>
      </c>
      <c r="W119" s="88" t="n">
        <v>-1086836.83</v>
      </c>
      <c r="X119" s="88"/>
      <c r="Y119" s="98" t="s">
        <v>30</v>
      </c>
      <c r="Z119" s="326" t="n">
        <f aca="false">SUM(W113:W119)</f>
        <v>-1560301.83</v>
      </c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0"/>
      <c r="BN119" s="160"/>
      <c r="BO119" s="160"/>
      <c r="BP119" s="160"/>
      <c r="BQ119" s="160"/>
      <c r="BR119" s="160"/>
      <c r="BS119" s="160"/>
      <c r="BT119" s="160"/>
      <c r="BU119" s="160"/>
      <c r="BV119" s="160"/>
      <c r="BW119" s="160"/>
      <c r="BX119" s="160"/>
      <c r="BY119" s="160"/>
      <c r="BZ119" s="160"/>
      <c r="CA119" s="160"/>
      <c r="CB119" s="160"/>
      <c r="CC119" s="160"/>
      <c r="CD119" s="160"/>
      <c r="CE119" s="160"/>
      <c r="CF119" s="160"/>
      <c r="CG119" s="160"/>
      <c r="CH119" s="160"/>
      <c r="CI119" s="160"/>
      <c r="CJ119" s="160"/>
      <c r="CK119" s="160"/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0"/>
      <c r="DY119" s="160"/>
      <c r="DZ119" s="160"/>
      <c r="EA119" s="160"/>
      <c r="EB119" s="160"/>
      <c r="EC119" s="160"/>
      <c r="ED119" s="160"/>
      <c r="EE119" s="160"/>
      <c r="EF119" s="160"/>
      <c r="EG119" s="160"/>
      <c r="EH119" s="160"/>
      <c r="EI119" s="160"/>
      <c r="EJ119" s="160"/>
      <c r="EK119" s="160"/>
      <c r="EL119" s="160"/>
      <c r="EM119" s="160"/>
      <c r="EN119" s="160"/>
      <c r="EO119" s="160"/>
      <c r="EP119" s="160"/>
      <c r="EQ119" s="160"/>
      <c r="ER119" s="160"/>
      <c r="ES119" s="160"/>
      <c r="ET119" s="160"/>
      <c r="EU119" s="160"/>
      <c r="EV119" s="160"/>
      <c r="EW119" s="160"/>
      <c r="EX119" s="160"/>
      <c r="EY119" s="160"/>
      <c r="EZ119" s="160"/>
      <c r="FA119" s="160"/>
      <c r="FB119" s="160"/>
      <c r="FC119" s="160"/>
      <c r="FD119" s="160"/>
      <c r="FE119" s="160"/>
      <c r="FF119" s="160"/>
      <c r="FG119" s="160"/>
      <c r="FH119" s="160"/>
      <c r="FI119" s="160"/>
      <c r="FJ119" s="160"/>
      <c r="FK119" s="160"/>
      <c r="FL119" s="160"/>
      <c r="FM119" s="160"/>
      <c r="FN119" s="160"/>
      <c r="FO119" s="160"/>
      <c r="FP119" s="160"/>
      <c r="FQ119" s="160"/>
      <c r="FR119" s="160"/>
      <c r="FS119" s="160"/>
      <c r="FT119" s="160"/>
      <c r="FU119" s="160"/>
      <c r="FV119" s="160"/>
      <c r="FW119" s="160"/>
      <c r="FX119" s="160"/>
      <c r="FY119" s="160"/>
      <c r="FZ119" s="160"/>
      <c r="GA119" s="160"/>
      <c r="GB119" s="160"/>
      <c r="GC119" s="160"/>
      <c r="GD119" s="160"/>
      <c r="GE119" s="160"/>
      <c r="GF119" s="160"/>
      <c r="GG119" s="160"/>
      <c r="GH119" s="160"/>
      <c r="GI119" s="160"/>
      <c r="GJ119" s="160"/>
      <c r="GK119" s="160"/>
      <c r="GL119" s="160"/>
      <c r="GM119" s="160"/>
      <c r="GN119" s="160"/>
      <c r="GO119" s="160"/>
      <c r="GP119" s="160"/>
      <c r="GQ119" s="160"/>
      <c r="GR119" s="160"/>
      <c r="GS119" s="160"/>
      <c r="GT119" s="160"/>
      <c r="GU119" s="160"/>
      <c r="GV119" s="160"/>
      <c r="GW119" s="160"/>
      <c r="GX119" s="160"/>
      <c r="GY119" s="160"/>
      <c r="GZ119" s="160"/>
      <c r="HA119" s="160"/>
      <c r="HB119" s="160"/>
      <c r="HC119" s="160"/>
      <c r="HD119" s="160"/>
      <c r="HE119" s="160"/>
      <c r="HF119" s="160"/>
      <c r="HG119" s="160"/>
      <c r="HH119" s="160"/>
      <c r="HI119" s="160"/>
      <c r="HJ119" s="160"/>
      <c r="HK119" s="160"/>
      <c r="HL119" s="160"/>
      <c r="HM119" s="160"/>
      <c r="HN119" s="160"/>
      <c r="HO119" s="160"/>
      <c r="HP119" s="160"/>
      <c r="HQ119" s="160"/>
      <c r="HR119" s="160"/>
      <c r="HS119" s="160"/>
      <c r="HT119" s="160"/>
      <c r="HU119" s="160"/>
      <c r="HV119" s="160"/>
      <c r="HW119" s="160"/>
      <c r="HX119" s="160"/>
      <c r="HY119" s="160"/>
      <c r="HZ119" s="160"/>
      <c r="IA119" s="160"/>
      <c r="IB119" s="160"/>
      <c r="IC119" s="160"/>
      <c r="ID119" s="160"/>
      <c r="IE119" s="160"/>
      <c r="IF119" s="160"/>
      <c r="IG119" s="160"/>
      <c r="IH119" s="160"/>
      <c r="II119" s="160"/>
      <c r="IJ119" s="160"/>
      <c r="IK119" s="160"/>
      <c r="IL119" s="160"/>
      <c r="IM119" s="160"/>
      <c r="IN119" s="160"/>
      <c r="IO119" s="160"/>
      <c r="IP119" s="160"/>
      <c r="IQ119" s="160"/>
      <c r="IR119" s="160"/>
      <c r="IS119" s="160"/>
      <c r="IT119" s="160"/>
      <c r="IU119" s="160"/>
      <c r="IV119" s="160"/>
      <c r="IW119" s="160"/>
    </row>
    <row r="120" customFormat="false" ht="12.75" hidden="false" customHeight="false" outlineLevel="0" collapsed="false">
      <c r="B120" s="45" t="s">
        <v>31</v>
      </c>
      <c r="C120" s="98" t="s">
        <v>52</v>
      </c>
      <c r="D120" s="180" t="s">
        <v>109</v>
      </c>
      <c r="E120" s="45" t="s">
        <v>45</v>
      </c>
      <c r="F120" s="180" t="s">
        <v>107</v>
      </c>
      <c r="G120" s="181" t="n">
        <v>36866</v>
      </c>
      <c r="H120" s="182" t="n">
        <v>4.00616666666667</v>
      </c>
      <c r="I120" s="182" t="n">
        <v>3.968875</v>
      </c>
      <c r="J120" s="182" t="n">
        <v>0.0372916666666661</v>
      </c>
      <c r="K120" s="165" t="n">
        <v>-1825000</v>
      </c>
      <c r="L120" s="165" t="n">
        <v>-5000</v>
      </c>
      <c r="M120" s="168" t="n">
        <v>68024.9999999999</v>
      </c>
      <c r="N120" s="168" t="n">
        <v>0</v>
      </c>
      <c r="O120" s="168" t="n">
        <v>68024.9999999999</v>
      </c>
      <c r="P120" s="104"/>
      <c r="Q120" s="168" t="n">
        <v>-68024.9999999999</v>
      </c>
      <c r="R120" s="302"/>
      <c r="S120" s="302"/>
      <c r="T120" s="160"/>
      <c r="U120" s="160"/>
      <c r="V120" s="168" t="n">
        <v>31325</v>
      </c>
      <c r="W120" s="88"/>
      <c r="X120" s="88" t="n">
        <v>-31325</v>
      </c>
      <c r="Y120" s="98" t="s">
        <v>31</v>
      </c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0"/>
      <c r="BN120" s="160"/>
      <c r="BO120" s="160"/>
      <c r="BP120" s="160"/>
      <c r="BQ120" s="160"/>
      <c r="BR120" s="160"/>
      <c r="BS120" s="160"/>
      <c r="BT120" s="160"/>
      <c r="BU120" s="160"/>
      <c r="BV120" s="160"/>
      <c r="BW120" s="160"/>
      <c r="BX120" s="160"/>
      <c r="BY120" s="160"/>
      <c r="BZ120" s="160"/>
      <c r="CA120" s="160"/>
      <c r="CB120" s="160"/>
      <c r="CC120" s="160"/>
      <c r="CD120" s="160"/>
      <c r="CE120" s="160"/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0"/>
      <c r="EC120" s="160"/>
      <c r="ED120" s="160"/>
      <c r="EE120" s="160"/>
      <c r="EF120" s="160"/>
      <c r="EG120" s="160"/>
      <c r="EH120" s="160"/>
      <c r="EI120" s="160"/>
      <c r="EJ120" s="160"/>
      <c r="EK120" s="160"/>
      <c r="EL120" s="160"/>
      <c r="EM120" s="160"/>
      <c r="EN120" s="160"/>
      <c r="EO120" s="160"/>
      <c r="EP120" s="160"/>
      <c r="EQ120" s="160"/>
      <c r="ER120" s="160"/>
      <c r="ES120" s="160"/>
      <c r="ET120" s="160"/>
      <c r="EU120" s="160"/>
      <c r="EV120" s="160"/>
      <c r="EW120" s="160"/>
      <c r="EX120" s="160"/>
      <c r="EY120" s="160"/>
      <c r="EZ120" s="160"/>
      <c r="FA120" s="160"/>
      <c r="FB120" s="160"/>
      <c r="FC120" s="160"/>
      <c r="FD120" s="160"/>
      <c r="FE120" s="160"/>
      <c r="FF120" s="160"/>
      <c r="FG120" s="160"/>
      <c r="FH120" s="160"/>
      <c r="FI120" s="160"/>
      <c r="FJ120" s="160"/>
      <c r="FK120" s="160"/>
      <c r="FL120" s="160"/>
      <c r="FM120" s="160"/>
      <c r="FN120" s="160"/>
      <c r="FO120" s="160"/>
      <c r="FP120" s="160"/>
      <c r="FQ120" s="160"/>
      <c r="FR120" s="160"/>
      <c r="FS120" s="160"/>
      <c r="FT120" s="160"/>
      <c r="FU120" s="160"/>
      <c r="FV120" s="160"/>
      <c r="FW120" s="160"/>
      <c r="FX120" s="160"/>
      <c r="FY120" s="160"/>
      <c r="FZ120" s="160"/>
      <c r="GA120" s="160"/>
      <c r="GB120" s="160"/>
      <c r="GC120" s="160"/>
      <c r="GD120" s="160"/>
      <c r="GE120" s="160"/>
      <c r="GF120" s="160"/>
      <c r="GG120" s="160"/>
      <c r="GH120" s="160"/>
      <c r="GI120" s="160"/>
      <c r="GJ120" s="160"/>
      <c r="GK120" s="160"/>
      <c r="GL120" s="160"/>
      <c r="GM120" s="160"/>
      <c r="GN120" s="160"/>
      <c r="GO120" s="160"/>
      <c r="GP120" s="160"/>
      <c r="GQ120" s="160"/>
      <c r="GR120" s="160"/>
      <c r="GS120" s="160"/>
      <c r="GT120" s="160"/>
      <c r="GU120" s="160"/>
      <c r="GV120" s="160"/>
      <c r="GW120" s="160"/>
      <c r="GX120" s="160"/>
      <c r="GY120" s="160"/>
      <c r="GZ120" s="160"/>
      <c r="HA120" s="160"/>
      <c r="HB120" s="160"/>
      <c r="HC120" s="160"/>
      <c r="HD120" s="160"/>
      <c r="HE120" s="160"/>
      <c r="HF120" s="160"/>
      <c r="HG120" s="160"/>
      <c r="HH120" s="160"/>
      <c r="HI120" s="160"/>
      <c r="HJ120" s="160"/>
      <c r="HK120" s="160"/>
      <c r="HL120" s="160"/>
      <c r="HM120" s="160"/>
      <c r="HN120" s="160"/>
      <c r="HO120" s="160"/>
      <c r="HP120" s="160"/>
      <c r="HQ120" s="160"/>
      <c r="HR120" s="160"/>
      <c r="HS120" s="160"/>
      <c r="HT120" s="160"/>
      <c r="HU120" s="160"/>
      <c r="HV120" s="160"/>
      <c r="HW120" s="160"/>
      <c r="HX120" s="160"/>
      <c r="HY120" s="160"/>
      <c r="HZ120" s="160"/>
      <c r="IA120" s="160"/>
      <c r="IB120" s="160"/>
      <c r="IC120" s="160"/>
      <c r="ID120" s="160"/>
      <c r="IE120" s="160"/>
      <c r="IF120" s="160"/>
      <c r="IG120" s="160"/>
      <c r="IH120" s="160"/>
      <c r="II120" s="160"/>
      <c r="IJ120" s="160"/>
      <c r="IK120" s="160"/>
      <c r="IL120" s="160"/>
      <c r="IM120" s="160"/>
      <c r="IN120" s="160"/>
      <c r="IO120" s="160"/>
      <c r="IP120" s="160"/>
      <c r="IQ120" s="160"/>
      <c r="IR120" s="160"/>
      <c r="IS120" s="160"/>
      <c r="IT120" s="160"/>
      <c r="IU120" s="160"/>
      <c r="IV120" s="160"/>
      <c r="IW120" s="160"/>
    </row>
    <row r="121" customFormat="false" ht="12.75" hidden="false" customHeight="false" outlineLevel="0" collapsed="false">
      <c r="B121" s="45" t="s">
        <v>31</v>
      </c>
      <c r="C121" s="98" t="s">
        <v>52</v>
      </c>
      <c r="D121" s="180" t="s">
        <v>106</v>
      </c>
      <c r="E121" s="45" t="s">
        <v>45</v>
      </c>
      <c r="F121" s="180" t="s">
        <v>107</v>
      </c>
      <c r="G121" s="181" t="n">
        <v>36866</v>
      </c>
      <c r="H121" s="182" t="n">
        <v>4.47</v>
      </c>
      <c r="I121" s="182" t="n">
        <v>3.97616666666667</v>
      </c>
      <c r="J121" s="182" t="n">
        <v>0.493833333333333</v>
      </c>
      <c r="K121" s="165" t="n">
        <v>-1825000</v>
      </c>
      <c r="L121" s="165" t="n">
        <v>-5000</v>
      </c>
      <c r="M121" s="168" t="n">
        <v>904070</v>
      </c>
      <c r="N121" s="168" t="n">
        <v>0</v>
      </c>
      <c r="O121" s="168" t="n">
        <v>904070</v>
      </c>
      <c r="P121" s="104"/>
      <c r="Q121" s="168" t="n">
        <v>-904070</v>
      </c>
      <c r="R121" s="302"/>
      <c r="S121" s="302"/>
      <c r="T121" s="160"/>
      <c r="U121" s="160"/>
      <c r="V121" s="168" t="n">
        <v>286685</v>
      </c>
      <c r="W121" s="88"/>
      <c r="X121" s="88" t="n">
        <v>-286685</v>
      </c>
      <c r="Y121" s="98" t="s">
        <v>31</v>
      </c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0"/>
      <c r="BN121" s="160"/>
      <c r="BO121" s="160"/>
      <c r="BP121" s="160"/>
      <c r="BQ121" s="160"/>
      <c r="BR121" s="160"/>
      <c r="BS121" s="160"/>
      <c r="BT121" s="160"/>
      <c r="BU121" s="160"/>
      <c r="BV121" s="160"/>
      <c r="BW121" s="160"/>
      <c r="BX121" s="160"/>
      <c r="BY121" s="160"/>
      <c r="BZ121" s="160"/>
      <c r="CA121" s="160"/>
      <c r="CB121" s="160"/>
      <c r="CC121" s="160"/>
      <c r="CD121" s="160"/>
      <c r="CE121" s="160"/>
      <c r="CF121" s="160"/>
      <c r="CG121" s="160"/>
      <c r="CH121" s="160"/>
      <c r="CI121" s="160"/>
      <c r="CJ121" s="160"/>
      <c r="CK121" s="160"/>
      <c r="CL121" s="160"/>
      <c r="CM121" s="160"/>
      <c r="CN121" s="160"/>
      <c r="CO121" s="160"/>
      <c r="CP121" s="160"/>
      <c r="CQ121" s="160"/>
      <c r="CR121" s="160"/>
      <c r="CS121" s="160"/>
      <c r="CT121" s="160"/>
      <c r="CU121" s="160"/>
      <c r="CV121" s="160"/>
      <c r="CW121" s="160"/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160"/>
      <c r="DP121" s="160"/>
      <c r="DQ121" s="160"/>
      <c r="DR121" s="160"/>
      <c r="DS121" s="160"/>
      <c r="DT121" s="160"/>
      <c r="DU121" s="160"/>
      <c r="DV121" s="160"/>
      <c r="DW121" s="160"/>
      <c r="DX121" s="160"/>
      <c r="DY121" s="160"/>
      <c r="DZ121" s="160"/>
      <c r="EA121" s="160"/>
      <c r="EB121" s="160"/>
      <c r="EC121" s="160"/>
      <c r="ED121" s="160"/>
      <c r="EE121" s="160"/>
      <c r="EF121" s="160"/>
      <c r="EG121" s="160"/>
      <c r="EH121" s="160"/>
      <c r="EI121" s="160"/>
      <c r="EJ121" s="160"/>
      <c r="EK121" s="160"/>
      <c r="EL121" s="160"/>
      <c r="EM121" s="160"/>
      <c r="EN121" s="160"/>
      <c r="EO121" s="160"/>
      <c r="EP121" s="160"/>
      <c r="EQ121" s="160"/>
      <c r="ER121" s="160"/>
      <c r="ES121" s="160"/>
      <c r="ET121" s="160"/>
      <c r="EU121" s="160"/>
      <c r="EV121" s="160"/>
      <c r="EW121" s="160"/>
      <c r="EX121" s="160"/>
      <c r="EY121" s="160"/>
      <c r="EZ121" s="160"/>
      <c r="FA121" s="160"/>
      <c r="FB121" s="160"/>
      <c r="FC121" s="160"/>
      <c r="FD121" s="160"/>
      <c r="FE121" s="160"/>
      <c r="FF121" s="160"/>
      <c r="FG121" s="160"/>
      <c r="FH121" s="160"/>
      <c r="FI121" s="160"/>
      <c r="FJ121" s="160"/>
      <c r="FK121" s="160"/>
      <c r="FL121" s="160"/>
      <c r="FM121" s="160"/>
      <c r="FN121" s="160"/>
      <c r="FO121" s="160"/>
      <c r="FP121" s="160"/>
      <c r="FQ121" s="160"/>
      <c r="FR121" s="160"/>
      <c r="FS121" s="160"/>
      <c r="FT121" s="160"/>
      <c r="FU121" s="160"/>
      <c r="FV121" s="160"/>
      <c r="FW121" s="160"/>
      <c r="FX121" s="160"/>
      <c r="FY121" s="160"/>
      <c r="FZ121" s="160"/>
      <c r="GA121" s="160"/>
      <c r="GB121" s="160"/>
      <c r="GC121" s="160"/>
      <c r="GD121" s="160"/>
      <c r="GE121" s="160"/>
      <c r="GF121" s="160"/>
      <c r="GG121" s="160"/>
      <c r="GH121" s="160"/>
      <c r="GI121" s="160"/>
      <c r="GJ121" s="160"/>
      <c r="GK121" s="160"/>
      <c r="GL121" s="160"/>
      <c r="GM121" s="160"/>
      <c r="GN121" s="160"/>
      <c r="GO121" s="160"/>
      <c r="GP121" s="160"/>
      <c r="GQ121" s="160"/>
      <c r="GR121" s="160"/>
      <c r="GS121" s="160"/>
      <c r="GT121" s="160"/>
      <c r="GU121" s="160"/>
      <c r="GV121" s="160"/>
      <c r="GW121" s="160"/>
      <c r="GX121" s="160"/>
      <c r="GY121" s="160"/>
      <c r="GZ121" s="160"/>
      <c r="HA121" s="160"/>
      <c r="HB121" s="160"/>
      <c r="HC121" s="160"/>
      <c r="HD121" s="160"/>
      <c r="HE121" s="160"/>
      <c r="HF121" s="160"/>
      <c r="HG121" s="160"/>
      <c r="HH121" s="160"/>
      <c r="HI121" s="160"/>
      <c r="HJ121" s="160"/>
      <c r="HK121" s="160"/>
      <c r="HL121" s="160"/>
      <c r="HM121" s="160"/>
      <c r="HN121" s="160"/>
      <c r="HO121" s="160"/>
      <c r="HP121" s="160"/>
      <c r="HQ121" s="160"/>
      <c r="HR121" s="160"/>
      <c r="HS121" s="160"/>
      <c r="HT121" s="160"/>
      <c r="HU121" s="160"/>
      <c r="HV121" s="160"/>
      <c r="HW121" s="160"/>
      <c r="HX121" s="160"/>
      <c r="HY121" s="160"/>
      <c r="HZ121" s="160"/>
      <c r="IA121" s="160"/>
      <c r="IB121" s="160"/>
      <c r="IC121" s="160"/>
      <c r="ID121" s="160"/>
      <c r="IE121" s="160"/>
      <c r="IF121" s="160"/>
      <c r="IG121" s="160"/>
      <c r="IH121" s="160"/>
      <c r="II121" s="160"/>
      <c r="IJ121" s="160"/>
      <c r="IK121" s="160"/>
      <c r="IL121" s="160"/>
      <c r="IM121" s="160"/>
      <c r="IN121" s="160"/>
      <c r="IO121" s="160"/>
      <c r="IP121" s="160"/>
      <c r="IQ121" s="160"/>
      <c r="IR121" s="160"/>
      <c r="IS121" s="160"/>
      <c r="IT121" s="160"/>
      <c r="IU121" s="160"/>
      <c r="IV121" s="160"/>
      <c r="IW121" s="160"/>
    </row>
    <row r="122" customFormat="false" ht="12.75" hidden="false" customHeight="false" outlineLevel="0" collapsed="false">
      <c r="B122" s="45" t="s">
        <v>31</v>
      </c>
      <c r="C122" s="98" t="s">
        <v>52</v>
      </c>
      <c r="D122" s="180" t="s">
        <v>108</v>
      </c>
      <c r="E122" s="45" t="s">
        <v>45</v>
      </c>
      <c r="F122" s="180" t="s">
        <v>107</v>
      </c>
      <c r="G122" s="181" t="n">
        <v>36867</v>
      </c>
      <c r="H122" s="182" t="n">
        <v>4.39</v>
      </c>
      <c r="I122" s="182" t="n">
        <v>3.97616666666667</v>
      </c>
      <c r="J122" s="182" t="n">
        <v>0.413833333333333</v>
      </c>
      <c r="K122" s="165" t="n">
        <v>1825000</v>
      </c>
      <c r="L122" s="165" t="n">
        <v>5000</v>
      </c>
      <c r="M122" s="168" t="n">
        <v>-758070</v>
      </c>
      <c r="N122" s="168" t="n">
        <v>0</v>
      </c>
      <c r="O122" s="168" t="n">
        <v>-758070</v>
      </c>
      <c r="P122" s="104"/>
      <c r="Q122" s="168" t="n">
        <v>758070</v>
      </c>
      <c r="R122" s="302"/>
      <c r="S122" s="302"/>
      <c r="T122" s="160"/>
      <c r="U122" s="160"/>
      <c r="V122" s="168" t="n">
        <v>-226285</v>
      </c>
      <c r="W122" s="88"/>
      <c r="X122" s="88" t="n">
        <v>226285</v>
      </c>
      <c r="Y122" s="98" t="s">
        <v>31</v>
      </c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0"/>
      <c r="BN122" s="160"/>
      <c r="BO122" s="160"/>
      <c r="BP122" s="160"/>
      <c r="BQ122" s="160"/>
      <c r="BR122" s="160"/>
      <c r="BS122" s="160"/>
      <c r="BT122" s="160"/>
      <c r="BU122" s="160"/>
      <c r="BV122" s="160"/>
      <c r="BW122" s="160"/>
      <c r="BX122" s="160"/>
      <c r="BY122" s="160"/>
      <c r="BZ122" s="160"/>
      <c r="CA122" s="160"/>
      <c r="CB122" s="160"/>
      <c r="CC122" s="160"/>
      <c r="CD122" s="160"/>
      <c r="CE122" s="160"/>
      <c r="CF122" s="160"/>
      <c r="CG122" s="160"/>
      <c r="CH122" s="160"/>
      <c r="CI122" s="160"/>
      <c r="CJ122" s="160"/>
      <c r="CK122" s="160"/>
      <c r="CL122" s="160"/>
      <c r="CM122" s="160"/>
      <c r="CN122" s="160"/>
      <c r="CO122" s="160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0"/>
      <c r="DY122" s="160"/>
      <c r="DZ122" s="160"/>
      <c r="EA122" s="160"/>
      <c r="EB122" s="160"/>
      <c r="EC122" s="160"/>
      <c r="ED122" s="160"/>
      <c r="EE122" s="160"/>
      <c r="EF122" s="160"/>
      <c r="EG122" s="160"/>
      <c r="EH122" s="160"/>
      <c r="EI122" s="160"/>
      <c r="EJ122" s="160"/>
      <c r="EK122" s="160"/>
      <c r="EL122" s="160"/>
      <c r="EM122" s="160"/>
      <c r="EN122" s="160"/>
      <c r="EO122" s="160"/>
      <c r="EP122" s="160"/>
      <c r="EQ122" s="160"/>
      <c r="ER122" s="160"/>
      <c r="ES122" s="160"/>
      <c r="ET122" s="160"/>
      <c r="EU122" s="160"/>
      <c r="EV122" s="160"/>
      <c r="EW122" s="160"/>
      <c r="EX122" s="160"/>
      <c r="EY122" s="160"/>
      <c r="EZ122" s="160"/>
      <c r="FA122" s="160"/>
      <c r="FB122" s="160"/>
      <c r="FC122" s="160"/>
      <c r="FD122" s="160"/>
      <c r="FE122" s="160"/>
      <c r="FF122" s="160"/>
      <c r="FG122" s="160"/>
      <c r="FH122" s="160"/>
      <c r="FI122" s="160"/>
      <c r="FJ122" s="160"/>
      <c r="FK122" s="160"/>
      <c r="FL122" s="160"/>
      <c r="FM122" s="160"/>
      <c r="FN122" s="160"/>
      <c r="FO122" s="160"/>
      <c r="FP122" s="160"/>
      <c r="FQ122" s="160"/>
      <c r="FR122" s="160"/>
      <c r="FS122" s="160"/>
      <c r="FT122" s="160"/>
      <c r="FU122" s="160"/>
      <c r="FV122" s="160"/>
      <c r="FW122" s="160"/>
      <c r="FX122" s="160"/>
      <c r="FY122" s="160"/>
      <c r="FZ122" s="160"/>
      <c r="GA122" s="160"/>
      <c r="GB122" s="160"/>
      <c r="GC122" s="160"/>
      <c r="GD122" s="160"/>
      <c r="GE122" s="160"/>
      <c r="GF122" s="160"/>
      <c r="GG122" s="160"/>
      <c r="GH122" s="160"/>
      <c r="GI122" s="160"/>
      <c r="GJ122" s="160"/>
      <c r="GK122" s="160"/>
      <c r="GL122" s="160"/>
      <c r="GM122" s="160"/>
      <c r="GN122" s="160"/>
      <c r="GO122" s="160"/>
      <c r="GP122" s="160"/>
      <c r="GQ122" s="160"/>
      <c r="GR122" s="160"/>
      <c r="GS122" s="160"/>
      <c r="GT122" s="160"/>
      <c r="GU122" s="160"/>
      <c r="GV122" s="160"/>
      <c r="GW122" s="160"/>
      <c r="GX122" s="160"/>
      <c r="GY122" s="160"/>
      <c r="GZ122" s="160"/>
      <c r="HA122" s="160"/>
      <c r="HB122" s="160"/>
      <c r="HC122" s="160"/>
      <c r="HD122" s="160"/>
      <c r="HE122" s="160"/>
      <c r="HF122" s="160"/>
      <c r="HG122" s="160"/>
      <c r="HH122" s="160"/>
      <c r="HI122" s="160"/>
      <c r="HJ122" s="160"/>
      <c r="HK122" s="160"/>
      <c r="HL122" s="160"/>
      <c r="HM122" s="160"/>
      <c r="HN122" s="160"/>
      <c r="HO122" s="160"/>
      <c r="HP122" s="160"/>
      <c r="HQ122" s="160"/>
      <c r="HR122" s="160"/>
      <c r="HS122" s="160"/>
      <c r="HT122" s="160"/>
      <c r="HU122" s="160"/>
      <c r="HV122" s="160"/>
      <c r="HW122" s="160"/>
      <c r="HX122" s="160"/>
      <c r="HY122" s="160"/>
      <c r="HZ122" s="160"/>
      <c r="IA122" s="160"/>
      <c r="IB122" s="160"/>
      <c r="IC122" s="160"/>
      <c r="ID122" s="160"/>
      <c r="IE122" s="160"/>
      <c r="IF122" s="160"/>
      <c r="IG122" s="160"/>
      <c r="IH122" s="160"/>
      <c r="II122" s="160"/>
      <c r="IJ122" s="160"/>
      <c r="IK122" s="160"/>
      <c r="IL122" s="160"/>
      <c r="IM122" s="160"/>
      <c r="IN122" s="160"/>
      <c r="IO122" s="160"/>
      <c r="IP122" s="160"/>
      <c r="IQ122" s="160"/>
      <c r="IR122" s="160"/>
      <c r="IS122" s="160"/>
      <c r="IT122" s="160"/>
      <c r="IU122" s="160"/>
      <c r="IV122" s="160"/>
      <c r="IW122" s="160"/>
    </row>
    <row r="123" customFormat="false" ht="12.75" hidden="false" customHeight="false" outlineLevel="0" collapsed="false">
      <c r="B123" s="45" t="s">
        <v>31</v>
      </c>
      <c r="C123" s="98" t="s">
        <v>52</v>
      </c>
      <c r="D123" s="180" t="s">
        <v>110</v>
      </c>
      <c r="E123" s="45" t="s">
        <v>45</v>
      </c>
      <c r="F123" s="180" t="s">
        <v>107</v>
      </c>
      <c r="G123" s="181" t="n">
        <v>36867</v>
      </c>
      <c r="H123" s="182" t="n">
        <v>4.01616666666667</v>
      </c>
      <c r="I123" s="182" t="n">
        <v>3.968875</v>
      </c>
      <c r="J123" s="182" t="n">
        <v>0.0472916666666667</v>
      </c>
      <c r="K123" s="165" t="n">
        <v>1825000</v>
      </c>
      <c r="L123" s="165" t="n">
        <v>5000</v>
      </c>
      <c r="M123" s="168" t="n">
        <v>-86275</v>
      </c>
      <c r="N123" s="168" t="n">
        <v>0</v>
      </c>
      <c r="O123" s="168" t="n">
        <v>-86275</v>
      </c>
      <c r="P123" s="104"/>
      <c r="Q123" s="168" t="n">
        <v>86275</v>
      </c>
      <c r="R123" s="302"/>
      <c r="S123" s="302"/>
      <c r="T123" s="160"/>
      <c r="U123" s="160"/>
      <c r="V123" s="168" t="n">
        <v>-38875</v>
      </c>
      <c r="W123" s="88"/>
      <c r="X123" s="88" t="n">
        <v>38875</v>
      </c>
      <c r="Y123" s="98" t="s">
        <v>31</v>
      </c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0"/>
      <c r="CB123" s="160"/>
      <c r="CC123" s="160"/>
      <c r="CD123" s="160"/>
      <c r="CE123" s="160"/>
      <c r="CF123" s="160"/>
      <c r="CG123" s="160"/>
      <c r="CH123" s="160"/>
      <c r="CI123" s="160"/>
      <c r="CJ123" s="160"/>
      <c r="CK123" s="160"/>
      <c r="CL123" s="160"/>
      <c r="CM123" s="160"/>
      <c r="CN123" s="160"/>
      <c r="CO123" s="160"/>
      <c r="CP123" s="160"/>
      <c r="CQ123" s="160"/>
      <c r="CR123" s="160"/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0"/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0"/>
      <c r="DY123" s="160"/>
      <c r="DZ123" s="160"/>
      <c r="EA123" s="160"/>
      <c r="EB123" s="160"/>
      <c r="EC123" s="160"/>
      <c r="ED123" s="160"/>
      <c r="EE123" s="160"/>
      <c r="EF123" s="160"/>
      <c r="EG123" s="160"/>
      <c r="EH123" s="160"/>
      <c r="EI123" s="160"/>
      <c r="EJ123" s="160"/>
      <c r="EK123" s="160"/>
      <c r="EL123" s="160"/>
      <c r="EM123" s="160"/>
      <c r="EN123" s="160"/>
      <c r="EO123" s="160"/>
      <c r="EP123" s="160"/>
      <c r="EQ123" s="160"/>
      <c r="ER123" s="160"/>
      <c r="ES123" s="160"/>
      <c r="ET123" s="160"/>
      <c r="EU123" s="160"/>
      <c r="EV123" s="160"/>
      <c r="EW123" s="160"/>
      <c r="EX123" s="160"/>
      <c r="EY123" s="160"/>
      <c r="EZ123" s="160"/>
      <c r="FA123" s="160"/>
      <c r="FB123" s="160"/>
      <c r="FC123" s="160"/>
      <c r="FD123" s="160"/>
      <c r="FE123" s="160"/>
      <c r="FF123" s="160"/>
      <c r="FG123" s="160"/>
      <c r="FH123" s="160"/>
      <c r="FI123" s="160"/>
      <c r="FJ123" s="160"/>
      <c r="FK123" s="160"/>
      <c r="FL123" s="160"/>
      <c r="FM123" s="160"/>
      <c r="FN123" s="160"/>
      <c r="FO123" s="160"/>
      <c r="FP123" s="160"/>
      <c r="FQ123" s="160"/>
      <c r="FR123" s="160"/>
      <c r="FS123" s="160"/>
      <c r="FT123" s="160"/>
      <c r="FU123" s="160"/>
      <c r="FV123" s="160"/>
      <c r="FW123" s="160"/>
      <c r="FX123" s="160"/>
      <c r="FY123" s="160"/>
      <c r="FZ123" s="160"/>
      <c r="GA123" s="160"/>
      <c r="GB123" s="160"/>
      <c r="GC123" s="160"/>
      <c r="GD123" s="160"/>
      <c r="GE123" s="160"/>
      <c r="GF123" s="160"/>
      <c r="GG123" s="160"/>
      <c r="GH123" s="160"/>
      <c r="GI123" s="160"/>
      <c r="GJ123" s="160"/>
      <c r="GK123" s="160"/>
      <c r="GL123" s="160"/>
      <c r="GM123" s="160"/>
      <c r="GN123" s="160"/>
      <c r="GO123" s="160"/>
      <c r="GP123" s="160"/>
      <c r="GQ123" s="160"/>
      <c r="GR123" s="160"/>
      <c r="GS123" s="160"/>
      <c r="GT123" s="160"/>
      <c r="GU123" s="160"/>
      <c r="GV123" s="160"/>
      <c r="GW123" s="160"/>
      <c r="GX123" s="160"/>
      <c r="GY123" s="160"/>
      <c r="GZ123" s="160"/>
      <c r="HA123" s="160"/>
      <c r="HB123" s="160"/>
      <c r="HC123" s="160"/>
      <c r="HD123" s="160"/>
      <c r="HE123" s="160"/>
      <c r="HF123" s="160"/>
      <c r="HG123" s="160"/>
      <c r="HH123" s="160"/>
      <c r="HI123" s="160"/>
      <c r="HJ123" s="160"/>
      <c r="HK123" s="160"/>
      <c r="HL123" s="160"/>
      <c r="HM123" s="160"/>
      <c r="HN123" s="160"/>
      <c r="HO123" s="160"/>
      <c r="HP123" s="160"/>
      <c r="HQ123" s="160"/>
      <c r="HR123" s="160"/>
      <c r="HS123" s="160"/>
      <c r="HT123" s="160"/>
      <c r="HU123" s="160"/>
      <c r="HV123" s="160"/>
      <c r="HW123" s="160"/>
      <c r="HX123" s="160"/>
      <c r="HY123" s="160"/>
      <c r="HZ123" s="160"/>
      <c r="IA123" s="160"/>
      <c r="IB123" s="160"/>
      <c r="IC123" s="160"/>
      <c r="ID123" s="160"/>
      <c r="IE123" s="160"/>
      <c r="IF123" s="160"/>
      <c r="IG123" s="160"/>
      <c r="IH123" s="160"/>
      <c r="II123" s="160"/>
      <c r="IJ123" s="160"/>
      <c r="IK123" s="160"/>
      <c r="IL123" s="160"/>
      <c r="IM123" s="160"/>
      <c r="IN123" s="160"/>
      <c r="IO123" s="160"/>
      <c r="IP123" s="160"/>
      <c r="IQ123" s="160"/>
      <c r="IR123" s="160"/>
      <c r="IS123" s="160"/>
      <c r="IT123" s="160"/>
      <c r="IU123" s="160"/>
      <c r="IV123" s="160"/>
      <c r="IW123" s="160"/>
    </row>
    <row r="124" customFormat="false" ht="12.75" hidden="false" customHeight="false" outlineLevel="0" collapsed="false">
      <c r="A124" s="160"/>
      <c r="B124" s="45"/>
      <c r="C124" s="98"/>
      <c r="D124" s="331"/>
      <c r="E124" s="45"/>
      <c r="F124" s="98"/>
      <c r="G124" s="331"/>
      <c r="H124" s="332"/>
      <c r="I124" s="332"/>
      <c r="J124" s="332"/>
      <c r="K124" s="192"/>
      <c r="L124" s="192"/>
      <c r="M124" s="168"/>
      <c r="N124" s="185"/>
      <c r="O124" s="185"/>
      <c r="P124" s="104"/>
      <c r="Q124" s="191"/>
      <c r="R124" s="302"/>
      <c r="S124" s="302"/>
      <c r="T124" s="160"/>
      <c r="U124" s="160"/>
      <c r="V124" s="185"/>
      <c r="W124" s="88"/>
      <c r="X124" s="88"/>
      <c r="Y124" s="98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60"/>
      <c r="BH124" s="160"/>
      <c r="BI124" s="160"/>
      <c r="BJ124" s="160"/>
      <c r="BK124" s="160"/>
      <c r="BL124" s="160"/>
      <c r="BM124" s="160"/>
      <c r="BN124" s="160"/>
      <c r="BO124" s="160"/>
      <c r="BP124" s="160"/>
      <c r="BQ124" s="160"/>
      <c r="BR124" s="160"/>
      <c r="BS124" s="160"/>
      <c r="BT124" s="160"/>
      <c r="BU124" s="160"/>
      <c r="BV124" s="160"/>
      <c r="BW124" s="160"/>
      <c r="BX124" s="160"/>
      <c r="BY124" s="160"/>
      <c r="BZ124" s="160"/>
      <c r="CA124" s="160"/>
      <c r="CB124" s="160"/>
      <c r="CC124" s="160"/>
      <c r="CD124" s="160"/>
      <c r="CE124" s="160"/>
      <c r="CF124" s="160"/>
      <c r="CG124" s="160"/>
      <c r="CH124" s="160"/>
      <c r="CI124" s="160"/>
      <c r="CJ124" s="160"/>
      <c r="CK124" s="160"/>
      <c r="CL124" s="160"/>
      <c r="CM124" s="160"/>
      <c r="CN124" s="160"/>
      <c r="CO124" s="160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0"/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0"/>
      <c r="DY124" s="160"/>
      <c r="DZ124" s="160"/>
      <c r="EA124" s="160"/>
      <c r="EB124" s="160"/>
      <c r="EC124" s="160"/>
      <c r="ED124" s="160"/>
      <c r="EE124" s="160"/>
      <c r="EF124" s="160"/>
      <c r="EG124" s="160"/>
      <c r="EH124" s="160"/>
      <c r="EI124" s="160"/>
      <c r="EJ124" s="160"/>
      <c r="EK124" s="160"/>
      <c r="EL124" s="160"/>
      <c r="EM124" s="160"/>
      <c r="EN124" s="160"/>
      <c r="EO124" s="160"/>
      <c r="EP124" s="160"/>
      <c r="EQ124" s="160"/>
      <c r="ER124" s="160"/>
      <c r="ES124" s="160"/>
      <c r="ET124" s="160"/>
      <c r="EU124" s="160"/>
      <c r="EV124" s="160"/>
      <c r="EW124" s="160"/>
      <c r="EX124" s="160"/>
      <c r="EY124" s="160"/>
      <c r="EZ124" s="160"/>
      <c r="FA124" s="160"/>
      <c r="FB124" s="160"/>
      <c r="FC124" s="160"/>
      <c r="FD124" s="160"/>
      <c r="FE124" s="160"/>
      <c r="FF124" s="160"/>
      <c r="FG124" s="160"/>
      <c r="FH124" s="160"/>
      <c r="FI124" s="160"/>
      <c r="FJ124" s="160"/>
      <c r="FK124" s="160"/>
      <c r="FL124" s="160"/>
      <c r="FM124" s="160"/>
      <c r="FN124" s="160"/>
      <c r="FO124" s="160"/>
      <c r="FP124" s="160"/>
      <c r="FQ124" s="160"/>
      <c r="FR124" s="160"/>
      <c r="FS124" s="160"/>
      <c r="FT124" s="160"/>
      <c r="FU124" s="160"/>
      <c r="FV124" s="160"/>
      <c r="FW124" s="160"/>
      <c r="FX124" s="160"/>
      <c r="FY124" s="160"/>
      <c r="FZ124" s="160"/>
      <c r="GA124" s="160"/>
      <c r="GB124" s="160"/>
      <c r="GC124" s="160"/>
      <c r="GD124" s="160"/>
      <c r="GE124" s="160"/>
      <c r="GF124" s="160"/>
      <c r="GG124" s="160"/>
      <c r="GH124" s="160"/>
      <c r="GI124" s="160"/>
      <c r="GJ124" s="160"/>
      <c r="GK124" s="160"/>
      <c r="GL124" s="160"/>
      <c r="GM124" s="160"/>
      <c r="GN124" s="160"/>
      <c r="GO124" s="160"/>
      <c r="GP124" s="160"/>
      <c r="GQ124" s="160"/>
      <c r="GR124" s="160"/>
      <c r="GS124" s="160"/>
      <c r="GT124" s="160"/>
      <c r="GU124" s="160"/>
      <c r="GV124" s="160"/>
      <c r="GW124" s="160"/>
      <c r="GX124" s="160"/>
      <c r="GY124" s="160"/>
      <c r="GZ124" s="160"/>
      <c r="HA124" s="160"/>
      <c r="HB124" s="160"/>
      <c r="HC124" s="160"/>
      <c r="HD124" s="160"/>
      <c r="HE124" s="160"/>
      <c r="HF124" s="160"/>
      <c r="HG124" s="160"/>
      <c r="HH124" s="160"/>
      <c r="HI124" s="160"/>
      <c r="HJ124" s="160"/>
      <c r="HK124" s="160"/>
      <c r="HL124" s="160"/>
      <c r="HM124" s="160"/>
      <c r="HN124" s="160"/>
      <c r="HO124" s="160"/>
      <c r="HP124" s="160"/>
      <c r="HQ124" s="160"/>
      <c r="HR124" s="160"/>
      <c r="HS124" s="160"/>
      <c r="HT124" s="160"/>
      <c r="HU124" s="160"/>
      <c r="HV124" s="160"/>
      <c r="HW124" s="160"/>
      <c r="HX124" s="160"/>
      <c r="HY124" s="160"/>
      <c r="HZ124" s="160"/>
      <c r="IA124" s="160"/>
      <c r="IB124" s="160"/>
      <c r="IC124" s="160"/>
      <c r="ID124" s="160"/>
      <c r="IE124" s="160"/>
      <c r="IF124" s="160"/>
      <c r="IG124" s="160"/>
      <c r="IH124" s="160"/>
      <c r="II124" s="160"/>
      <c r="IJ124" s="160"/>
      <c r="IK124" s="160"/>
      <c r="IL124" s="160"/>
      <c r="IM124" s="160"/>
      <c r="IN124" s="160"/>
      <c r="IO124" s="160"/>
      <c r="IP124" s="160"/>
      <c r="IQ124" s="160"/>
      <c r="IR124" s="160"/>
      <c r="IS124" s="160"/>
      <c r="IT124" s="160"/>
      <c r="IU124" s="160"/>
      <c r="IV124" s="160"/>
      <c r="IW124" s="160"/>
    </row>
    <row r="125" customFormat="false" ht="12.75" hidden="false" customHeight="false" outlineLevel="0" collapsed="false">
      <c r="A125" s="160"/>
      <c r="B125" s="45"/>
      <c r="C125" s="98"/>
      <c r="D125" s="163"/>
      <c r="E125" s="45"/>
      <c r="F125" s="180"/>
      <c r="G125" s="163"/>
      <c r="H125" s="182"/>
      <c r="I125" s="182"/>
      <c r="J125" s="182"/>
      <c r="K125" s="165"/>
      <c r="L125" s="165"/>
      <c r="M125" s="168"/>
      <c r="N125" s="185"/>
      <c r="O125" s="185"/>
      <c r="P125" s="168"/>
      <c r="Q125" s="98"/>
      <c r="R125" s="302"/>
      <c r="S125" s="302"/>
      <c r="T125" s="160"/>
      <c r="U125" s="160"/>
      <c r="V125" s="185"/>
      <c r="W125" s="88"/>
      <c r="X125" s="88"/>
      <c r="Y125" s="98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60"/>
      <c r="BH125" s="160"/>
      <c r="BI125" s="160"/>
      <c r="BJ125" s="160"/>
      <c r="BK125" s="160"/>
      <c r="BL125" s="160"/>
      <c r="BM125" s="160"/>
      <c r="BN125" s="160"/>
      <c r="BO125" s="160"/>
      <c r="BP125" s="160"/>
      <c r="BQ125" s="160"/>
      <c r="BR125" s="160"/>
      <c r="BS125" s="160"/>
      <c r="BT125" s="160"/>
      <c r="BU125" s="160"/>
      <c r="BV125" s="160"/>
      <c r="BW125" s="160"/>
      <c r="BX125" s="160"/>
      <c r="BY125" s="160"/>
      <c r="BZ125" s="160"/>
      <c r="CA125" s="160"/>
      <c r="CB125" s="160"/>
      <c r="CC125" s="160"/>
      <c r="CD125" s="160"/>
      <c r="CE125" s="160"/>
      <c r="CF125" s="160"/>
      <c r="CG125" s="160"/>
      <c r="CH125" s="160"/>
      <c r="CI125" s="160"/>
      <c r="CJ125" s="160"/>
      <c r="CK125" s="160"/>
      <c r="CL125" s="160"/>
      <c r="CM125" s="160"/>
      <c r="CN125" s="160"/>
      <c r="CO125" s="160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0"/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0"/>
      <c r="DY125" s="160"/>
      <c r="DZ125" s="160"/>
      <c r="EA125" s="160"/>
      <c r="EB125" s="160"/>
      <c r="EC125" s="160"/>
      <c r="ED125" s="160"/>
      <c r="EE125" s="160"/>
      <c r="EF125" s="160"/>
      <c r="EG125" s="160"/>
      <c r="EH125" s="160"/>
      <c r="EI125" s="160"/>
      <c r="EJ125" s="160"/>
      <c r="EK125" s="160"/>
      <c r="EL125" s="160"/>
      <c r="EM125" s="160"/>
      <c r="EN125" s="160"/>
      <c r="EO125" s="160"/>
      <c r="EP125" s="160"/>
      <c r="EQ125" s="160"/>
      <c r="ER125" s="160"/>
      <c r="ES125" s="160"/>
      <c r="ET125" s="160"/>
      <c r="EU125" s="160"/>
      <c r="EV125" s="160"/>
      <c r="EW125" s="160"/>
      <c r="EX125" s="160"/>
      <c r="EY125" s="160"/>
      <c r="EZ125" s="160"/>
      <c r="FA125" s="160"/>
      <c r="FB125" s="160"/>
      <c r="FC125" s="160"/>
      <c r="FD125" s="160"/>
      <c r="FE125" s="160"/>
      <c r="FF125" s="160"/>
      <c r="FG125" s="160"/>
      <c r="FH125" s="160"/>
      <c r="FI125" s="160"/>
      <c r="FJ125" s="160"/>
      <c r="FK125" s="160"/>
      <c r="FL125" s="160"/>
      <c r="FM125" s="160"/>
      <c r="FN125" s="160"/>
      <c r="FO125" s="160"/>
      <c r="FP125" s="160"/>
      <c r="FQ125" s="160"/>
      <c r="FR125" s="160"/>
      <c r="FS125" s="160"/>
      <c r="FT125" s="160"/>
      <c r="FU125" s="160"/>
      <c r="FV125" s="160"/>
      <c r="FW125" s="160"/>
      <c r="FX125" s="160"/>
      <c r="FY125" s="160"/>
      <c r="FZ125" s="160"/>
      <c r="GA125" s="160"/>
      <c r="GB125" s="160"/>
      <c r="GC125" s="160"/>
      <c r="GD125" s="160"/>
      <c r="GE125" s="160"/>
      <c r="GF125" s="160"/>
      <c r="GG125" s="160"/>
      <c r="GH125" s="160"/>
      <c r="GI125" s="160"/>
      <c r="GJ125" s="160"/>
      <c r="GK125" s="160"/>
      <c r="GL125" s="160"/>
      <c r="GM125" s="160"/>
      <c r="GN125" s="160"/>
      <c r="GO125" s="160"/>
      <c r="GP125" s="160"/>
      <c r="GQ125" s="160"/>
      <c r="GR125" s="160"/>
      <c r="GS125" s="160"/>
      <c r="GT125" s="160"/>
      <c r="GU125" s="160"/>
      <c r="GV125" s="160"/>
      <c r="GW125" s="160"/>
      <c r="GX125" s="160"/>
      <c r="GY125" s="160"/>
      <c r="GZ125" s="160"/>
      <c r="HA125" s="160"/>
      <c r="HB125" s="160"/>
      <c r="HC125" s="160"/>
      <c r="HD125" s="160"/>
      <c r="HE125" s="160"/>
      <c r="HF125" s="160"/>
      <c r="HG125" s="160"/>
      <c r="HH125" s="160"/>
      <c r="HI125" s="160"/>
      <c r="HJ125" s="160"/>
      <c r="HK125" s="160"/>
      <c r="HL125" s="160"/>
      <c r="HM125" s="160"/>
      <c r="HN125" s="160"/>
      <c r="HO125" s="160"/>
      <c r="HP125" s="160"/>
      <c r="HQ125" s="160"/>
      <c r="HR125" s="160"/>
      <c r="HS125" s="160"/>
      <c r="HT125" s="160"/>
      <c r="HU125" s="160"/>
      <c r="HV125" s="160"/>
      <c r="HW125" s="160"/>
      <c r="HX125" s="160"/>
      <c r="HY125" s="160"/>
      <c r="HZ125" s="160"/>
      <c r="IA125" s="160"/>
      <c r="IB125" s="160"/>
      <c r="IC125" s="160"/>
      <c r="ID125" s="160"/>
      <c r="IE125" s="160"/>
      <c r="IF125" s="160"/>
      <c r="IG125" s="160"/>
      <c r="IH125" s="160"/>
      <c r="II125" s="160"/>
      <c r="IJ125" s="160"/>
      <c r="IK125" s="160"/>
      <c r="IL125" s="160"/>
      <c r="IM125" s="160"/>
      <c r="IN125" s="160"/>
      <c r="IO125" s="160"/>
      <c r="IP125" s="160"/>
      <c r="IQ125" s="160"/>
      <c r="IR125" s="160"/>
      <c r="IS125" s="160"/>
      <c r="IT125" s="160"/>
      <c r="IU125" s="160"/>
      <c r="IV125" s="160"/>
      <c r="IW125" s="160"/>
    </row>
    <row r="126" customFormat="false" ht="12.75" hidden="false" customHeight="false" outlineLevel="0" collapsed="false">
      <c r="B126" s="45"/>
      <c r="C126" s="98"/>
      <c r="D126" s="45"/>
      <c r="E126" s="45"/>
      <c r="F126" s="162"/>
      <c r="G126" s="109"/>
      <c r="H126" s="48"/>
      <c r="I126" s="48"/>
      <c r="J126" s="333"/>
      <c r="K126" s="68"/>
      <c r="L126" s="108"/>
      <c r="M126" s="52"/>
      <c r="N126" s="52"/>
      <c r="O126" s="52"/>
      <c r="P126" s="76"/>
      <c r="Q126" s="76"/>
      <c r="R126" s="302"/>
      <c r="S126" s="302"/>
      <c r="T126" s="88"/>
      <c r="U126" s="88"/>
      <c r="V126" s="104"/>
      <c r="W126" s="88"/>
      <c r="X126" s="88"/>
      <c r="Y126" s="98"/>
    </row>
    <row r="127" customFormat="false" ht="12.75" hidden="false" customHeight="false" outlineLevel="0" collapsed="false">
      <c r="B127" s="45"/>
      <c r="C127" s="98"/>
      <c r="D127" s="45"/>
      <c r="E127" s="45"/>
      <c r="F127" s="162"/>
      <c r="G127" s="109"/>
      <c r="H127" s="334"/>
      <c r="I127" s="334"/>
      <c r="J127" s="77"/>
      <c r="K127" s="69"/>
      <c r="L127" s="69"/>
      <c r="M127" s="335"/>
      <c r="N127" s="335"/>
      <c r="O127" s="335"/>
      <c r="P127" s="76"/>
      <c r="Q127" s="76"/>
      <c r="R127" s="302"/>
      <c r="S127" s="302"/>
      <c r="T127" s="88"/>
      <c r="U127" s="88"/>
      <c r="V127" s="104"/>
      <c r="W127" s="88"/>
      <c r="X127" s="88"/>
      <c r="Y127" s="98"/>
    </row>
    <row r="128" customFormat="false" ht="12.75" hidden="false" customHeight="false" outlineLevel="0" collapsed="false">
      <c r="A128" s="160"/>
      <c r="B128" s="45"/>
      <c r="C128" s="98"/>
      <c r="D128" s="163"/>
      <c r="E128" s="45"/>
      <c r="F128" s="180"/>
      <c r="G128" s="163"/>
      <c r="H128" s="182"/>
      <c r="I128" s="182"/>
      <c r="J128" s="182"/>
      <c r="K128" s="165"/>
      <c r="L128" s="165"/>
      <c r="M128" s="168"/>
      <c r="N128" s="168"/>
      <c r="O128" s="168"/>
      <c r="P128" s="104"/>
      <c r="Q128" s="98"/>
      <c r="R128" s="302"/>
      <c r="S128" s="302"/>
      <c r="T128" s="160"/>
      <c r="U128" s="160"/>
      <c r="V128" s="168"/>
      <c r="W128" s="88"/>
      <c r="X128" s="88"/>
      <c r="Y128" s="98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0"/>
      <c r="BH128" s="160"/>
      <c r="BI128" s="160"/>
      <c r="BJ128" s="160"/>
      <c r="BK128" s="160"/>
      <c r="BL128" s="160"/>
      <c r="BM128" s="160"/>
      <c r="BN128" s="160"/>
      <c r="BO128" s="160"/>
      <c r="BP128" s="160"/>
      <c r="BQ128" s="160"/>
      <c r="BR128" s="160"/>
      <c r="BS128" s="160"/>
      <c r="BT128" s="160"/>
      <c r="BU128" s="160"/>
      <c r="BV128" s="160"/>
      <c r="BW128" s="160"/>
      <c r="BX128" s="160"/>
      <c r="BY128" s="160"/>
      <c r="BZ128" s="160"/>
      <c r="CA128" s="160"/>
      <c r="CB128" s="160"/>
      <c r="CC128" s="160"/>
      <c r="CD128" s="160"/>
      <c r="CE128" s="160"/>
      <c r="CF128" s="160"/>
      <c r="CG128" s="160"/>
      <c r="CH128" s="160"/>
      <c r="CI128" s="160"/>
      <c r="CJ128" s="160"/>
      <c r="CK128" s="160"/>
      <c r="CL128" s="160"/>
      <c r="CM128" s="160"/>
      <c r="CN128" s="160"/>
      <c r="CO128" s="160"/>
      <c r="CP128" s="160"/>
      <c r="CQ128" s="160"/>
      <c r="CR128" s="160"/>
      <c r="CS128" s="160"/>
      <c r="CT128" s="160"/>
      <c r="CU128" s="160"/>
      <c r="CV128" s="160"/>
      <c r="CW128" s="160"/>
      <c r="CX128" s="160"/>
      <c r="CY128" s="160"/>
      <c r="CZ128" s="160"/>
      <c r="DA128" s="160"/>
      <c r="DB128" s="160"/>
      <c r="DC128" s="160"/>
      <c r="DD128" s="160"/>
      <c r="DE128" s="160"/>
      <c r="DF128" s="160"/>
      <c r="DG128" s="160"/>
      <c r="DH128" s="160"/>
      <c r="DI128" s="160"/>
      <c r="DJ128" s="160"/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0"/>
      <c r="DY128" s="160"/>
      <c r="DZ128" s="160"/>
      <c r="EA128" s="160"/>
      <c r="EB128" s="160"/>
      <c r="EC128" s="160"/>
      <c r="ED128" s="160"/>
      <c r="EE128" s="160"/>
      <c r="EF128" s="160"/>
      <c r="EG128" s="160"/>
      <c r="EH128" s="160"/>
      <c r="EI128" s="160"/>
      <c r="EJ128" s="160"/>
      <c r="EK128" s="160"/>
      <c r="EL128" s="160"/>
      <c r="EM128" s="160"/>
      <c r="EN128" s="160"/>
      <c r="EO128" s="160"/>
      <c r="EP128" s="160"/>
      <c r="EQ128" s="160"/>
      <c r="ER128" s="160"/>
      <c r="ES128" s="160"/>
      <c r="ET128" s="160"/>
      <c r="EU128" s="160"/>
      <c r="EV128" s="160"/>
      <c r="EW128" s="160"/>
      <c r="EX128" s="160"/>
      <c r="EY128" s="160"/>
      <c r="EZ128" s="160"/>
      <c r="FA128" s="160"/>
      <c r="FB128" s="160"/>
      <c r="FC128" s="160"/>
      <c r="FD128" s="160"/>
      <c r="FE128" s="160"/>
      <c r="FF128" s="160"/>
      <c r="FG128" s="160"/>
      <c r="FH128" s="160"/>
      <c r="FI128" s="160"/>
      <c r="FJ128" s="160"/>
      <c r="FK128" s="160"/>
      <c r="FL128" s="160"/>
      <c r="FM128" s="160"/>
      <c r="FN128" s="160"/>
      <c r="FO128" s="160"/>
      <c r="FP128" s="160"/>
      <c r="FQ128" s="160"/>
      <c r="FR128" s="160"/>
      <c r="FS128" s="160"/>
      <c r="FT128" s="160"/>
      <c r="FU128" s="160"/>
      <c r="FV128" s="160"/>
      <c r="FW128" s="160"/>
      <c r="FX128" s="160"/>
      <c r="FY128" s="160"/>
      <c r="FZ128" s="160"/>
      <c r="GA128" s="160"/>
      <c r="GB128" s="160"/>
      <c r="GC128" s="160"/>
      <c r="GD128" s="160"/>
      <c r="GE128" s="160"/>
      <c r="GF128" s="160"/>
      <c r="GG128" s="160"/>
      <c r="GH128" s="160"/>
      <c r="GI128" s="160"/>
      <c r="GJ128" s="160"/>
      <c r="GK128" s="160"/>
      <c r="GL128" s="160"/>
      <c r="GM128" s="160"/>
      <c r="GN128" s="160"/>
      <c r="GO128" s="160"/>
      <c r="GP128" s="160"/>
      <c r="GQ128" s="160"/>
      <c r="GR128" s="160"/>
      <c r="GS128" s="160"/>
      <c r="GT128" s="160"/>
      <c r="GU128" s="160"/>
      <c r="GV128" s="160"/>
      <c r="GW128" s="160"/>
      <c r="GX128" s="160"/>
      <c r="GY128" s="160"/>
      <c r="GZ128" s="160"/>
      <c r="HA128" s="160"/>
      <c r="HB128" s="160"/>
      <c r="HC128" s="160"/>
      <c r="HD128" s="160"/>
      <c r="HE128" s="160"/>
      <c r="HF128" s="160"/>
      <c r="HG128" s="160"/>
      <c r="HH128" s="160"/>
      <c r="HI128" s="160"/>
      <c r="HJ128" s="160"/>
      <c r="HK128" s="160"/>
      <c r="HL128" s="160"/>
      <c r="HM128" s="160"/>
      <c r="HN128" s="160"/>
      <c r="HO128" s="160"/>
      <c r="HP128" s="160"/>
      <c r="HQ128" s="160"/>
      <c r="HR128" s="160"/>
      <c r="HS128" s="160"/>
      <c r="HT128" s="160"/>
      <c r="HU128" s="160"/>
      <c r="HV128" s="160"/>
      <c r="HW128" s="160"/>
      <c r="HX128" s="160"/>
      <c r="HY128" s="160"/>
      <c r="HZ128" s="160"/>
      <c r="IA128" s="160"/>
      <c r="IB128" s="160"/>
      <c r="IC128" s="160"/>
      <c r="ID128" s="160"/>
      <c r="IE128" s="160"/>
      <c r="IF128" s="160"/>
      <c r="IG128" s="160"/>
      <c r="IH128" s="160"/>
      <c r="II128" s="160"/>
      <c r="IJ128" s="160"/>
      <c r="IK128" s="160"/>
      <c r="IL128" s="160"/>
      <c r="IM128" s="160"/>
      <c r="IN128" s="160"/>
      <c r="IO128" s="160"/>
      <c r="IP128" s="160"/>
      <c r="IQ128" s="160"/>
      <c r="IR128" s="160"/>
      <c r="IS128" s="160"/>
      <c r="IT128" s="160"/>
      <c r="IU128" s="160"/>
      <c r="IV128" s="160"/>
      <c r="IW128" s="160"/>
    </row>
    <row r="129" customFormat="false" ht="11.25" hidden="false" customHeight="true" outlineLevel="0" collapsed="false">
      <c r="A129" s="160"/>
      <c r="B129" s="45"/>
      <c r="C129" s="98"/>
      <c r="D129" s="163"/>
      <c r="E129" s="45"/>
      <c r="F129" s="180"/>
      <c r="G129" s="163"/>
      <c r="H129" s="170"/>
      <c r="I129" s="170"/>
      <c r="J129" s="170"/>
      <c r="K129" s="165"/>
      <c r="L129" s="165"/>
      <c r="M129" s="168"/>
      <c r="N129" s="185"/>
      <c r="O129" s="185"/>
      <c r="P129" s="104"/>
      <c r="Q129" s="98"/>
      <c r="R129" s="302"/>
      <c r="S129" s="302"/>
      <c r="T129" s="160"/>
      <c r="U129" s="160"/>
      <c r="V129" s="185"/>
      <c r="W129" s="88"/>
      <c r="X129" s="88"/>
      <c r="Y129" s="98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0"/>
      <c r="BB129" s="160"/>
      <c r="BC129" s="160"/>
      <c r="BD129" s="160"/>
      <c r="BE129" s="160"/>
      <c r="BF129" s="160"/>
      <c r="BG129" s="160"/>
      <c r="BH129" s="160"/>
      <c r="BI129" s="160"/>
      <c r="BJ129" s="160"/>
      <c r="BK129" s="160"/>
      <c r="BL129" s="160"/>
      <c r="BM129" s="160"/>
      <c r="BN129" s="160"/>
      <c r="BO129" s="160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60"/>
      <c r="CB129" s="160"/>
      <c r="CC129" s="160"/>
      <c r="CD129" s="160"/>
      <c r="CE129" s="160"/>
      <c r="CF129" s="160"/>
      <c r="CG129" s="160"/>
      <c r="CH129" s="160"/>
      <c r="CI129" s="160"/>
      <c r="CJ129" s="160"/>
      <c r="CK129" s="160"/>
      <c r="CL129" s="160"/>
      <c r="CM129" s="160"/>
      <c r="CN129" s="160"/>
      <c r="CO129" s="160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  <c r="EA129" s="160"/>
      <c r="EB129" s="160"/>
      <c r="EC129" s="160"/>
      <c r="ED129" s="160"/>
      <c r="EE129" s="160"/>
      <c r="EF129" s="160"/>
      <c r="EG129" s="160"/>
      <c r="EH129" s="160"/>
      <c r="EI129" s="160"/>
      <c r="EJ129" s="160"/>
      <c r="EK129" s="160"/>
      <c r="EL129" s="160"/>
      <c r="EM129" s="160"/>
      <c r="EN129" s="160"/>
      <c r="EO129" s="160"/>
      <c r="EP129" s="160"/>
      <c r="EQ129" s="160"/>
      <c r="ER129" s="160"/>
      <c r="ES129" s="160"/>
      <c r="ET129" s="160"/>
      <c r="EU129" s="160"/>
      <c r="EV129" s="160"/>
      <c r="EW129" s="160"/>
      <c r="EX129" s="160"/>
      <c r="EY129" s="160"/>
      <c r="EZ129" s="160"/>
      <c r="FA129" s="160"/>
      <c r="FB129" s="160"/>
      <c r="FC129" s="160"/>
      <c r="FD129" s="160"/>
      <c r="FE129" s="160"/>
      <c r="FF129" s="160"/>
      <c r="FG129" s="160"/>
      <c r="FH129" s="160"/>
      <c r="FI129" s="160"/>
      <c r="FJ129" s="160"/>
      <c r="FK129" s="160"/>
      <c r="FL129" s="160"/>
      <c r="FM129" s="160"/>
      <c r="FN129" s="160"/>
      <c r="FO129" s="160"/>
      <c r="FP129" s="160"/>
      <c r="FQ129" s="160"/>
      <c r="FR129" s="160"/>
      <c r="FS129" s="160"/>
      <c r="FT129" s="160"/>
      <c r="FU129" s="160"/>
      <c r="FV129" s="160"/>
      <c r="FW129" s="160"/>
      <c r="FX129" s="160"/>
      <c r="FY129" s="160"/>
      <c r="FZ129" s="160"/>
      <c r="GA129" s="160"/>
      <c r="GB129" s="160"/>
      <c r="GC129" s="160"/>
      <c r="GD129" s="160"/>
      <c r="GE129" s="160"/>
      <c r="GF129" s="160"/>
      <c r="GG129" s="160"/>
      <c r="GH129" s="160"/>
      <c r="GI129" s="160"/>
      <c r="GJ129" s="160"/>
      <c r="GK129" s="160"/>
      <c r="GL129" s="160"/>
      <c r="GM129" s="160"/>
      <c r="GN129" s="160"/>
      <c r="GO129" s="160"/>
      <c r="GP129" s="160"/>
      <c r="GQ129" s="160"/>
      <c r="GR129" s="160"/>
      <c r="GS129" s="160"/>
      <c r="GT129" s="160"/>
      <c r="GU129" s="160"/>
      <c r="GV129" s="160"/>
      <c r="GW129" s="160"/>
      <c r="GX129" s="160"/>
      <c r="GY129" s="160"/>
      <c r="GZ129" s="160"/>
      <c r="HA129" s="160"/>
      <c r="HB129" s="160"/>
      <c r="HC129" s="160"/>
      <c r="HD129" s="160"/>
      <c r="HE129" s="160"/>
      <c r="HF129" s="160"/>
      <c r="HG129" s="160"/>
      <c r="HH129" s="160"/>
      <c r="HI129" s="160"/>
      <c r="HJ129" s="160"/>
      <c r="HK129" s="160"/>
      <c r="HL129" s="160"/>
      <c r="HM129" s="160"/>
      <c r="HN129" s="160"/>
      <c r="HO129" s="160"/>
      <c r="HP129" s="160"/>
      <c r="HQ129" s="160"/>
      <c r="HR129" s="160"/>
      <c r="HS129" s="160"/>
      <c r="HT129" s="160"/>
      <c r="HU129" s="160"/>
      <c r="HV129" s="160"/>
      <c r="HW129" s="160"/>
      <c r="HX129" s="160"/>
      <c r="HY129" s="160"/>
      <c r="HZ129" s="160"/>
      <c r="IA129" s="160"/>
      <c r="IB129" s="160"/>
      <c r="IC129" s="160"/>
      <c r="ID129" s="160"/>
      <c r="IE129" s="160"/>
      <c r="IF129" s="160"/>
      <c r="IG129" s="160"/>
      <c r="IH129" s="160"/>
      <c r="II129" s="160"/>
      <c r="IJ129" s="160"/>
      <c r="IK129" s="160"/>
      <c r="IL129" s="160"/>
      <c r="IM129" s="160"/>
      <c r="IN129" s="160"/>
      <c r="IO129" s="160"/>
      <c r="IP129" s="160"/>
      <c r="IQ129" s="160"/>
      <c r="IR129" s="160"/>
      <c r="IS129" s="160"/>
      <c r="IT129" s="160"/>
      <c r="IU129" s="160"/>
      <c r="IV129" s="160"/>
      <c r="IW129" s="160"/>
    </row>
    <row r="130" customFormat="false" ht="12" hidden="false" customHeight="false" outlineLevel="0" collapsed="false">
      <c r="B130" s="45"/>
      <c r="C130" s="45"/>
      <c r="D130" s="45"/>
      <c r="E130" s="193"/>
      <c r="F130" s="60"/>
      <c r="G130" s="146"/>
      <c r="H130" s="46"/>
      <c r="I130" s="60"/>
      <c r="J130" s="60"/>
      <c r="K130" s="137" t="n">
        <v>62401635.28848</v>
      </c>
      <c r="L130" s="137" t="n">
        <v>85481.692176</v>
      </c>
      <c r="M130" s="194" t="n">
        <v>17087686.0382211</v>
      </c>
      <c r="N130" s="194" t="n">
        <v>700725.775111721</v>
      </c>
      <c r="O130" s="194" t="n">
        <v>16386960.2631094</v>
      </c>
      <c r="P130" s="195" t="n">
        <v>-16259210.2631094</v>
      </c>
      <c r="Q130" s="194" t="n">
        <v>-127750</v>
      </c>
      <c r="R130" s="336"/>
      <c r="S130" s="336"/>
      <c r="T130" s="336" t="n">
        <v>0</v>
      </c>
      <c r="U130" s="336" t="n">
        <v>0</v>
      </c>
      <c r="V130" s="336" t="n">
        <v>1621241.45261287</v>
      </c>
      <c r="W130" s="336" t="n">
        <v>-1568391.45261287</v>
      </c>
      <c r="X130" s="336" t="n">
        <v>-52850.0000000001</v>
      </c>
      <c r="Y130" s="168"/>
    </row>
    <row r="131" customFormat="false" ht="12" hidden="false" customHeight="false" outlineLevel="0" collapsed="false">
      <c r="B131" s="141"/>
      <c r="C131" s="141"/>
      <c r="D131" s="141"/>
      <c r="E131" s="198"/>
      <c r="F131" s="143"/>
      <c r="G131" s="13"/>
      <c r="H131" s="142"/>
      <c r="I131" s="143"/>
      <c r="J131" s="143"/>
      <c r="K131" s="199"/>
      <c r="L131" s="199"/>
      <c r="M131" s="200"/>
      <c r="N131" s="200"/>
      <c r="O131" s="200"/>
      <c r="P131" s="201"/>
      <c r="Q131" s="202"/>
      <c r="R131" s="200"/>
      <c r="S131" s="200"/>
      <c r="T131" s="200"/>
      <c r="U131" s="200"/>
      <c r="V131" s="200"/>
      <c r="W131" s="200"/>
      <c r="X131" s="200"/>
      <c r="Y131" s="300"/>
    </row>
    <row r="132" customFormat="false" ht="11.25" hidden="false" customHeight="false" outlineLevel="0" collapsed="false">
      <c r="B132" s="146"/>
      <c r="C132" s="146"/>
      <c r="D132" s="145"/>
      <c r="E132" s="146"/>
      <c r="F132" s="146"/>
      <c r="G132" s="146"/>
      <c r="H132" s="146"/>
      <c r="I132" s="146"/>
      <c r="J132" s="146"/>
      <c r="K132" s="203"/>
      <c r="L132" s="203"/>
      <c r="M132" s="204"/>
      <c r="N132" s="204"/>
      <c r="O132" s="204"/>
      <c r="P132" s="205"/>
      <c r="V132" s="232"/>
    </row>
    <row r="133" customFormat="false" ht="12" hidden="false" customHeight="true" outlineLevel="0" collapsed="false">
      <c r="B133" s="8" t="s">
        <v>121</v>
      </c>
      <c r="C133" s="8"/>
      <c r="D133" s="206"/>
      <c r="E133" s="8"/>
      <c r="F133" s="8"/>
      <c r="M133" s="1" t="s">
        <v>122</v>
      </c>
      <c r="P133" s="93"/>
      <c r="Q133" s="93" t="n">
        <v>16534530.85</v>
      </c>
    </row>
    <row r="134" customFormat="false" ht="11.25" hidden="false" customHeight="false" outlineLevel="0" collapsed="false">
      <c r="B134" s="8" t="s">
        <v>123</v>
      </c>
      <c r="C134" s="8"/>
      <c r="D134" s="206"/>
      <c r="E134" s="8"/>
      <c r="F134" s="8"/>
      <c r="M134" s="1" t="s">
        <v>124</v>
      </c>
    </row>
    <row r="135" customFormat="false" ht="11.25" hidden="false" customHeight="false" outlineLevel="0" collapsed="false">
      <c r="B135" s="8"/>
      <c r="C135" s="8"/>
      <c r="D135" s="206"/>
      <c r="E135" s="8"/>
      <c r="F135" s="8"/>
      <c r="M135" s="1" t="s">
        <v>125</v>
      </c>
      <c r="P135" s="93" t="n">
        <v>185.308221087083</v>
      </c>
      <c r="Q135" s="93"/>
      <c r="R135" s="337"/>
      <c r="S135" s="337"/>
    </row>
    <row r="136" customFormat="false" ht="11.25" hidden="false" customHeight="false" outlineLevel="0" collapsed="false">
      <c r="B136" s="8"/>
      <c r="C136" s="8"/>
      <c r="D136" s="206"/>
      <c r="E136" s="8"/>
      <c r="F136" s="8"/>
      <c r="M136" s="1" t="s">
        <v>126</v>
      </c>
      <c r="P136" s="93"/>
      <c r="Q136" s="93"/>
      <c r="R136" s="337"/>
      <c r="S136" s="337"/>
    </row>
    <row r="137" customFormat="false" ht="11.25" hidden="false" customHeight="false" outlineLevel="0" collapsed="false">
      <c r="B137" s="8" t="s">
        <v>127</v>
      </c>
      <c r="C137" s="8"/>
      <c r="D137" s="206"/>
      <c r="E137" s="8"/>
      <c r="F137" s="8"/>
      <c r="M137" s="1" t="s">
        <v>128</v>
      </c>
      <c r="P137" s="93" t="n">
        <v>-6699.99999999986</v>
      </c>
      <c r="Q137" s="93"/>
    </row>
    <row r="138" customFormat="false" ht="11.25" hidden="false" customHeight="false" outlineLevel="0" collapsed="false">
      <c r="B138" s="8" t="s">
        <v>129</v>
      </c>
      <c r="C138" s="8"/>
      <c r="D138" s="206"/>
      <c r="E138" s="8"/>
      <c r="F138" s="8"/>
      <c r="M138" s="1" t="s">
        <v>130</v>
      </c>
      <c r="P138" s="207" t="n">
        <v>-141055.895111721</v>
      </c>
      <c r="Q138" s="205" t="n">
        <v>-147570.586890634</v>
      </c>
      <c r="R138" s="337"/>
      <c r="S138" s="337"/>
    </row>
    <row r="139" customFormat="false" ht="11.25" hidden="false" customHeight="false" outlineLevel="0" collapsed="false">
      <c r="B139" s="8"/>
      <c r="C139" s="8"/>
      <c r="D139" s="206"/>
      <c r="E139" s="8"/>
      <c r="F139" s="8"/>
      <c r="P139" s="205"/>
      <c r="Q139" s="14"/>
    </row>
    <row r="140" customFormat="false" ht="11.25" hidden="false" customHeight="false" outlineLevel="0" collapsed="false">
      <c r="B140" s="208"/>
      <c r="M140" s="1" t="s">
        <v>131</v>
      </c>
      <c r="P140" s="93"/>
      <c r="Q140" s="93" t="n">
        <v>16386960.2631094</v>
      </c>
      <c r="R140" s="337" t="n">
        <v>0</v>
      </c>
      <c r="S140" s="337"/>
    </row>
    <row r="141" customFormat="false" ht="11.25" hidden="false" customHeight="false" outlineLevel="0" collapsed="false">
      <c r="M141" s="1" t="s">
        <v>132</v>
      </c>
      <c r="P141" s="93"/>
      <c r="Q141" s="44" t="n">
        <v>4972180</v>
      </c>
    </row>
    <row r="142" customFormat="false" ht="12" hidden="false" customHeight="false" outlineLevel="0" collapsed="false">
      <c r="O142" s="1" t="s">
        <v>133</v>
      </c>
      <c r="P142" s="93"/>
      <c r="Q142" s="209" t="n">
        <v>21359140.2631094</v>
      </c>
    </row>
    <row r="143" customFormat="false" ht="12" hidden="false" customHeight="false" outlineLevel="0" collapsed="false"/>
    <row r="144" customFormat="false" ht="11.25" hidden="false" customHeight="false" outlineLevel="0" collapsed="false">
      <c r="P144" s="93" t="n">
        <v>-141055.9</v>
      </c>
    </row>
    <row r="145" customFormat="false" ht="11.25" hidden="false" customHeight="false" outlineLevel="0" collapsed="false">
      <c r="O145" s="210"/>
      <c r="V145" s="210"/>
    </row>
    <row r="146" customFormat="false" ht="12.75" hidden="false" customHeight="false" outlineLevel="0" collapsed="false">
      <c r="M146" s="0"/>
      <c r="N146" s="0"/>
      <c r="O146" s="210"/>
      <c r="V146" s="210"/>
    </row>
    <row r="147" customFormat="false" ht="12.75" hidden="false" customHeight="false" outlineLevel="0" collapsed="false">
      <c r="M147" s="0"/>
      <c r="N147" s="0"/>
      <c r="O147" s="210"/>
      <c r="V147" s="210"/>
    </row>
    <row r="148" customFormat="false" ht="12.75" hidden="false" customHeight="false" outlineLevel="0" collapsed="false">
      <c r="M148" s="0"/>
      <c r="N148" s="0"/>
      <c r="O148" s="210"/>
      <c r="V148" s="210"/>
    </row>
    <row r="149" customFormat="false" ht="12.75" hidden="false" customHeight="false" outlineLevel="0" collapsed="false">
      <c r="M149" s="0"/>
      <c r="N149" s="0"/>
      <c r="O149" s="210"/>
      <c r="V149" s="210"/>
    </row>
    <row r="150" customFormat="false" ht="12.75" hidden="false" customHeight="false" outlineLevel="0" collapsed="false">
      <c r="M150" s="0"/>
      <c r="N150" s="0"/>
      <c r="O150" s="210"/>
      <c r="V150" s="210"/>
    </row>
    <row r="151" customFormat="false" ht="12.75" hidden="false" customHeight="false" outlineLevel="0" collapsed="false">
      <c r="M151" s="0"/>
      <c r="N151" s="0"/>
      <c r="O151" s="211"/>
      <c r="V151" s="338"/>
    </row>
  </sheetData>
  <mergeCells count="2">
    <mergeCell ref="M8:P8"/>
    <mergeCell ref="M102:P102"/>
  </mergeCells>
  <printOptions headings="false" gridLines="false" gridLinesSet="true" horizontalCentered="true" verticalCentered="true"/>
  <pageMargins left="0.2" right="0.220138888888889" top="0.25" bottom="0.35" header="0.511811023622047" footer="0.220138888888889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&amp;L&amp;"Arial,Italic"&amp;8&amp;D&amp;T&amp;R&amp;"Arial,Italic"&amp;8&amp;F&amp;A</oddFooter>
  </headerFooter>
  <rowBreaks count="1" manualBreakCount="1">
    <brk id="96" man="true" max="16383" min="0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28" activeCellId="0" sqref="G2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0.71"/>
    <col collapsed="false" customWidth="true" hidden="false" outlineLevel="0" max="3" min="3" style="1" width="13.7"/>
    <col collapsed="false" customWidth="true" hidden="false" outlineLevel="0" max="4" min="4" style="1" width="10.71"/>
    <col collapsed="false" customWidth="true" hidden="true" outlineLevel="0" max="5" min="5" style="1" width="9.06"/>
    <col collapsed="false" customWidth="true" hidden="false" outlineLevel="0" max="6" min="6" style="1" width="12.7"/>
    <col collapsed="false" customWidth="true" hidden="false" outlineLevel="0" max="7" min="7" style="1" width="14.28"/>
    <col collapsed="false" customWidth="true" hidden="false" outlineLevel="0" max="8" min="8" style="1" width="10.71"/>
    <col collapsed="false" customWidth="true" hidden="false" outlineLevel="0" max="11" min="9" style="1" width="17.7"/>
    <col collapsed="false" customWidth="true" hidden="false" outlineLevel="0" max="12" min="12" style="1" width="17.28"/>
    <col collapsed="false" customWidth="false" hidden="false" outlineLevel="0" max="257" min="13" style="1" width="9.14"/>
  </cols>
  <sheetData>
    <row r="1" customFormat="false" ht="10.5" hidden="false" customHeight="false" outlineLevel="0" collapsed="false">
      <c r="A1" s="152" t="s">
        <v>182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152" t="s">
        <v>186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152" t="s">
        <v>187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443"/>
      <c r="CP3" s="443"/>
      <c r="CQ3" s="443"/>
      <c r="CR3" s="443"/>
      <c r="CS3" s="443"/>
      <c r="CT3" s="443"/>
      <c r="CU3" s="443"/>
      <c r="CV3" s="443"/>
      <c r="CW3" s="443"/>
      <c r="CX3" s="443"/>
      <c r="CY3" s="443"/>
      <c r="CZ3" s="443"/>
      <c r="DA3" s="443"/>
      <c r="DB3" s="443"/>
      <c r="DC3" s="443"/>
      <c r="DD3" s="443"/>
      <c r="DE3" s="443"/>
      <c r="DF3" s="443"/>
      <c r="DG3" s="443"/>
      <c r="DH3" s="443"/>
      <c r="DI3" s="443"/>
      <c r="DJ3" s="443"/>
      <c r="DK3" s="443"/>
      <c r="DL3" s="443"/>
      <c r="DM3" s="443"/>
      <c r="DN3" s="443"/>
      <c r="DO3" s="443"/>
      <c r="DP3" s="443"/>
      <c r="DQ3" s="443"/>
      <c r="DR3" s="443"/>
      <c r="DS3" s="443"/>
      <c r="DT3" s="443"/>
      <c r="DU3" s="443"/>
      <c r="DV3" s="443"/>
      <c r="DW3" s="443"/>
      <c r="DX3" s="443"/>
      <c r="DY3" s="443"/>
      <c r="DZ3" s="443"/>
      <c r="EA3" s="443"/>
      <c r="EB3" s="443"/>
      <c r="EC3" s="443"/>
      <c r="ED3" s="443"/>
      <c r="EE3" s="443"/>
      <c r="EF3" s="443"/>
      <c r="EG3" s="443"/>
      <c r="EH3" s="443"/>
      <c r="EI3" s="443"/>
      <c r="EJ3" s="443"/>
      <c r="EK3" s="443"/>
      <c r="EL3" s="443"/>
      <c r="EM3" s="443"/>
      <c r="EN3" s="443"/>
      <c r="EO3" s="443"/>
      <c r="EP3" s="443"/>
      <c r="EQ3" s="443"/>
      <c r="ER3" s="443"/>
      <c r="ES3" s="443"/>
      <c r="ET3" s="443"/>
      <c r="EU3" s="443"/>
      <c r="EV3" s="443"/>
      <c r="EW3" s="443"/>
      <c r="EX3" s="443"/>
      <c r="EY3" s="443"/>
      <c r="EZ3" s="443"/>
      <c r="FA3" s="443"/>
      <c r="FB3" s="443"/>
      <c r="FC3" s="443"/>
      <c r="FD3" s="443"/>
      <c r="FE3" s="443"/>
      <c r="FF3" s="443"/>
      <c r="FG3" s="443"/>
      <c r="FH3" s="443"/>
      <c r="FI3" s="443"/>
      <c r="FJ3" s="443"/>
      <c r="FK3" s="443"/>
      <c r="FL3" s="443"/>
      <c r="FM3" s="443"/>
      <c r="FN3" s="443"/>
      <c r="FO3" s="443"/>
      <c r="FP3" s="443"/>
      <c r="FQ3" s="443"/>
      <c r="FR3" s="443"/>
      <c r="FS3" s="443"/>
      <c r="FT3" s="443"/>
      <c r="FU3" s="443"/>
      <c r="FV3" s="443"/>
      <c r="FW3" s="443"/>
      <c r="FX3" s="443"/>
      <c r="FY3" s="443"/>
      <c r="FZ3" s="443"/>
      <c r="GA3" s="443"/>
      <c r="GB3" s="443"/>
      <c r="GC3" s="443"/>
      <c r="GD3" s="443"/>
      <c r="GE3" s="443"/>
      <c r="GF3" s="443"/>
      <c r="GG3" s="443"/>
      <c r="GH3" s="443"/>
      <c r="GI3" s="443"/>
      <c r="GJ3" s="443"/>
      <c r="GK3" s="443"/>
      <c r="GL3" s="443"/>
      <c r="GM3" s="443"/>
      <c r="GN3" s="443"/>
      <c r="GO3" s="443"/>
      <c r="GP3" s="443"/>
      <c r="GQ3" s="443"/>
      <c r="GR3" s="443"/>
      <c r="GS3" s="443"/>
      <c r="GT3" s="443"/>
      <c r="GU3" s="443"/>
      <c r="GV3" s="443"/>
      <c r="GW3" s="443"/>
      <c r="GX3" s="443"/>
      <c r="GY3" s="443"/>
      <c r="GZ3" s="443"/>
      <c r="HA3" s="443"/>
      <c r="HB3" s="443"/>
      <c r="HC3" s="443"/>
      <c r="HD3" s="443"/>
      <c r="HE3" s="443"/>
      <c r="HF3" s="443"/>
      <c r="HG3" s="443"/>
      <c r="HH3" s="443"/>
      <c r="HI3" s="443"/>
      <c r="HJ3" s="443"/>
      <c r="HK3" s="443"/>
      <c r="HL3" s="443"/>
      <c r="HM3" s="443"/>
      <c r="HN3" s="443"/>
      <c r="HO3" s="443"/>
      <c r="HP3" s="443"/>
      <c r="HQ3" s="443"/>
      <c r="HR3" s="443"/>
      <c r="HS3" s="443"/>
      <c r="HT3" s="443"/>
      <c r="HU3" s="443"/>
      <c r="HV3" s="443"/>
      <c r="HW3" s="443"/>
      <c r="HX3" s="443"/>
      <c r="HY3" s="443"/>
      <c r="HZ3" s="443"/>
      <c r="IA3" s="443"/>
      <c r="IB3" s="443"/>
      <c r="IC3" s="443"/>
      <c r="ID3" s="443"/>
      <c r="IE3" s="443"/>
      <c r="IF3" s="443"/>
      <c r="IG3" s="443"/>
      <c r="IH3" s="443"/>
      <c r="II3" s="443"/>
      <c r="IJ3" s="443"/>
      <c r="IK3" s="443"/>
      <c r="IL3" s="443"/>
      <c r="IM3" s="443"/>
      <c r="IN3" s="443"/>
      <c r="IO3" s="443"/>
      <c r="IP3" s="443"/>
      <c r="IQ3" s="443"/>
      <c r="IR3" s="443"/>
      <c r="IS3" s="443"/>
      <c r="IT3" s="443"/>
      <c r="IU3" s="443"/>
      <c r="IV3" s="443"/>
      <c r="IW3" s="443"/>
    </row>
    <row r="4" customFormat="false" ht="11.25" hidden="false" customHeight="false" outlineLevel="0" collapsed="false">
      <c r="A4" s="5" t="s">
        <v>195</v>
      </c>
      <c r="B4" s="5"/>
      <c r="C4" s="5"/>
      <c r="D4" s="5"/>
      <c r="E4" s="5"/>
      <c r="F4" s="5"/>
      <c r="G4" s="5"/>
      <c r="H4" s="5"/>
      <c r="I4" s="5"/>
      <c r="J4" s="5"/>
      <c r="K4" s="5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443"/>
      <c r="BA4" s="443"/>
      <c r="BB4" s="443"/>
      <c r="BC4" s="443"/>
      <c r="BD4" s="443"/>
      <c r="BE4" s="443"/>
      <c r="BF4" s="443"/>
      <c r="BG4" s="443"/>
      <c r="BH4" s="443"/>
      <c r="BI4" s="443"/>
      <c r="BJ4" s="443"/>
      <c r="BK4" s="443"/>
      <c r="BL4" s="443"/>
      <c r="BM4" s="443"/>
      <c r="BN4" s="443"/>
      <c r="BO4" s="443"/>
      <c r="BP4" s="443"/>
      <c r="BQ4" s="443"/>
      <c r="BR4" s="443"/>
      <c r="BS4" s="443"/>
      <c r="BT4" s="443"/>
      <c r="BU4" s="443"/>
      <c r="BV4" s="443"/>
      <c r="BW4" s="443"/>
      <c r="BX4" s="443"/>
      <c r="BY4" s="443"/>
      <c r="BZ4" s="443"/>
      <c r="CA4" s="443"/>
      <c r="CB4" s="443"/>
      <c r="CC4" s="443"/>
      <c r="CD4" s="443"/>
      <c r="CE4" s="443"/>
      <c r="CF4" s="443"/>
      <c r="CG4" s="443"/>
      <c r="CH4" s="443"/>
      <c r="CI4" s="443"/>
      <c r="CJ4" s="443"/>
      <c r="CK4" s="443"/>
      <c r="CL4" s="443"/>
      <c r="CM4" s="443"/>
      <c r="CN4" s="443"/>
      <c r="CO4" s="443"/>
      <c r="CP4" s="443"/>
      <c r="CQ4" s="443"/>
      <c r="CR4" s="443"/>
      <c r="CS4" s="443"/>
      <c r="CT4" s="443"/>
      <c r="CU4" s="443"/>
      <c r="CV4" s="443"/>
      <c r="CW4" s="443"/>
      <c r="CX4" s="443"/>
      <c r="CY4" s="443"/>
      <c r="CZ4" s="443"/>
      <c r="DA4" s="443"/>
      <c r="DB4" s="443"/>
      <c r="DC4" s="443"/>
      <c r="DD4" s="443"/>
      <c r="DE4" s="443"/>
      <c r="DF4" s="443"/>
      <c r="DG4" s="443"/>
      <c r="DH4" s="443"/>
      <c r="DI4" s="443"/>
      <c r="DJ4" s="443"/>
      <c r="DK4" s="443"/>
      <c r="DL4" s="443"/>
      <c r="DM4" s="443"/>
      <c r="DN4" s="443"/>
      <c r="DO4" s="443"/>
      <c r="DP4" s="443"/>
      <c r="DQ4" s="443"/>
      <c r="DR4" s="443"/>
      <c r="DS4" s="443"/>
      <c r="DT4" s="443"/>
      <c r="DU4" s="443"/>
      <c r="DV4" s="443"/>
      <c r="DW4" s="443"/>
      <c r="DX4" s="443"/>
      <c r="DY4" s="443"/>
      <c r="DZ4" s="443"/>
      <c r="EA4" s="443"/>
      <c r="EB4" s="443"/>
      <c r="EC4" s="443"/>
      <c r="ED4" s="443"/>
      <c r="EE4" s="443"/>
      <c r="EF4" s="443"/>
      <c r="EG4" s="443"/>
      <c r="EH4" s="443"/>
      <c r="EI4" s="443"/>
      <c r="EJ4" s="443"/>
      <c r="EK4" s="443"/>
      <c r="EL4" s="443"/>
      <c r="EM4" s="443"/>
      <c r="EN4" s="443"/>
      <c r="EO4" s="443"/>
      <c r="EP4" s="443"/>
      <c r="EQ4" s="443"/>
      <c r="ER4" s="443"/>
      <c r="ES4" s="443"/>
      <c r="ET4" s="443"/>
      <c r="EU4" s="443"/>
      <c r="EV4" s="443"/>
      <c r="EW4" s="443"/>
      <c r="EX4" s="443"/>
      <c r="EY4" s="443"/>
      <c r="EZ4" s="443"/>
      <c r="FA4" s="443"/>
      <c r="FB4" s="443"/>
      <c r="FC4" s="443"/>
      <c r="FD4" s="443"/>
      <c r="FE4" s="443"/>
      <c r="FF4" s="443"/>
      <c r="FG4" s="443"/>
      <c r="FH4" s="443"/>
      <c r="FI4" s="443"/>
      <c r="FJ4" s="443"/>
      <c r="FK4" s="443"/>
      <c r="FL4" s="443"/>
      <c r="FM4" s="443"/>
      <c r="FN4" s="443"/>
      <c r="FO4" s="443"/>
      <c r="FP4" s="443"/>
      <c r="FQ4" s="443"/>
      <c r="FR4" s="443"/>
      <c r="FS4" s="443"/>
      <c r="FT4" s="443"/>
      <c r="FU4" s="443"/>
      <c r="FV4" s="443"/>
      <c r="FW4" s="443"/>
      <c r="FX4" s="443"/>
      <c r="FY4" s="443"/>
      <c r="FZ4" s="443"/>
      <c r="GA4" s="443"/>
      <c r="GB4" s="443"/>
      <c r="GC4" s="443"/>
      <c r="GD4" s="443"/>
      <c r="GE4" s="443"/>
      <c r="GF4" s="443"/>
      <c r="GG4" s="443"/>
      <c r="GH4" s="443"/>
      <c r="GI4" s="443"/>
      <c r="GJ4" s="443"/>
      <c r="GK4" s="443"/>
      <c r="GL4" s="443"/>
      <c r="GM4" s="443"/>
      <c r="GN4" s="443"/>
      <c r="GO4" s="443"/>
      <c r="GP4" s="443"/>
      <c r="GQ4" s="443"/>
      <c r="GR4" s="443"/>
      <c r="GS4" s="443"/>
      <c r="GT4" s="443"/>
      <c r="GU4" s="443"/>
      <c r="GV4" s="443"/>
      <c r="GW4" s="443"/>
      <c r="GX4" s="443"/>
      <c r="GY4" s="443"/>
      <c r="GZ4" s="443"/>
      <c r="HA4" s="443"/>
      <c r="HB4" s="443"/>
      <c r="HC4" s="443"/>
      <c r="HD4" s="443"/>
      <c r="HE4" s="443"/>
      <c r="HF4" s="443"/>
      <c r="HG4" s="443"/>
      <c r="HH4" s="443"/>
      <c r="HI4" s="443"/>
      <c r="HJ4" s="443"/>
      <c r="HK4" s="443"/>
      <c r="HL4" s="443"/>
      <c r="HM4" s="443"/>
      <c r="HN4" s="443"/>
      <c r="HO4" s="443"/>
      <c r="HP4" s="443"/>
      <c r="HQ4" s="443"/>
      <c r="HR4" s="443"/>
      <c r="HS4" s="443"/>
      <c r="HT4" s="443"/>
      <c r="HU4" s="443"/>
      <c r="HV4" s="443"/>
      <c r="HW4" s="443"/>
      <c r="HX4" s="443"/>
      <c r="HY4" s="443"/>
      <c r="HZ4" s="443"/>
      <c r="IA4" s="443"/>
      <c r="IB4" s="443"/>
      <c r="IC4" s="443"/>
      <c r="ID4" s="443"/>
      <c r="IE4" s="443"/>
      <c r="IF4" s="443"/>
      <c r="IG4" s="443"/>
      <c r="IH4" s="443"/>
      <c r="II4" s="443"/>
      <c r="IJ4" s="443"/>
      <c r="IK4" s="443"/>
      <c r="IL4" s="443"/>
      <c r="IM4" s="443"/>
      <c r="IN4" s="443"/>
      <c r="IO4" s="443"/>
      <c r="IP4" s="443"/>
      <c r="IQ4" s="443"/>
      <c r="IR4" s="443"/>
      <c r="IS4" s="443"/>
      <c r="IT4" s="443"/>
      <c r="IU4" s="443"/>
      <c r="IV4" s="443"/>
      <c r="IW4" s="443"/>
    </row>
    <row r="6" customFormat="false" ht="11.25" hidden="false" customHeight="false" outlineLevel="0" collapsed="false">
      <c r="A6" s="465" t="s">
        <v>138</v>
      </c>
      <c r="B6" s="466" t="s">
        <v>5</v>
      </c>
      <c r="C6" s="466" t="s">
        <v>5</v>
      </c>
      <c r="D6" s="466" t="s">
        <v>30</v>
      </c>
      <c r="E6" s="466"/>
      <c r="F6" s="466" t="s">
        <v>190</v>
      </c>
      <c r="G6" s="466" t="s">
        <v>189</v>
      </c>
      <c r="H6" s="466"/>
      <c r="I6" s="467" t="s">
        <v>140</v>
      </c>
      <c r="J6" s="467"/>
      <c r="K6" s="46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1.25" hidden="false" customHeight="false" outlineLevel="0" collapsed="false">
      <c r="A7" s="468" t="s">
        <v>15</v>
      </c>
      <c r="B7" s="453" t="s">
        <v>12</v>
      </c>
      <c r="C7" s="453" t="s">
        <v>11</v>
      </c>
      <c r="D7" s="453" t="s">
        <v>191</v>
      </c>
      <c r="E7" s="453"/>
      <c r="F7" s="453" t="s">
        <v>192</v>
      </c>
      <c r="G7" s="453" t="s">
        <v>193</v>
      </c>
      <c r="H7" s="453"/>
      <c r="I7" s="453" t="s">
        <v>23</v>
      </c>
      <c r="J7" s="453" t="s">
        <v>24</v>
      </c>
      <c r="K7" s="454" t="s">
        <v>25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1.25" hidden="false" customHeight="false" outlineLevel="0" collapsed="false">
      <c r="A8" s="450"/>
      <c r="B8" s="451"/>
      <c r="C8" s="451"/>
      <c r="D8" s="453"/>
      <c r="E8" s="451"/>
      <c r="F8" s="451"/>
      <c r="G8" s="469" t="s">
        <v>194</v>
      </c>
      <c r="H8" s="453"/>
      <c r="I8" s="453" t="s">
        <v>145</v>
      </c>
      <c r="J8" s="453" t="s">
        <v>145</v>
      </c>
      <c r="K8" s="454" t="s">
        <v>145</v>
      </c>
    </row>
    <row r="9" customFormat="false" ht="12.75" hidden="false" customHeight="false" outlineLevel="0" collapsed="false">
      <c r="A9" s="455"/>
      <c r="B9" s="456"/>
      <c r="C9" s="456"/>
      <c r="D9" s="470"/>
      <c r="E9" s="456"/>
      <c r="F9" s="456"/>
      <c r="G9" s="471"/>
      <c r="H9" s="460"/>
      <c r="I9" s="460"/>
      <c r="J9" s="460"/>
      <c r="K9" s="461"/>
      <c r="L9" s="357" t="s">
        <v>146</v>
      </c>
    </row>
    <row r="10" customFormat="false" ht="12.75" hidden="false" customHeight="false" outlineLevel="0" collapsed="false">
      <c r="A10" s="462" t="n">
        <v>36923</v>
      </c>
      <c r="B10" s="46"/>
      <c r="C10" s="45" t="s">
        <v>30</v>
      </c>
      <c r="D10" s="38" t="n">
        <v>6.2</v>
      </c>
      <c r="E10" s="46"/>
      <c r="F10" s="51" t="n">
        <f aca="false">20000*28</f>
        <v>560000</v>
      </c>
      <c r="G10" s="38"/>
      <c r="H10" s="38"/>
      <c r="I10" s="75" t="n">
        <f aca="false">+F10*D10</f>
        <v>3472000</v>
      </c>
      <c r="J10" s="41" t="n">
        <f aca="false">+I10</f>
        <v>3472000</v>
      </c>
      <c r="K10" s="41"/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462" t="n">
        <v>36951</v>
      </c>
      <c r="B11" s="46"/>
      <c r="C11" s="45" t="s">
        <v>30</v>
      </c>
      <c r="D11" s="38" t="n">
        <v>6.2</v>
      </c>
      <c r="E11" s="46"/>
      <c r="F11" s="51" t="n">
        <f aca="false">20000*31</f>
        <v>620000</v>
      </c>
      <c r="G11" s="38"/>
      <c r="H11" s="38"/>
      <c r="I11" s="75" t="n">
        <f aca="false">+F11*D11</f>
        <v>3844000</v>
      </c>
      <c r="J11" s="41" t="n">
        <f aca="false">+I11</f>
        <v>3844000</v>
      </c>
      <c r="K11" s="41"/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462" t="n">
        <v>36982</v>
      </c>
      <c r="B12" s="46"/>
      <c r="C12" s="45" t="s">
        <v>30</v>
      </c>
      <c r="D12" s="38" t="n">
        <v>6.2</v>
      </c>
      <c r="E12" s="46"/>
      <c r="F12" s="51" t="n">
        <f aca="false">20000*30</f>
        <v>600000</v>
      </c>
      <c r="G12" s="38"/>
      <c r="H12" s="38"/>
      <c r="I12" s="75" t="n">
        <f aca="false">+F12*D12</f>
        <v>3720000</v>
      </c>
      <c r="J12" s="41" t="n">
        <f aca="false">+I12</f>
        <v>3720000</v>
      </c>
      <c r="K12" s="41"/>
      <c r="L12" s="366" t="n">
        <f aca="false">IF(K12=0,0,IF(A12&lt;(Summary!$K$3+365),K12,0))</f>
        <v>0</v>
      </c>
    </row>
    <row r="13" customFormat="false" ht="12.75" hidden="false" customHeight="false" outlineLevel="0" collapsed="false">
      <c r="A13" s="462" t="n">
        <v>37012</v>
      </c>
      <c r="B13" s="46"/>
      <c r="C13" s="45" t="s">
        <v>30</v>
      </c>
      <c r="D13" s="38" t="n">
        <v>6.2</v>
      </c>
      <c r="E13" s="46"/>
      <c r="F13" s="51" t="n">
        <f aca="false">20000*31</f>
        <v>620000</v>
      </c>
      <c r="G13" s="38"/>
      <c r="H13" s="38"/>
      <c r="I13" s="75" t="n">
        <f aca="false">+F13*D13</f>
        <v>3844000</v>
      </c>
      <c r="J13" s="41" t="n">
        <f aca="false">+I13</f>
        <v>3844000</v>
      </c>
      <c r="K13" s="41"/>
      <c r="L13" s="366" t="n">
        <f aca="false">IF(K13=0,0,IF(A13&lt;(Summary!$K$3+365),K13,0))</f>
        <v>0</v>
      </c>
    </row>
    <row r="14" customFormat="false" ht="12.75" hidden="false" customHeight="false" outlineLevel="0" collapsed="false">
      <c r="A14" s="462" t="n">
        <v>37043</v>
      </c>
      <c r="B14" s="46"/>
      <c r="C14" s="45" t="s">
        <v>30</v>
      </c>
      <c r="D14" s="38" t="n">
        <v>6.2</v>
      </c>
      <c r="E14" s="46"/>
      <c r="F14" s="51" t="n">
        <f aca="false">20000*30</f>
        <v>600000</v>
      </c>
      <c r="G14" s="38"/>
      <c r="H14" s="38"/>
      <c r="I14" s="75" t="n">
        <f aca="false">+F14*D14</f>
        <v>3720000</v>
      </c>
      <c r="J14" s="41"/>
      <c r="K14" s="41" t="n">
        <f aca="false">+I14</f>
        <v>3720000</v>
      </c>
      <c r="L14" s="366" t="n">
        <f aca="false">IF(K14=0,0,IF(A14&lt;(Summary!$K$3+365),K14,0))</f>
        <v>3720000</v>
      </c>
    </row>
    <row r="15" customFormat="false" ht="12.75" hidden="false" customHeight="false" outlineLevel="0" collapsed="false">
      <c r="A15" s="462" t="n">
        <v>37073</v>
      </c>
      <c r="B15" s="46"/>
      <c r="C15" s="45" t="s">
        <v>30</v>
      </c>
      <c r="D15" s="38" t="n">
        <v>6.2</v>
      </c>
      <c r="E15" s="46"/>
      <c r="F15" s="51" t="n">
        <f aca="false">20000*31</f>
        <v>620000</v>
      </c>
      <c r="G15" s="38"/>
      <c r="H15" s="38"/>
      <c r="I15" s="75" t="n">
        <f aca="false">+F15*D15</f>
        <v>3844000</v>
      </c>
      <c r="J15" s="41"/>
      <c r="K15" s="41" t="n">
        <f aca="false">+I15</f>
        <v>3844000</v>
      </c>
      <c r="L15" s="366" t="n">
        <f aca="false">IF(K15=0,0,IF(A15&lt;(Summary!$K$3+365),K15,0))</f>
        <v>3844000</v>
      </c>
    </row>
    <row r="16" customFormat="false" ht="12.75" hidden="false" customHeight="false" outlineLevel="0" collapsed="false">
      <c r="A16" s="462" t="n">
        <v>37104</v>
      </c>
      <c r="B16" s="46"/>
      <c r="C16" s="45" t="s">
        <v>30</v>
      </c>
      <c r="D16" s="38" t="n">
        <v>6.2</v>
      </c>
      <c r="E16" s="46"/>
      <c r="F16" s="51" t="n">
        <f aca="false">20000*31</f>
        <v>620000</v>
      </c>
      <c r="G16" s="38"/>
      <c r="H16" s="38"/>
      <c r="I16" s="75" t="n">
        <f aca="false">+F16*D16</f>
        <v>3844000</v>
      </c>
      <c r="J16" s="41"/>
      <c r="K16" s="41" t="n">
        <f aca="false">+I16</f>
        <v>3844000</v>
      </c>
      <c r="L16" s="366" t="n">
        <f aca="false">IF(K16=0,0,IF(A16&lt;(Summary!$K$3+365),K16,0))</f>
        <v>3844000</v>
      </c>
    </row>
    <row r="17" customFormat="false" ht="12.75" hidden="false" customHeight="false" outlineLevel="0" collapsed="false">
      <c r="A17" s="462" t="n">
        <v>37135</v>
      </c>
      <c r="B17" s="46"/>
      <c r="C17" s="45" t="s">
        <v>30</v>
      </c>
      <c r="D17" s="38" t="n">
        <v>6.2</v>
      </c>
      <c r="E17" s="46"/>
      <c r="F17" s="51" t="n">
        <f aca="false">20000*30</f>
        <v>600000</v>
      </c>
      <c r="G17" s="38"/>
      <c r="H17" s="38"/>
      <c r="I17" s="75" t="n">
        <f aca="false">+F17*D17</f>
        <v>3720000</v>
      </c>
      <c r="J17" s="41"/>
      <c r="K17" s="41" t="n">
        <f aca="false">+I17</f>
        <v>3720000</v>
      </c>
      <c r="L17" s="366" t="n">
        <f aca="false">IF(K17=0,0,IF(A17&lt;(Summary!$K$3+365),K17,0))</f>
        <v>3720000</v>
      </c>
    </row>
    <row r="18" customFormat="false" ht="12.75" hidden="false" customHeight="false" outlineLevel="0" collapsed="false">
      <c r="A18" s="462" t="n">
        <v>37165</v>
      </c>
      <c r="B18" s="46"/>
      <c r="C18" s="45" t="s">
        <v>30</v>
      </c>
      <c r="D18" s="38" t="n">
        <v>6.2</v>
      </c>
      <c r="E18" s="46"/>
      <c r="F18" s="51" t="n">
        <f aca="false">20000*31</f>
        <v>620000</v>
      </c>
      <c r="G18" s="38"/>
      <c r="H18" s="38"/>
      <c r="I18" s="75" t="n">
        <f aca="false">+F18*D18</f>
        <v>3844000</v>
      </c>
      <c r="J18" s="41"/>
      <c r="K18" s="41" t="n">
        <f aca="false">+I18</f>
        <v>3844000</v>
      </c>
      <c r="L18" s="366" t="n">
        <f aca="false">IF(K18=0,0,IF(A18&lt;(Summary!$K$3+365),K18,0))</f>
        <v>3844000</v>
      </c>
    </row>
    <row r="19" customFormat="false" ht="12.75" hidden="false" customHeight="false" outlineLevel="0" collapsed="false">
      <c r="A19" s="462" t="n">
        <v>37196</v>
      </c>
      <c r="B19" s="46"/>
      <c r="C19" s="45" t="s">
        <v>30</v>
      </c>
      <c r="D19" s="38" t="n">
        <v>6.2</v>
      </c>
      <c r="E19" s="46"/>
      <c r="F19" s="51" t="n">
        <f aca="false">20000*30</f>
        <v>600000</v>
      </c>
      <c r="G19" s="38"/>
      <c r="H19" s="38"/>
      <c r="I19" s="75" t="n">
        <f aca="false">+F19*D19</f>
        <v>3720000</v>
      </c>
      <c r="J19" s="41"/>
      <c r="K19" s="41" t="n">
        <f aca="false">+I19</f>
        <v>3720000</v>
      </c>
      <c r="L19" s="366" t="n">
        <f aca="false">IF(K19=0,0,IF(A19&lt;(Summary!$K$3+365),K19,0))</f>
        <v>3720000</v>
      </c>
    </row>
    <row r="20" customFormat="false" ht="12.75" hidden="false" customHeight="false" outlineLevel="0" collapsed="false">
      <c r="A20" s="462" t="n">
        <v>37226</v>
      </c>
      <c r="B20" s="46"/>
      <c r="C20" s="45" t="s">
        <v>30</v>
      </c>
      <c r="D20" s="38" t="n">
        <v>6.2</v>
      </c>
      <c r="E20" s="46"/>
      <c r="F20" s="62" t="n">
        <f aca="false">20000*31</f>
        <v>620000</v>
      </c>
      <c r="G20" s="38"/>
      <c r="H20" s="38"/>
      <c r="I20" s="79" t="n">
        <f aca="false">+F20*D20</f>
        <v>3844000</v>
      </c>
      <c r="J20" s="63"/>
      <c r="K20" s="63" t="n">
        <f aca="false">+I20</f>
        <v>3844000</v>
      </c>
      <c r="L20" s="366" t="n">
        <f aca="false">IF(K20=0,0,IF(A20&lt;(Summary!$K$3+365),K20,0))</f>
        <v>3844000</v>
      </c>
    </row>
    <row r="21" customFormat="false" ht="11.25" hidden="false" customHeight="false" outlineLevel="0" collapsed="false">
      <c r="A21" s="462"/>
      <c r="B21" s="46"/>
      <c r="C21" s="45"/>
      <c r="D21" s="38"/>
      <c r="E21" s="46"/>
      <c r="F21" s="51" t="n">
        <f aca="false">SUM(F10:F20)</f>
        <v>6680000</v>
      </c>
      <c r="G21" s="38"/>
      <c r="H21" s="38"/>
      <c r="I21" s="75" t="n">
        <f aca="false">SUM(I10:I20)</f>
        <v>41416000</v>
      </c>
      <c r="J21" s="75" t="n">
        <f aca="false">SUM(J10:J20)</f>
        <v>14880000</v>
      </c>
      <c r="K21" s="41" t="n">
        <f aca="false">SUM(K10:K20)</f>
        <v>26536000</v>
      </c>
      <c r="L21" s="52" t="n">
        <f aca="false">SUM(L10:L20)</f>
        <v>26536000</v>
      </c>
    </row>
    <row r="22" customFormat="false" ht="11.25" hidden="false" customHeight="false" outlineLevel="0" collapsed="false">
      <c r="A22" s="462"/>
      <c r="B22" s="46"/>
      <c r="C22" s="45"/>
      <c r="D22" s="38"/>
      <c r="E22" s="46"/>
      <c r="F22" s="51"/>
      <c r="G22" s="38"/>
      <c r="H22" s="38"/>
      <c r="I22" s="75"/>
      <c r="J22" s="41"/>
      <c r="K22" s="41"/>
      <c r="L22" s="46"/>
    </row>
    <row r="23" customFormat="false" ht="11.25" hidden="false" customHeight="false" outlineLevel="0" collapsed="false">
      <c r="A23" s="462"/>
      <c r="B23" s="46"/>
      <c r="C23" s="45"/>
      <c r="D23" s="38"/>
      <c r="E23" s="46"/>
      <c r="F23" s="51"/>
      <c r="G23" s="38"/>
      <c r="H23" s="38"/>
      <c r="I23" s="75"/>
      <c r="J23" s="41"/>
      <c r="K23" s="41"/>
      <c r="L23" s="46"/>
    </row>
    <row r="24" customFormat="false" ht="12.75" hidden="false" customHeight="false" outlineLevel="0" collapsed="false">
      <c r="A24" s="462" t="n">
        <v>36923</v>
      </c>
      <c r="B24" s="46"/>
      <c r="C24" s="45" t="s">
        <v>189</v>
      </c>
      <c r="D24" s="38"/>
      <c r="E24" s="46"/>
      <c r="F24" s="51" t="n">
        <f aca="false">-20000*28</f>
        <v>-560000</v>
      </c>
      <c r="G24" s="38" t="n">
        <v>6.293</v>
      </c>
      <c r="H24" s="38"/>
      <c r="I24" s="75" t="n">
        <f aca="false">+G24*F24</f>
        <v>-3524080</v>
      </c>
      <c r="J24" s="41" t="n">
        <f aca="false">+I24</f>
        <v>-3524080</v>
      </c>
      <c r="K24" s="41"/>
      <c r="L24" s="366" t="n">
        <f aca="false">IF(K24=0,0,IF(A24&lt;(Summary!$K$3+365),K24,0))</f>
        <v>0</v>
      </c>
    </row>
    <row r="25" customFormat="false" ht="12.75" hidden="false" customHeight="false" outlineLevel="0" collapsed="false">
      <c r="A25" s="462" t="n">
        <v>36951</v>
      </c>
      <c r="B25" s="46"/>
      <c r="C25" s="45" t="s">
        <v>189</v>
      </c>
      <c r="D25" s="38"/>
      <c r="E25" s="46"/>
      <c r="F25" s="51" t="n">
        <f aca="false">-20000*31</f>
        <v>-620000</v>
      </c>
      <c r="G25" s="38" t="n">
        <v>4.998</v>
      </c>
      <c r="H25" s="38"/>
      <c r="I25" s="75" t="n">
        <f aca="false">+G25*F25</f>
        <v>-3098760</v>
      </c>
      <c r="J25" s="41" t="n">
        <f aca="false">+I25</f>
        <v>-3098760</v>
      </c>
      <c r="K25" s="41"/>
      <c r="L25" s="366" t="n">
        <f aca="false">IF(K25=0,0,IF(A25&lt;(Summary!$K$3+365),K25,0))</f>
        <v>0</v>
      </c>
    </row>
    <row r="26" customFormat="false" ht="12.75" hidden="false" customHeight="false" outlineLevel="0" collapsed="false">
      <c r="A26" s="462" t="n">
        <v>36982</v>
      </c>
      <c r="B26" s="46"/>
      <c r="C26" s="45" t="s">
        <v>189</v>
      </c>
      <c r="D26" s="38"/>
      <c r="E26" s="46"/>
      <c r="F26" s="51" t="n">
        <f aca="false">-20000*30</f>
        <v>-600000</v>
      </c>
      <c r="G26" s="38" t="n">
        <v>5.384</v>
      </c>
      <c r="H26" s="38"/>
      <c r="I26" s="75" t="n">
        <f aca="false">+G26*F26</f>
        <v>-3230400</v>
      </c>
      <c r="J26" s="41" t="n">
        <f aca="false">+I26</f>
        <v>-3230400</v>
      </c>
      <c r="K26" s="41"/>
      <c r="L26" s="366" t="n">
        <f aca="false">IF(K26=0,0,IF(A26&lt;(Summary!$K$3+365),K26,0))</f>
        <v>0</v>
      </c>
    </row>
    <row r="27" customFormat="false" ht="12.75" hidden="false" customHeight="false" outlineLevel="0" collapsed="false">
      <c r="A27" s="462" t="n">
        <v>37012</v>
      </c>
      <c r="B27" s="46"/>
      <c r="C27" s="45" t="s">
        <v>189</v>
      </c>
      <c r="D27" s="38"/>
      <c r="E27" s="46"/>
      <c r="F27" s="51" t="n">
        <f aca="false">-20000*31</f>
        <v>-620000</v>
      </c>
      <c r="G27" s="38" t="n">
        <v>4.891</v>
      </c>
      <c r="H27" s="38"/>
      <c r="I27" s="75" t="n">
        <f aca="false">+G27*F27</f>
        <v>-3032420</v>
      </c>
      <c r="J27" s="41" t="n">
        <f aca="false">+I27</f>
        <v>-3032420</v>
      </c>
      <c r="K27" s="41"/>
      <c r="L27" s="366" t="n">
        <f aca="false">IF(K27=0,0,IF(A27&lt;(Summary!$K$3+365),K27,0))</f>
        <v>0</v>
      </c>
    </row>
    <row r="28" customFormat="false" ht="12.75" hidden="false" customHeight="false" outlineLevel="0" collapsed="false">
      <c r="A28" s="462" t="n">
        <v>37043</v>
      </c>
      <c r="B28" s="46"/>
      <c r="C28" s="45" t="s">
        <v>189</v>
      </c>
      <c r="D28" s="38"/>
      <c r="E28" s="46"/>
      <c r="F28" s="51" t="n">
        <f aca="false">-20000*30</f>
        <v>-600000</v>
      </c>
      <c r="G28" s="38" t="n">
        <v>3.738</v>
      </c>
      <c r="H28" s="38"/>
      <c r="I28" s="75" t="n">
        <f aca="false">+G28*F28</f>
        <v>-2242800</v>
      </c>
      <c r="J28" s="41"/>
      <c r="K28" s="41" t="n">
        <f aca="false">+J28+I28</f>
        <v>-2242800</v>
      </c>
      <c r="L28" s="366" t="n">
        <f aca="false">IF(K28=0,0,IF(A28&lt;(Summary!$K$3+365),K28,0))</f>
        <v>-2242800</v>
      </c>
    </row>
    <row r="29" customFormat="false" ht="12.75" hidden="false" customHeight="false" outlineLevel="0" collapsed="false">
      <c r="A29" s="462" t="n">
        <v>37073</v>
      </c>
      <c r="B29" s="46"/>
      <c r="C29" s="45" t="s">
        <v>189</v>
      </c>
      <c r="D29" s="38"/>
      <c r="E29" s="46"/>
      <c r="F29" s="51" t="n">
        <f aca="false">-20000*31</f>
        <v>-620000</v>
      </c>
      <c r="G29" s="38" t="n">
        <f aca="false">+[3]NYMEX!$C9</f>
        <v>3.914</v>
      </c>
      <c r="H29" s="38"/>
      <c r="I29" s="75" t="n">
        <f aca="false">+G29*F29</f>
        <v>-2426680</v>
      </c>
      <c r="J29" s="41"/>
      <c r="K29" s="41" t="n">
        <f aca="false">+J29+I29</f>
        <v>-2426680</v>
      </c>
      <c r="L29" s="366" t="n">
        <f aca="false">IF(K29=0,0,IF(A29&lt;(Summary!$K$3+365),K29,0))</f>
        <v>-2426680</v>
      </c>
    </row>
    <row r="30" customFormat="false" ht="12.75" hidden="false" customHeight="false" outlineLevel="0" collapsed="false">
      <c r="A30" s="462" t="n">
        <v>37104</v>
      </c>
      <c r="B30" s="46"/>
      <c r="C30" s="45" t="s">
        <v>189</v>
      </c>
      <c r="D30" s="38"/>
      <c r="E30" s="46"/>
      <c r="F30" s="51" t="n">
        <f aca="false">-20000*31</f>
        <v>-620000</v>
      </c>
      <c r="G30" s="38" t="n">
        <f aca="false">+[3]NYMEX!$C10</f>
        <v>3.99</v>
      </c>
      <c r="H30" s="38"/>
      <c r="I30" s="75" t="n">
        <f aca="false">+G30*F30</f>
        <v>-2473800</v>
      </c>
      <c r="J30" s="41"/>
      <c r="K30" s="41" t="n">
        <f aca="false">+J30+I30</f>
        <v>-2473800</v>
      </c>
      <c r="L30" s="366" t="n">
        <f aca="false">IF(K30=0,0,IF(A30&lt;(Summary!$K$3+365),K30,0))</f>
        <v>-2473800</v>
      </c>
    </row>
    <row r="31" customFormat="false" ht="12.75" hidden="false" customHeight="false" outlineLevel="0" collapsed="false">
      <c r="A31" s="462" t="n">
        <v>37135</v>
      </c>
      <c r="B31" s="46"/>
      <c r="C31" s="45" t="s">
        <v>189</v>
      </c>
      <c r="D31" s="38"/>
      <c r="E31" s="46"/>
      <c r="F31" s="51" t="n">
        <f aca="false">-20000*30</f>
        <v>-600000</v>
      </c>
      <c r="G31" s="38" t="n">
        <f aca="false">+[3]NYMEX!$C11</f>
        <v>4.022</v>
      </c>
      <c r="H31" s="38"/>
      <c r="I31" s="75" t="n">
        <f aca="false">+G31*F31</f>
        <v>-2413200</v>
      </c>
      <c r="J31" s="41"/>
      <c r="K31" s="41" t="n">
        <f aca="false">+J31+I31</f>
        <v>-2413200</v>
      </c>
      <c r="L31" s="366" t="n">
        <f aca="false">IF(K31=0,0,IF(A31&lt;(Summary!$K$3+365),K31,0))</f>
        <v>-2413200</v>
      </c>
    </row>
    <row r="32" customFormat="false" ht="12.75" hidden="false" customHeight="false" outlineLevel="0" collapsed="false">
      <c r="A32" s="462" t="n">
        <v>37165</v>
      </c>
      <c r="B32" s="46"/>
      <c r="C32" s="45" t="s">
        <v>189</v>
      </c>
      <c r="D32" s="38"/>
      <c r="E32" s="46"/>
      <c r="F32" s="51" t="n">
        <f aca="false">-20000*31</f>
        <v>-620000</v>
      </c>
      <c r="G32" s="38" t="n">
        <f aca="false">+[3]NYMEX!$C12</f>
        <v>4.048</v>
      </c>
      <c r="H32" s="38"/>
      <c r="I32" s="75" t="n">
        <f aca="false">+G32*F32</f>
        <v>-2509760</v>
      </c>
      <c r="J32" s="41"/>
      <c r="K32" s="41" t="n">
        <f aca="false">+J32+I32</f>
        <v>-2509760</v>
      </c>
      <c r="L32" s="366" t="n">
        <f aca="false">IF(K32=0,0,IF(A32&lt;(Summary!$K$3+365),K32,0))</f>
        <v>-2509760</v>
      </c>
    </row>
    <row r="33" customFormat="false" ht="12.75" hidden="false" customHeight="false" outlineLevel="0" collapsed="false">
      <c r="A33" s="462" t="n">
        <v>37196</v>
      </c>
      <c r="B33" s="46"/>
      <c r="C33" s="45" t="s">
        <v>189</v>
      </c>
      <c r="D33" s="38"/>
      <c r="E33" s="46"/>
      <c r="F33" s="51" t="n">
        <f aca="false">-20000*30</f>
        <v>-600000</v>
      </c>
      <c r="G33" s="38" t="n">
        <f aca="false">+[3]NYMEX!$C13</f>
        <v>4.21</v>
      </c>
      <c r="H33" s="38"/>
      <c r="I33" s="75" t="n">
        <f aca="false">+G33*F33</f>
        <v>-2526000</v>
      </c>
      <c r="J33" s="41"/>
      <c r="K33" s="41" t="n">
        <f aca="false">+J33+I33</f>
        <v>-2526000</v>
      </c>
      <c r="L33" s="366" t="n">
        <f aca="false">IF(K33=0,0,IF(A33&lt;(Summary!$K$3+365),K33,0))</f>
        <v>-2526000</v>
      </c>
    </row>
    <row r="34" customFormat="false" ht="12.75" hidden="false" customHeight="false" outlineLevel="0" collapsed="false">
      <c r="A34" s="462" t="n">
        <v>37226</v>
      </c>
      <c r="B34" s="46"/>
      <c r="C34" s="45" t="s">
        <v>189</v>
      </c>
      <c r="D34" s="38"/>
      <c r="E34" s="46"/>
      <c r="F34" s="62" t="n">
        <f aca="false">-20000*31</f>
        <v>-620000</v>
      </c>
      <c r="G34" s="38" t="n">
        <f aca="false">+[3]NYMEX!$C14</f>
        <v>4.373</v>
      </c>
      <c r="H34" s="38"/>
      <c r="I34" s="79" t="n">
        <f aca="false">+G34*F34</f>
        <v>-2711260</v>
      </c>
      <c r="J34" s="63"/>
      <c r="K34" s="64" t="n">
        <f aca="false">+J34+I34</f>
        <v>-2711260</v>
      </c>
      <c r="L34" s="366" t="n">
        <f aca="false">IF(K34=0,0,IF(A34&lt;(Summary!$K$3+365),K34,0))</f>
        <v>-2711260</v>
      </c>
    </row>
    <row r="35" customFormat="false" ht="11.25" hidden="false" customHeight="false" outlineLevel="0" collapsed="false">
      <c r="A35" s="462"/>
      <c r="B35" s="46"/>
      <c r="C35" s="45"/>
      <c r="D35" s="38"/>
      <c r="E35" s="46"/>
      <c r="F35" s="51" t="n">
        <f aca="false">SUM(F24:F34)</f>
        <v>-6680000</v>
      </c>
      <c r="G35" s="38"/>
      <c r="H35" s="38"/>
      <c r="I35" s="75" t="n">
        <f aca="false">SUM(I24:I34)</f>
        <v>-30189160</v>
      </c>
      <c r="J35" s="75" t="n">
        <f aca="false">SUM(J24:J34)</f>
        <v>-12885660</v>
      </c>
      <c r="K35" s="75" t="n">
        <f aca="false">SUM(K24:K34)</f>
        <v>-17303500</v>
      </c>
      <c r="L35" s="52" t="n">
        <f aca="false">SUM(L24:L34)</f>
        <v>-17303500</v>
      </c>
    </row>
    <row r="36" customFormat="false" ht="11.25" hidden="false" customHeight="false" outlineLevel="0" collapsed="false">
      <c r="A36" s="462"/>
      <c r="B36" s="46"/>
      <c r="C36" s="45"/>
      <c r="D36" s="38"/>
      <c r="E36" s="46"/>
      <c r="F36" s="51"/>
      <c r="G36" s="38"/>
      <c r="H36" s="38"/>
      <c r="I36" s="75"/>
      <c r="J36" s="41"/>
      <c r="K36" s="41"/>
      <c r="L36" s="46"/>
    </row>
    <row r="37" customFormat="false" ht="11.25" hidden="false" customHeight="false" outlineLevel="0" collapsed="false">
      <c r="A37" s="46"/>
      <c r="B37" s="46"/>
      <c r="C37" s="46"/>
      <c r="D37" s="46"/>
      <c r="E37" s="46"/>
      <c r="F37" s="46"/>
      <c r="G37" s="46"/>
      <c r="H37" s="38"/>
      <c r="I37" s="46"/>
      <c r="J37" s="60"/>
      <c r="K37" s="60"/>
      <c r="L37" s="142"/>
    </row>
    <row r="38" customFormat="false" ht="12" hidden="false" customHeight="false" outlineLevel="0" collapsed="false">
      <c r="A38" s="46"/>
      <c r="B38" s="46"/>
      <c r="C38" s="46"/>
      <c r="D38" s="46"/>
      <c r="E38" s="46"/>
      <c r="F38" s="463" t="n">
        <f aca="false">+F35+F21</f>
        <v>0</v>
      </c>
      <c r="G38" s="46"/>
      <c r="H38" s="46"/>
      <c r="I38" s="194" t="n">
        <f aca="false">+I21+I35</f>
        <v>11226840</v>
      </c>
      <c r="J38" s="194" t="n">
        <f aca="false">+J21+J35</f>
        <v>1994340</v>
      </c>
      <c r="K38" s="194" t="n">
        <f aca="false">+K21+K35</f>
        <v>9232500</v>
      </c>
      <c r="L38" s="194" t="n">
        <f aca="false">+L21+L35</f>
        <v>9232500</v>
      </c>
    </row>
    <row r="39" customFormat="false" ht="12" hidden="false" customHeight="false" outlineLevel="0" collapsed="false">
      <c r="A39" s="142"/>
      <c r="B39" s="142"/>
      <c r="C39" s="142"/>
      <c r="D39" s="142"/>
      <c r="E39" s="142"/>
      <c r="F39" s="142"/>
      <c r="G39" s="142"/>
      <c r="H39" s="142"/>
      <c r="I39" s="142"/>
      <c r="J39" s="143"/>
      <c r="K39" s="143"/>
      <c r="L39" s="143"/>
    </row>
    <row r="41" customFormat="false" ht="11.25" hidden="false" customHeight="false" outlineLevel="0" collapsed="false">
      <c r="A41" s="8" t="s">
        <v>148</v>
      </c>
      <c r="J41" s="107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4.28"/>
    <col collapsed="false" customWidth="true" hidden="false" outlineLevel="0" max="3" min="3" style="0" width="13.7"/>
    <col collapsed="false" customWidth="true" hidden="false" outlineLevel="0" max="4" min="4" style="0" width="14.99"/>
    <col collapsed="false" customWidth="false" hidden="true" outlineLevel="0" max="5" min="5" style="0" width="9.06"/>
    <col collapsed="false" customWidth="true" hidden="false" outlineLevel="0" max="7" min="6" style="0" width="14.99"/>
    <col collapsed="false" customWidth="true" hidden="false" outlineLevel="0" max="8" min="8" style="472" width="13.41"/>
    <col collapsed="false" customWidth="true" hidden="false" outlineLevel="0" max="9" min="9" style="0" width="17.85"/>
    <col collapsed="false" customWidth="true" hidden="false" outlineLevel="0" max="10" min="10" style="0" width="14.41"/>
    <col collapsed="false" customWidth="true" hidden="false" outlineLevel="0" max="11" min="11" style="0" width="17.28"/>
  </cols>
  <sheetData>
    <row r="1" customFormat="false" ht="15" hidden="false" customHeight="false" outlineLevel="0" collapsed="false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customFormat="false" ht="15" hidden="false" customHeight="false" outlineLevel="0" collapsed="false">
      <c r="A2" s="339" t="s">
        <v>196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customFormat="false" ht="15.75" hidden="false" customHeight="false" outlineLevel="0" collapsed="false">
      <c r="A3" s="473" t="s">
        <v>197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</row>
    <row r="5" customFormat="false" ht="12.75" hidden="false" customHeight="false" outlineLevel="0" collapsed="false">
      <c r="A5" s="383"/>
      <c r="B5" s="383"/>
      <c r="C5" s="383"/>
      <c r="D5" s="383"/>
      <c r="E5" s="383"/>
      <c r="F5" s="383"/>
      <c r="G5" s="383"/>
      <c r="H5" s="474"/>
      <c r="I5" s="383"/>
      <c r="J5" s="38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30</v>
      </c>
      <c r="E6" s="385"/>
      <c r="F6" s="385" t="s">
        <v>18</v>
      </c>
      <c r="G6" s="385" t="s">
        <v>198</v>
      </c>
      <c r="H6" s="386" t="s">
        <v>140</v>
      </c>
      <c r="I6" s="386"/>
      <c r="J6" s="386"/>
      <c r="K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199</v>
      </c>
      <c r="E7" s="388"/>
      <c r="F7" s="388" t="s">
        <v>142</v>
      </c>
      <c r="G7" s="388" t="s">
        <v>200</v>
      </c>
      <c r="H7" s="388" t="s">
        <v>23</v>
      </c>
      <c r="I7" s="388" t="s">
        <v>24</v>
      </c>
      <c r="J7" s="389" t="s">
        <v>25</v>
      </c>
      <c r="K7" s="407"/>
    </row>
    <row r="8" customFormat="false" ht="12.75" hidden="false" customHeight="false" outlineLevel="0" collapsed="false">
      <c r="A8" s="390"/>
      <c r="B8" s="391"/>
      <c r="C8" s="391"/>
      <c r="D8" s="392" t="s">
        <v>201</v>
      </c>
      <c r="E8" s="391"/>
      <c r="F8" s="391"/>
      <c r="G8" s="393" t="s">
        <v>202</v>
      </c>
      <c r="H8" s="392" t="s">
        <v>145</v>
      </c>
      <c r="I8" s="392" t="s">
        <v>145</v>
      </c>
      <c r="J8" s="394" t="s">
        <v>145</v>
      </c>
      <c r="K8" s="357" t="s">
        <v>146</v>
      </c>
    </row>
    <row r="9" customFormat="false" ht="12.75" hidden="false" customHeight="false" outlineLevel="0" collapsed="false">
      <c r="A9" s="475" t="n">
        <v>36831</v>
      </c>
      <c r="B9" s="476" t="s">
        <v>203</v>
      </c>
      <c r="C9" s="477" t="s">
        <v>63</v>
      </c>
      <c r="D9" s="478" t="n">
        <v>63754.1</v>
      </c>
      <c r="E9" s="479"/>
      <c r="F9" s="480"/>
      <c r="G9" s="478" t="n">
        <v>65033.44</v>
      </c>
      <c r="H9" s="478" t="n">
        <f aca="false">+G9-D9</f>
        <v>1279.34</v>
      </c>
      <c r="I9" s="396" t="n">
        <f aca="false">+H9</f>
        <v>1279.34</v>
      </c>
      <c r="J9" s="481"/>
      <c r="K9" s="366" t="n">
        <f aca="false">IF(J9=0,0,IF(A9&lt;(Summary!$K$3+365),J9,0))</f>
        <v>0</v>
      </c>
      <c r="L9" s="482"/>
    </row>
    <row r="10" customFormat="false" ht="12.75" hidden="false" customHeight="false" outlineLevel="0" collapsed="false">
      <c r="A10" s="358" t="n">
        <v>36861</v>
      </c>
      <c r="B10" s="476" t="s">
        <v>203</v>
      </c>
      <c r="C10" s="477" t="s">
        <v>63</v>
      </c>
      <c r="D10" s="478" t="n">
        <v>65879.34</v>
      </c>
      <c r="E10" s="479"/>
      <c r="F10" s="480"/>
      <c r="G10" s="478" t="n">
        <v>66423.8</v>
      </c>
      <c r="H10" s="478" t="n">
        <f aca="false">+G10-D10</f>
        <v>544.460000000006</v>
      </c>
      <c r="I10" s="396" t="n">
        <f aca="false">+H10</f>
        <v>544.460000000006</v>
      </c>
      <c r="J10" s="396"/>
      <c r="K10" s="366" t="n">
        <f aca="false">IF(J10=0,0,IF(A10&lt;(Summary!$K$3+365),J10,0))</f>
        <v>0</v>
      </c>
      <c r="L10" s="483"/>
    </row>
    <row r="11" customFormat="false" ht="12.75" hidden="false" customHeight="false" outlineLevel="0" collapsed="false">
      <c r="A11" s="358" t="n">
        <v>36892</v>
      </c>
      <c r="B11" s="476" t="s">
        <v>203</v>
      </c>
      <c r="C11" s="477" t="s">
        <v>63</v>
      </c>
      <c r="D11" s="478" t="n">
        <v>65879.34</v>
      </c>
      <c r="E11" s="484"/>
      <c r="F11" s="480"/>
      <c r="G11" s="478" t="n">
        <f aca="false">100466*0.66777</f>
        <v>67088.18082</v>
      </c>
      <c r="H11" s="478" t="n">
        <f aca="false">+G11-D11</f>
        <v>1208.84082</v>
      </c>
      <c r="I11" s="396" t="n">
        <f aca="false">+H11</f>
        <v>1208.84082</v>
      </c>
      <c r="J11" s="396"/>
      <c r="K11" s="366" t="n">
        <f aca="false">IF(J11=0,0,IF(A11&lt;(Summary!$K$3+365),J11,0))</f>
        <v>0</v>
      </c>
      <c r="L11" s="483"/>
    </row>
    <row r="12" customFormat="false" ht="12.75" hidden="false" customHeight="false" outlineLevel="0" collapsed="false">
      <c r="A12" s="358" t="n">
        <v>36923</v>
      </c>
      <c r="B12" s="476" t="s">
        <v>203</v>
      </c>
      <c r="C12" s="477" t="s">
        <v>63</v>
      </c>
      <c r="D12" s="478" t="n">
        <v>59504.26</v>
      </c>
      <c r="E12" s="484"/>
      <c r="F12" s="480"/>
      <c r="G12" s="478" t="n">
        <f aca="false">90744*0.6544</f>
        <v>59382.8736</v>
      </c>
      <c r="H12" s="478" t="n">
        <f aca="false">+G12-D12</f>
        <v>-121.386400000003</v>
      </c>
      <c r="I12" s="396" t="n">
        <f aca="false">+H12</f>
        <v>-121.386400000003</v>
      </c>
      <c r="J12" s="396"/>
      <c r="K12" s="366" t="n">
        <f aca="false">IF(J12=0,0,IF(A12&lt;(Summary!$K$3+365),J12,0))</f>
        <v>0</v>
      </c>
      <c r="L12" s="483"/>
    </row>
    <row r="13" customFormat="false" ht="12.75" hidden="false" customHeight="false" outlineLevel="0" collapsed="false">
      <c r="A13" s="358" t="n">
        <v>36951</v>
      </c>
      <c r="B13" s="476" t="s">
        <v>203</v>
      </c>
      <c r="C13" s="477" t="s">
        <v>63</v>
      </c>
      <c r="D13" s="478" t="n">
        <v>65879.34</v>
      </c>
      <c r="E13" s="484"/>
      <c r="F13" s="480"/>
      <c r="G13" s="478" t="n">
        <f aca="false">100466*0.64226</f>
        <v>64525.29316</v>
      </c>
      <c r="H13" s="478" t="n">
        <f aca="false">+G13-D13</f>
        <v>-1354.04683999999</v>
      </c>
      <c r="I13" s="396" t="n">
        <f aca="false">+H13</f>
        <v>-1354.04683999999</v>
      </c>
      <c r="J13" s="396"/>
      <c r="K13" s="366" t="n">
        <f aca="false">IF(J13=0,0,IF(A13&lt;(Summary!$K$3+365),J13,0))</f>
        <v>0</v>
      </c>
      <c r="L13" s="483"/>
    </row>
    <row r="14" customFormat="false" ht="12.75" hidden="false" customHeight="false" outlineLevel="0" collapsed="false">
      <c r="A14" s="358" t="n">
        <v>36982</v>
      </c>
      <c r="B14" s="476" t="s">
        <v>203</v>
      </c>
      <c r="C14" s="477" t="s">
        <v>63</v>
      </c>
      <c r="D14" s="478" t="n">
        <v>63754.1</v>
      </c>
      <c r="E14" s="484"/>
      <c r="F14" s="480"/>
      <c r="G14" s="478" t="n">
        <f aca="false">97225*0.6399</f>
        <v>62214.2775</v>
      </c>
      <c r="H14" s="478" t="n">
        <f aca="false">+G14-D14</f>
        <v>-1539.82249999999</v>
      </c>
      <c r="I14" s="396" t="n">
        <f aca="false">+H14</f>
        <v>-1539.82249999999</v>
      </c>
      <c r="J14" s="396"/>
      <c r="K14" s="366" t="n">
        <f aca="false">IF(J14=0,0,IF(A14&lt;(Summary!$K$3+365),J14,0))</f>
        <v>0</v>
      </c>
      <c r="L14" s="483"/>
    </row>
    <row r="15" customFormat="false" ht="12.75" hidden="false" customHeight="false" outlineLevel="0" collapsed="false">
      <c r="A15" s="358" t="n">
        <v>37012</v>
      </c>
      <c r="B15" s="476" t="s">
        <v>203</v>
      </c>
      <c r="C15" s="477" t="s">
        <v>63</v>
      </c>
      <c r="D15" s="478" t="n">
        <v>65879.34</v>
      </c>
      <c r="E15" s="484"/>
      <c r="F15" s="478" t="n">
        <f aca="false">100466</f>
        <v>100466</v>
      </c>
      <c r="G15" s="478" t="n">
        <f aca="false">100466*1/1.5467</f>
        <v>64955.0656235857</v>
      </c>
      <c r="H15" s="478" t="n">
        <f aca="false">+G15-D15</f>
        <v>-924.274376414294</v>
      </c>
      <c r="I15" s="396" t="n">
        <f aca="false">+H15</f>
        <v>-924.274376414294</v>
      </c>
      <c r="J15" s="396"/>
      <c r="K15" s="366" t="n">
        <f aca="false">IF(J15=0,0,IF(A15&lt;(Summary!$K$3+365),J15,0))</f>
        <v>0</v>
      </c>
      <c r="L15" s="483"/>
    </row>
    <row r="16" customFormat="false" ht="12.75" hidden="false" customHeight="false" outlineLevel="0" collapsed="false">
      <c r="A16" s="358" t="n">
        <v>37043</v>
      </c>
      <c r="B16" s="476" t="s">
        <v>203</v>
      </c>
      <c r="C16" s="477" t="s">
        <v>63</v>
      </c>
      <c r="D16" s="478" t="n">
        <v>63754.1</v>
      </c>
      <c r="E16" s="484"/>
      <c r="F16" s="478" t="n">
        <f aca="false">97225</f>
        <v>97225</v>
      </c>
      <c r="G16" s="478" t="n">
        <f aca="false">F16*(1/[6]Curves!$W11)</f>
        <v>63247.2340787893</v>
      </c>
      <c r="H16" s="478" t="n">
        <f aca="false">+G16-D16</f>
        <v>-506.865921210665</v>
      </c>
      <c r="I16" s="396"/>
      <c r="J16" s="396" t="n">
        <f aca="false">+H16</f>
        <v>-506.865921210665</v>
      </c>
      <c r="K16" s="366" t="n">
        <f aca="false">IF(J16=0,0,IF(A16&lt;(Summary!$K$3+365),J16,0))</f>
        <v>-506.865921210665</v>
      </c>
      <c r="L16" s="483"/>
    </row>
    <row r="17" customFormat="false" ht="12.75" hidden="false" customHeight="false" outlineLevel="0" collapsed="false">
      <c r="A17" s="358" t="n">
        <v>37073</v>
      </c>
      <c r="B17" s="476" t="s">
        <v>203</v>
      </c>
      <c r="C17" s="477" t="s">
        <v>63</v>
      </c>
      <c r="D17" s="478" t="n">
        <v>65879.34</v>
      </c>
      <c r="E17" s="484"/>
      <c r="F17" s="478" t="n">
        <f aca="false">100466</f>
        <v>100466</v>
      </c>
      <c r="G17" s="478" t="n">
        <f aca="false">F17*(1/[6]Curves!$W12)</f>
        <v>65333.5274206368</v>
      </c>
      <c r="H17" s="478" t="n">
        <f aca="false">+G17-D17</f>
        <v>-545.81257936317</v>
      </c>
      <c r="I17" s="396"/>
      <c r="J17" s="396" t="n">
        <f aca="false">+H17</f>
        <v>-545.81257936317</v>
      </c>
      <c r="K17" s="366" t="n">
        <f aca="false">IF(J17=0,0,IF(A17&lt;(Summary!$K$3+365),J17,0))</f>
        <v>-545.81257936317</v>
      </c>
      <c r="L17" s="483"/>
    </row>
    <row r="18" customFormat="false" ht="12.75" hidden="false" customHeight="false" outlineLevel="0" collapsed="false">
      <c r="A18" s="358" t="n">
        <v>37104</v>
      </c>
      <c r="B18" s="476" t="s">
        <v>203</v>
      </c>
      <c r="C18" s="477" t="s">
        <v>63</v>
      </c>
      <c r="D18" s="478" t="n">
        <v>65879.34</v>
      </c>
      <c r="E18" s="484"/>
      <c r="F18" s="478" t="n">
        <f aca="false">100466</f>
        <v>100466</v>
      </c>
      <c r="G18" s="478" t="n">
        <f aca="false">F18*(1/[6]Curves!$W13)</f>
        <v>65309.6172684141</v>
      </c>
      <c r="H18" s="478" t="n">
        <f aca="false">+G18-D18</f>
        <v>-569.722731585942</v>
      </c>
      <c r="I18" s="396"/>
      <c r="J18" s="396" t="n">
        <f aca="false">+H18</f>
        <v>-569.722731585942</v>
      </c>
      <c r="K18" s="366" t="n">
        <f aca="false">IF(J18=0,0,IF(A18&lt;(Summary!$K$3+365),J18,0))</f>
        <v>-569.722731585942</v>
      </c>
      <c r="L18" s="483"/>
    </row>
    <row r="19" customFormat="false" ht="12.75" hidden="false" customHeight="false" outlineLevel="0" collapsed="false">
      <c r="A19" s="358" t="n">
        <v>37135</v>
      </c>
      <c r="B19" s="476" t="s">
        <v>203</v>
      </c>
      <c r="C19" s="477" t="s">
        <v>63</v>
      </c>
      <c r="D19" s="478" t="n">
        <v>63754.1</v>
      </c>
      <c r="E19" s="484"/>
      <c r="F19" s="478" t="n">
        <f aca="false">97225</f>
        <v>97225</v>
      </c>
      <c r="G19" s="478" t="n">
        <f aca="false">F19*(1/[6]Curves!$W14)</f>
        <v>63176.483364877</v>
      </c>
      <c r="H19" s="478" t="n">
        <f aca="false">+G19-D19</f>
        <v>-577.616635122991</v>
      </c>
      <c r="I19" s="396"/>
      <c r="J19" s="396" t="n">
        <f aca="false">+H19</f>
        <v>-577.616635122991</v>
      </c>
      <c r="K19" s="366" t="n">
        <f aca="false">IF(J19=0,0,IF(A19&lt;(Summary!$K$3+365),J19,0))</f>
        <v>-577.616635122991</v>
      </c>
      <c r="L19" s="483"/>
    </row>
    <row r="20" customFormat="false" ht="12.75" hidden="false" customHeight="false" outlineLevel="0" collapsed="false">
      <c r="A20" s="358" t="n">
        <v>37165</v>
      </c>
      <c r="B20" s="476" t="s">
        <v>203</v>
      </c>
      <c r="C20" s="477" t="s">
        <v>63</v>
      </c>
      <c r="D20" s="478" t="n">
        <v>65879.34</v>
      </c>
      <c r="E20" s="484"/>
      <c r="F20" s="478" t="n">
        <f aca="false">100466</f>
        <v>100466</v>
      </c>
      <c r="G20" s="478" t="n">
        <f aca="false">F20*(1/[6]Curves!$W15)</f>
        <v>65243.3168991737</v>
      </c>
      <c r="H20" s="478" t="n">
        <f aca="false">+G20-D20</f>
        <v>-636.023100826307</v>
      </c>
      <c r="I20" s="396"/>
      <c r="J20" s="396" t="n">
        <f aca="false">+H20</f>
        <v>-636.023100826307</v>
      </c>
      <c r="K20" s="366" t="n">
        <f aca="false">IF(J20=0,0,IF(A20&lt;(Summary!$K$3+365),J20,0))</f>
        <v>-636.023100826307</v>
      </c>
      <c r="L20" s="483"/>
    </row>
    <row r="21" customFormat="false" ht="12.75" hidden="false" customHeight="false" outlineLevel="0" collapsed="false">
      <c r="A21" s="358" t="n">
        <v>37196</v>
      </c>
      <c r="B21" s="476" t="s">
        <v>203</v>
      </c>
      <c r="C21" s="477" t="s">
        <v>63</v>
      </c>
      <c r="D21" s="478" t="n">
        <v>63754.1</v>
      </c>
      <c r="E21" s="484"/>
      <c r="F21" s="478" t="n">
        <f aca="false">97225</f>
        <v>97225</v>
      </c>
      <c r="G21" s="478" t="n">
        <f aca="false">F21*(1/[6]Curves!$W16)</f>
        <v>63111.7390127787</v>
      </c>
      <c r="H21" s="478" t="n">
        <f aca="false">+G21-D21</f>
        <v>-642.360987221327</v>
      </c>
      <c r="I21" s="396"/>
      <c r="J21" s="396" t="n">
        <f aca="false">+H21</f>
        <v>-642.360987221327</v>
      </c>
      <c r="K21" s="366" t="n">
        <f aca="false">IF(J21=0,0,IF(A21&lt;(Summary!$K$3+365),J21,0))</f>
        <v>-642.360987221327</v>
      </c>
      <c r="L21" s="483"/>
    </row>
    <row r="22" customFormat="false" ht="12.75" hidden="false" customHeight="false" outlineLevel="0" collapsed="false">
      <c r="A22" s="358" t="n">
        <v>37226</v>
      </c>
      <c r="B22" s="476" t="s">
        <v>203</v>
      </c>
      <c r="C22" s="477" t="s">
        <v>63</v>
      </c>
      <c r="D22" s="478" t="n">
        <v>65879.34</v>
      </c>
      <c r="E22" s="484"/>
      <c r="F22" s="478" t="n">
        <f aca="false">100466</f>
        <v>100466</v>
      </c>
      <c r="G22" s="478" t="n">
        <f aca="false">F22*(1/[6]Curves!$W17)</f>
        <v>65189.0197002162</v>
      </c>
      <c r="H22" s="478" t="n">
        <f aca="false">+G22-D22</f>
        <v>-690.320299783765</v>
      </c>
      <c r="I22" s="396"/>
      <c r="J22" s="396" t="n">
        <f aca="false">+H22</f>
        <v>-690.320299783765</v>
      </c>
      <c r="K22" s="366" t="n">
        <f aca="false">IF(J22=0,0,IF(A22&lt;(Summary!$K$3+365),J22,0))</f>
        <v>-690.320299783765</v>
      </c>
      <c r="L22" s="483"/>
    </row>
    <row r="23" customFormat="false" ht="12.75" hidden="false" customHeight="false" outlineLevel="0" collapsed="false">
      <c r="A23" s="358" t="n">
        <v>37257</v>
      </c>
      <c r="B23" s="476" t="s">
        <v>203</v>
      </c>
      <c r="C23" s="477" t="s">
        <v>63</v>
      </c>
      <c r="D23" s="478" t="n">
        <v>65879.34</v>
      </c>
      <c r="E23" s="484"/>
      <c r="F23" s="478" t="n">
        <f aca="false">100466</f>
        <v>100466</v>
      </c>
      <c r="G23" s="478" t="n">
        <f aca="false">F23*(1/[6]Curves!$W18)</f>
        <v>65163.4979537842</v>
      </c>
      <c r="H23" s="478" t="n">
        <f aca="false">+G23-D23</f>
        <v>-715.842046215788</v>
      </c>
      <c r="I23" s="396"/>
      <c r="J23" s="396" t="n">
        <f aca="false">+H23</f>
        <v>-715.842046215788</v>
      </c>
      <c r="K23" s="366" t="n">
        <f aca="false">IF(J23=0,0,IF(A23&lt;(Summary!$K$3+365),J23,0))</f>
        <v>-715.842046215788</v>
      </c>
      <c r="L23" s="483"/>
    </row>
    <row r="24" customFormat="false" ht="12.75" hidden="false" customHeight="false" outlineLevel="0" collapsed="false">
      <c r="A24" s="358" t="n">
        <v>37288</v>
      </c>
      <c r="B24" s="476" t="s">
        <v>203</v>
      </c>
      <c r="C24" s="477" t="s">
        <v>63</v>
      </c>
      <c r="D24" s="478" t="n">
        <v>59504.26</v>
      </c>
      <c r="E24" s="484"/>
      <c r="F24" s="478" t="n">
        <f aca="false">97225</f>
        <v>97225</v>
      </c>
      <c r="G24" s="478" t="n">
        <f aca="false">F24*(1/[6]Curves!$W19)</f>
        <v>63041.7416916095</v>
      </c>
      <c r="H24" s="478" t="n">
        <f aca="false">+G24-D24</f>
        <v>3537.48169160947</v>
      </c>
      <c r="I24" s="396"/>
      <c r="J24" s="396" t="n">
        <f aca="false">+H24</f>
        <v>3537.48169160947</v>
      </c>
      <c r="K24" s="366" t="n">
        <f aca="false">IF(J24=0,0,IF(A24&lt;(Summary!$K$3+365),J24,0))</f>
        <v>3537.48169160947</v>
      </c>
      <c r="L24" s="483"/>
    </row>
    <row r="25" customFormat="false" ht="12.75" hidden="false" customHeight="false" outlineLevel="0" collapsed="false">
      <c r="A25" s="358" t="n">
        <v>37316</v>
      </c>
      <c r="B25" s="476" t="s">
        <v>203</v>
      </c>
      <c r="C25" s="477" t="s">
        <v>63</v>
      </c>
      <c r="D25" s="478" t="n">
        <v>65879.34</v>
      </c>
      <c r="E25" s="484"/>
      <c r="F25" s="478" t="n">
        <f aca="false">100466</f>
        <v>100466</v>
      </c>
      <c r="G25" s="478" t="n">
        <f aca="false">F25*(1/[6]Curves!$W20)</f>
        <v>65126.5779445758</v>
      </c>
      <c r="H25" s="478" t="n">
        <f aca="false">+G25-D25</f>
        <v>-752.762055424231</v>
      </c>
      <c r="I25" s="396"/>
      <c r="J25" s="396" t="n">
        <f aca="false">+H25</f>
        <v>-752.762055424231</v>
      </c>
      <c r="K25" s="366" t="n">
        <f aca="false">IF(J25=0,0,IF(A25&lt;(Summary!$K$3+365),J25,0))</f>
        <v>-752.762055424231</v>
      </c>
      <c r="L25" s="483"/>
    </row>
    <row r="26" customFormat="false" ht="12.75" hidden="false" customHeight="false" outlineLevel="0" collapsed="false">
      <c r="A26" s="358" t="n">
        <v>37347</v>
      </c>
      <c r="B26" s="476" t="s">
        <v>203</v>
      </c>
      <c r="C26" s="477" t="s">
        <v>63</v>
      </c>
      <c r="D26" s="478" t="n">
        <v>63754.1</v>
      </c>
      <c r="E26" s="484"/>
      <c r="F26" s="478" t="n">
        <f aca="false">97225</f>
        <v>97225</v>
      </c>
      <c r="G26" s="478" t="n">
        <f aca="false">F26*(1/[6]Curves!$W21)</f>
        <v>63007.0704893233</v>
      </c>
      <c r="H26" s="478" t="n">
        <f aca="false">+G26-D26</f>
        <v>-747.029510676694</v>
      </c>
      <c r="I26" s="396"/>
      <c r="J26" s="396" t="n">
        <f aca="false">+H26</f>
        <v>-747.029510676694</v>
      </c>
      <c r="K26" s="366" t="n">
        <f aca="false">IF(J26=0,0,IF(A26&lt;(Summary!$K$3+365),J26,0))</f>
        <v>-747.029510676694</v>
      </c>
      <c r="L26" s="483"/>
    </row>
    <row r="27" customFormat="false" ht="12.75" hidden="false" customHeight="false" outlineLevel="0" collapsed="false">
      <c r="A27" s="358" t="n">
        <v>37377</v>
      </c>
      <c r="B27" s="476" t="s">
        <v>203</v>
      </c>
      <c r="C27" s="477" t="s">
        <v>63</v>
      </c>
      <c r="D27" s="478" t="n">
        <v>65879.34</v>
      </c>
      <c r="E27" s="484"/>
      <c r="F27" s="478" t="n">
        <f aca="false">100466</f>
        <v>100466</v>
      </c>
      <c r="G27" s="478" t="n">
        <f aca="false">F27*(1/[6]Curves!$W22)</f>
        <v>65086.5902408655</v>
      </c>
      <c r="H27" s="478" t="n">
        <f aca="false">+G27-D27</f>
        <v>-792.749759134487</v>
      </c>
      <c r="I27" s="396"/>
      <c r="J27" s="396" t="n">
        <f aca="false">+H27</f>
        <v>-792.749759134487</v>
      </c>
      <c r="K27" s="366" t="n">
        <f aca="false">IF(J27=0,0,IF(A27&lt;(Summary!$K$3+365),J27,0))</f>
        <v>-792.749759134487</v>
      </c>
      <c r="L27" s="483"/>
    </row>
    <row r="28" customFormat="false" ht="12.75" hidden="false" customHeight="false" outlineLevel="0" collapsed="false">
      <c r="A28" s="358" t="n">
        <v>37408</v>
      </c>
      <c r="B28" s="476" t="s">
        <v>203</v>
      </c>
      <c r="C28" s="477" t="s">
        <v>63</v>
      </c>
      <c r="D28" s="478" t="n">
        <v>63754.1</v>
      </c>
      <c r="E28" s="484"/>
      <c r="F28" s="478" t="n">
        <f aca="false">97225</f>
        <v>97225</v>
      </c>
      <c r="G28" s="478" t="n">
        <f aca="false">F28*(1/[6]Curves!$W23)</f>
        <v>62966.7596658841</v>
      </c>
      <c r="H28" s="478" t="n">
        <f aca="false">+G28-D28</f>
        <v>-787.340334115885</v>
      </c>
      <c r="I28" s="396"/>
      <c r="J28" s="396" t="n">
        <f aca="false">+H28</f>
        <v>-787.340334115885</v>
      </c>
      <c r="K28" s="366" t="n">
        <f aca="false">IF(J28=0,0,IF(A28&lt;(Summary!$K$3+365),J28,0))</f>
        <v>0</v>
      </c>
      <c r="L28" s="483"/>
    </row>
    <row r="29" customFormat="false" ht="12.75" hidden="false" customHeight="false" outlineLevel="0" collapsed="false">
      <c r="A29" s="358" t="n">
        <v>37438</v>
      </c>
      <c r="B29" s="476" t="s">
        <v>203</v>
      </c>
      <c r="C29" s="477" t="s">
        <v>63</v>
      </c>
      <c r="D29" s="478" t="n">
        <v>65879.34</v>
      </c>
      <c r="E29" s="484"/>
      <c r="F29" s="478" t="n">
        <f aca="false">100466</f>
        <v>100466</v>
      </c>
      <c r="G29" s="478" t="n">
        <f aca="false">F29*(1/[6]Curves!$W24)</f>
        <v>65045.2797704547</v>
      </c>
      <c r="H29" s="478" t="n">
        <f aca="false">+G29-D29</f>
        <v>-834.06022954527</v>
      </c>
      <c r="I29" s="396"/>
      <c r="J29" s="396" t="n">
        <f aca="false">+H29</f>
        <v>-834.06022954527</v>
      </c>
      <c r="K29" s="366" t="n">
        <f aca="false">IF(J29=0,0,IF(A29&lt;(Summary!$K$3+365),J29,0))</f>
        <v>0</v>
      </c>
      <c r="L29" s="483"/>
    </row>
    <row r="30" customFormat="false" ht="12.75" hidden="false" customHeight="false" outlineLevel="0" collapsed="false">
      <c r="A30" s="358" t="n">
        <v>37469</v>
      </c>
      <c r="B30" s="476" t="s">
        <v>203</v>
      </c>
      <c r="C30" s="477" t="s">
        <v>63</v>
      </c>
      <c r="D30" s="478" t="n">
        <v>65879.34</v>
      </c>
      <c r="E30" s="484"/>
      <c r="F30" s="478" t="n">
        <f aca="false">100466</f>
        <v>100466</v>
      </c>
      <c r="G30" s="478" t="n">
        <f aca="false">F30*(1/[6]Curves!$W25)</f>
        <v>65024.1585466413</v>
      </c>
      <c r="H30" s="478" t="n">
        <f aca="false">+G30-D30</f>
        <v>-855.181453358659</v>
      </c>
      <c r="I30" s="396"/>
      <c r="J30" s="396" t="n">
        <f aca="false">+H30</f>
        <v>-855.181453358659</v>
      </c>
      <c r="K30" s="366" t="n">
        <f aca="false">IF(J30=0,0,IF(A30&lt;(Summary!$K$3+365),J30,0))</f>
        <v>0</v>
      </c>
      <c r="L30" s="483"/>
    </row>
    <row r="31" customFormat="false" ht="12.75" hidden="false" customHeight="false" outlineLevel="0" collapsed="false">
      <c r="A31" s="358" t="n">
        <v>37500</v>
      </c>
      <c r="B31" s="476" t="s">
        <v>203</v>
      </c>
      <c r="C31" s="477" t="s">
        <v>63</v>
      </c>
      <c r="D31" s="478" t="n">
        <v>63754.1</v>
      </c>
      <c r="E31" s="484"/>
      <c r="F31" s="478" t="n">
        <f aca="false">97225</f>
        <v>97225</v>
      </c>
      <c r="G31" s="478" t="n">
        <f aca="false">F31*(1/[6]Curves!$W26)</f>
        <v>62906.5124749445</v>
      </c>
      <c r="H31" s="478" t="n">
        <f aca="false">+G31-D31</f>
        <v>-847.587525055526</v>
      </c>
      <c r="I31" s="396"/>
      <c r="J31" s="396" t="n">
        <f aca="false">+H31</f>
        <v>-847.587525055526</v>
      </c>
      <c r="K31" s="366" t="n">
        <f aca="false">IF(J31=0,0,IF(A31&lt;(Summary!$K$3+365),J31,0))</f>
        <v>0</v>
      </c>
      <c r="L31" s="483"/>
    </row>
    <row r="32" customFormat="false" ht="12.75" hidden="false" customHeight="false" outlineLevel="0" collapsed="false">
      <c r="A32" s="358" t="n">
        <v>37530</v>
      </c>
      <c r="B32" s="476" t="s">
        <v>203</v>
      </c>
      <c r="C32" s="477" t="s">
        <v>63</v>
      </c>
      <c r="D32" s="478" t="n">
        <v>65879.34</v>
      </c>
      <c r="E32" s="484"/>
      <c r="F32" s="478" t="n">
        <f aca="false">100466</f>
        <v>100466</v>
      </c>
      <c r="G32" s="478" t="n">
        <f aca="false">F32*(1/[6]Curves!$W27)</f>
        <v>64984.6990455786</v>
      </c>
      <c r="H32" s="478" t="n">
        <f aca="false">+G32-D32</f>
        <v>-894.640954421404</v>
      </c>
      <c r="I32" s="396"/>
      <c r="J32" s="396" t="n">
        <f aca="false">+H32</f>
        <v>-894.640954421404</v>
      </c>
      <c r="K32" s="366" t="n">
        <f aca="false">IF(J32=0,0,IF(A32&lt;(Summary!$K$3+365),J32,0))</f>
        <v>0</v>
      </c>
      <c r="L32" s="483"/>
    </row>
    <row r="33" customFormat="false" ht="12.75" hidden="false" customHeight="false" outlineLevel="0" collapsed="false">
      <c r="A33" s="358"/>
      <c r="B33" s="476"/>
      <c r="C33" s="360"/>
      <c r="D33" s="361"/>
      <c r="E33" s="359"/>
      <c r="F33" s="395"/>
      <c r="G33" s="361"/>
      <c r="H33" s="361"/>
      <c r="I33" s="396"/>
      <c r="J33" s="396"/>
      <c r="K33" s="484"/>
    </row>
    <row r="34" customFormat="false" ht="12.75" hidden="false" customHeight="false" outlineLevel="0" collapsed="false">
      <c r="A34" s="358"/>
      <c r="B34" s="359"/>
      <c r="C34" s="360"/>
      <c r="D34" s="361"/>
      <c r="E34" s="359"/>
      <c r="F34" s="395"/>
      <c r="G34" s="361"/>
      <c r="H34" s="361"/>
      <c r="I34" s="396"/>
      <c r="J34" s="396"/>
      <c r="K34" s="484"/>
    </row>
    <row r="35" customFormat="false" ht="12.75" hidden="false" customHeight="false" outlineLevel="0" collapsed="false">
      <c r="A35" s="358"/>
      <c r="B35" s="359"/>
      <c r="C35" s="360"/>
      <c r="D35" s="361"/>
      <c r="E35" s="359"/>
      <c r="F35" s="395"/>
      <c r="G35" s="361"/>
      <c r="H35" s="361"/>
      <c r="I35" s="396"/>
      <c r="J35" s="396"/>
      <c r="K35" s="484"/>
    </row>
    <row r="36" customFormat="false" ht="13.5" hidden="false" customHeight="false" outlineLevel="0" collapsed="false">
      <c r="A36" s="358"/>
      <c r="B36" s="359"/>
      <c r="C36" s="360"/>
      <c r="D36" s="485" t="n">
        <f aca="false">SUM(D9:D35)</f>
        <v>1551352.08</v>
      </c>
      <c r="E36" s="486"/>
      <c r="F36" s="487" t="n">
        <f aca="false">SUM(F9:F35)</f>
        <v>1785701</v>
      </c>
      <c r="G36" s="485" t="n">
        <f aca="false">SUM(G9:G35)</f>
        <v>1542586.75627213</v>
      </c>
      <c r="H36" s="485" t="n">
        <f aca="false">SUM(H9:H35)</f>
        <v>-8765.32372786691</v>
      </c>
      <c r="I36" s="425" t="n">
        <f aca="false">SUM(I9:I35)</f>
        <v>-906.889296414272</v>
      </c>
      <c r="J36" s="425" t="n">
        <f aca="false">SUM(J9:J35)</f>
        <v>-7858.43443145264</v>
      </c>
      <c r="K36" s="425" t="n">
        <f aca="false">SUM(K9:K35)</f>
        <v>-3639.6239349559</v>
      </c>
    </row>
    <row r="37" customFormat="false" ht="13.5" hidden="false" customHeight="false" outlineLevel="0" collapsed="false">
      <c r="A37" s="358"/>
      <c r="B37" s="359"/>
      <c r="C37" s="360"/>
      <c r="D37" s="361"/>
      <c r="E37" s="359"/>
      <c r="G37" s="359"/>
      <c r="H37" s="361"/>
      <c r="I37" s="396"/>
      <c r="J37" s="488"/>
      <c r="K37" s="186"/>
    </row>
    <row r="38" customFormat="false" ht="12.75" hidden="false" customHeight="false" outlineLevel="0" collapsed="false">
      <c r="A38" s="380"/>
      <c r="B38" s="380"/>
      <c r="C38" s="380"/>
      <c r="D38" s="380"/>
      <c r="E38" s="380"/>
      <c r="F38" s="380"/>
      <c r="G38" s="380"/>
      <c r="H38" s="489"/>
      <c r="I38" s="420"/>
      <c r="J38" s="490"/>
      <c r="K38" s="491"/>
    </row>
    <row r="39" customFormat="false" ht="12.75" hidden="false" customHeight="false" outlineLevel="0" collapsed="false">
      <c r="I39" s="186"/>
      <c r="J39" s="186"/>
      <c r="K39" s="491"/>
    </row>
    <row r="40" customFormat="false" ht="12.75" hidden="false" customHeight="false" outlineLevel="0" collapsed="false">
      <c r="A40" s="8"/>
      <c r="I40" s="186"/>
      <c r="J40" s="186"/>
    </row>
    <row r="41" customFormat="false" ht="12.75" hidden="false" customHeight="false" outlineLevel="0" collapsed="false">
      <c r="I41" s="186"/>
      <c r="J41" s="186"/>
    </row>
    <row r="42" customFormat="false" ht="12.75" hidden="false" customHeight="false" outlineLevel="0" collapsed="false">
      <c r="I42" s="186"/>
      <c r="J42" s="186"/>
    </row>
    <row r="43" customFormat="false" ht="12.75" hidden="false" customHeight="false" outlineLevel="0" collapsed="false">
      <c r="I43" s="186"/>
      <c r="J43" s="186"/>
    </row>
    <row r="44" customFormat="false" ht="12.75" hidden="false" customHeight="false" outlineLevel="0" collapsed="false">
      <c r="I44" s="186"/>
      <c r="J44" s="186"/>
    </row>
    <row r="45" customFormat="false" ht="12.75" hidden="false" customHeight="false" outlineLevel="0" collapsed="false">
      <c r="I45" s="186"/>
      <c r="J45" s="186"/>
    </row>
    <row r="46" customFormat="false" ht="12.75" hidden="false" customHeight="false" outlineLevel="0" collapsed="false">
      <c r="I46" s="186"/>
      <c r="J46" s="186"/>
    </row>
    <row r="47" customFormat="false" ht="12.75" hidden="false" customHeight="false" outlineLevel="0" collapsed="false">
      <c r="I47" s="186"/>
      <c r="J47" s="186"/>
    </row>
    <row r="48" customFormat="false" ht="12.75" hidden="false" customHeight="false" outlineLevel="0" collapsed="false">
      <c r="I48" s="186"/>
      <c r="J48" s="186"/>
    </row>
    <row r="49" customFormat="false" ht="12.75" hidden="false" customHeight="false" outlineLevel="0" collapsed="false">
      <c r="I49" s="186"/>
      <c r="J49" s="186"/>
    </row>
    <row r="50" customFormat="false" ht="12.75" hidden="false" customHeight="false" outlineLevel="0" collapsed="false">
      <c r="I50" s="186"/>
      <c r="J50" s="186"/>
    </row>
    <row r="51" customFormat="false" ht="12.75" hidden="false" customHeight="false" outlineLevel="0" collapsed="false">
      <c r="I51" s="186"/>
      <c r="J51" s="186"/>
    </row>
    <row r="52" customFormat="false" ht="12.75" hidden="false" customHeight="false" outlineLevel="0" collapsed="false">
      <c r="I52" s="186"/>
      <c r="J52" s="186"/>
    </row>
    <row r="53" customFormat="false" ht="12.75" hidden="false" customHeight="false" outlineLevel="0" collapsed="false">
      <c r="I53" s="186"/>
      <c r="J53" s="186"/>
    </row>
    <row r="54" customFormat="false" ht="12.75" hidden="false" customHeight="false" outlineLevel="0" collapsed="false">
      <c r="I54" s="186"/>
      <c r="J54" s="186"/>
    </row>
    <row r="55" customFormat="false" ht="12.75" hidden="false" customHeight="false" outlineLevel="0" collapsed="false">
      <c r="I55" s="186"/>
      <c r="J55" s="186"/>
    </row>
    <row r="56" customFormat="false" ht="12.75" hidden="false" customHeight="false" outlineLevel="0" collapsed="false">
      <c r="I56" s="186"/>
      <c r="J56" s="186"/>
    </row>
    <row r="57" customFormat="false" ht="12.75" hidden="false" customHeight="false" outlineLevel="0" collapsed="false">
      <c r="I57" s="186"/>
      <c r="J57" s="186"/>
    </row>
    <row r="58" customFormat="false" ht="12.75" hidden="false" customHeight="false" outlineLevel="0" collapsed="false">
      <c r="I58" s="186"/>
      <c r="J58" s="186"/>
    </row>
    <row r="59" customFormat="false" ht="12.75" hidden="false" customHeight="false" outlineLevel="0" collapsed="false">
      <c r="I59" s="186"/>
      <c r="J59" s="186"/>
    </row>
    <row r="60" customFormat="false" ht="12.75" hidden="false" customHeight="false" outlineLevel="0" collapsed="false">
      <c r="I60" s="186"/>
      <c r="J60" s="186"/>
    </row>
    <row r="61" customFormat="false" ht="12.75" hidden="false" customHeight="false" outlineLevel="0" collapsed="false">
      <c r="I61" s="186"/>
      <c r="J61" s="186"/>
    </row>
    <row r="62" customFormat="false" ht="12.75" hidden="false" customHeight="false" outlineLevel="0" collapsed="false">
      <c r="I62" s="186"/>
      <c r="J62" s="186"/>
    </row>
  </sheetData>
  <mergeCells count="5">
    <mergeCell ref="A1:K1"/>
    <mergeCell ref="A2:K2"/>
    <mergeCell ref="A3:K3"/>
    <mergeCell ref="A4:K4"/>
    <mergeCell ref="H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4" activeCellId="0" sqref="G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3" min="2" style="1" width="9.28"/>
    <col collapsed="false" customWidth="true" hidden="false" outlineLevel="0" max="4" min="4" style="1" width="10.71"/>
    <col collapsed="false" customWidth="true" hidden="true" outlineLevel="0" max="5" min="5" style="1" width="9.06"/>
    <col collapsed="false" customWidth="true" hidden="false" outlineLevel="0" max="6" min="6" style="1" width="12.7"/>
    <col collapsed="false" customWidth="true" hidden="false" outlineLevel="0" max="7" min="7" style="1" width="14.28"/>
    <col collapsed="false" customWidth="true" hidden="false" outlineLevel="0" max="8" min="8" style="1" width="10.71"/>
    <col collapsed="false" customWidth="true" hidden="false" outlineLevel="0" max="9" min="9" style="1" width="17.14"/>
    <col collapsed="false" customWidth="true" hidden="false" outlineLevel="0" max="10" min="10" style="1" width="13.41"/>
    <col collapsed="false" customWidth="true" hidden="false" outlineLevel="0" max="11" min="11" style="1" width="17.14"/>
    <col collapsed="false" customWidth="true" hidden="false" outlineLevel="0" max="12" min="12" style="1" width="17.28"/>
    <col collapsed="false" customWidth="false" hidden="false" outlineLevel="0" max="257" min="13" style="1" width="9.14"/>
  </cols>
  <sheetData>
    <row r="1" customFormat="false" ht="10.5" hidden="false" customHeight="false" outlineLevel="0" collapsed="false">
      <c r="A1" s="152" t="s">
        <v>182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152" t="s">
        <v>186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152" t="s">
        <v>204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443"/>
      <c r="CP3" s="443"/>
      <c r="CQ3" s="443"/>
      <c r="CR3" s="443"/>
      <c r="CS3" s="443"/>
      <c r="CT3" s="443"/>
      <c r="CU3" s="443"/>
      <c r="CV3" s="443"/>
      <c r="CW3" s="443"/>
      <c r="CX3" s="443"/>
      <c r="CY3" s="443"/>
      <c r="CZ3" s="443"/>
      <c r="DA3" s="443"/>
      <c r="DB3" s="443"/>
      <c r="DC3" s="443"/>
      <c r="DD3" s="443"/>
      <c r="DE3" s="443"/>
      <c r="DF3" s="443"/>
      <c r="DG3" s="443"/>
      <c r="DH3" s="443"/>
      <c r="DI3" s="443"/>
      <c r="DJ3" s="443"/>
      <c r="DK3" s="443"/>
      <c r="DL3" s="443"/>
      <c r="DM3" s="443"/>
      <c r="DN3" s="443"/>
      <c r="DO3" s="443"/>
      <c r="DP3" s="443"/>
      <c r="DQ3" s="443"/>
      <c r="DR3" s="443"/>
      <c r="DS3" s="443"/>
      <c r="DT3" s="443"/>
      <c r="DU3" s="443"/>
      <c r="DV3" s="443"/>
      <c r="DW3" s="443"/>
      <c r="DX3" s="443"/>
      <c r="DY3" s="443"/>
      <c r="DZ3" s="443"/>
      <c r="EA3" s="443"/>
      <c r="EB3" s="443"/>
      <c r="EC3" s="443"/>
      <c r="ED3" s="443"/>
      <c r="EE3" s="443"/>
      <c r="EF3" s="443"/>
      <c r="EG3" s="443"/>
      <c r="EH3" s="443"/>
      <c r="EI3" s="443"/>
      <c r="EJ3" s="443"/>
      <c r="EK3" s="443"/>
      <c r="EL3" s="443"/>
      <c r="EM3" s="443"/>
      <c r="EN3" s="443"/>
      <c r="EO3" s="443"/>
      <c r="EP3" s="443"/>
      <c r="EQ3" s="443"/>
      <c r="ER3" s="443"/>
      <c r="ES3" s="443"/>
      <c r="ET3" s="443"/>
      <c r="EU3" s="443"/>
      <c r="EV3" s="443"/>
      <c r="EW3" s="443"/>
      <c r="EX3" s="443"/>
      <c r="EY3" s="443"/>
      <c r="EZ3" s="443"/>
      <c r="FA3" s="443"/>
      <c r="FB3" s="443"/>
      <c r="FC3" s="443"/>
      <c r="FD3" s="443"/>
      <c r="FE3" s="443"/>
      <c r="FF3" s="443"/>
      <c r="FG3" s="443"/>
      <c r="FH3" s="443"/>
      <c r="FI3" s="443"/>
      <c r="FJ3" s="443"/>
      <c r="FK3" s="443"/>
      <c r="FL3" s="443"/>
      <c r="FM3" s="443"/>
      <c r="FN3" s="443"/>
      <c r="FO3" s="443"/>
      <c r="FP3" s="443"/>
      <c r="FQ3" s="443"/>
      <c r="FR3" s="443"/>
      <c r="FS3" s="443"/>
      <c r="FT3" s="443"/>
      <c r="FU3" s="443"/>
      <c r="FV3" s="443"/>
      <c r="FW3" s="443"/>
      <c r="FX3" s="443"/>
      <c r="FY3" s="443"/>
      <c r="FZ3" s="443"/>
      <c r="GA3" s="443"/>
      <c r="GB3" s="443"/>
      <c r="GC3" s="443"/>
      <c r="GD3" s="443"/>
      <c r="GE3" s="443"/>
      <c r="GF3" s="443"/>
      <c r="GG3" s="443"/>
      <c r="GH3" s="443"/>
      <c r="GI3" s="443"/>
      <c r="GJ3" s="443"/>
      <c r="GK3" s="443"/>
      <c r="GL3" s="443"/>
      <c r="GM3" s="443"/>
      <c r="GN3" s="443"/>
      <c r="GO3" s="443"/>
      <c r="GP3" s="443"/>
      <c r="GQ3" s="443"/>
      <c r="GR3" s="443"/>
      <c r="GS3" s="443"/>
      <c r="GT3" s="443"/>
      <c r="GU3" s="443"/>
      <c r="GV3" s="443"/>
      <c r="GW3" s="443"/>
      <c r="GX3" s="443"/>
      <c r="GY3" s="443"/>
      <c r="GZ3" s="443"/>
      <c r="HA3" s="443"/>
      <c r="HB3" s="443"/>
      <c r="HC3" s="443"/>
      <c r="HD3" s="443"/>
      <c r="HE3" s="443"/>
      <c r="HF3" s="443"/>
      <c r="HG3" s="443"/>
      <c r="HH3" s="443"/>
      <c r="HI3" s="443"/>
      <c r="HJ3" s="443"/>
      <c r="HK3" s="443"/>
      <c r="HL3" s="443"/>
      <c r="HM3" s="443"/>
      <c r="HN3" s="443"/>
      <c r="HO3" s="443"/>
      <c r="HP3" s="443"/>
      <c r="HQ3" s="443"/>
      <c r="HR3" s="443"/>
      <c r="HS3" s="443"/>
      <c r="HT3" s="443"/>
      <c r="HU3" s="443"/>
      <c r="HV3" s="443"/>
      <c r="HW3" s="443"/>
      <c r="HX3" s="443"/>
      <c r="HY3" s="443"/>
      <c r="HZ3" s="443"/>
      <c r="IA3" s="443"/>
      <c r="IB3" s="443"/>
      <c r="IC3" s="443"/>
      <c r="ID3" s="443"/>
      <c r="IE3" s="443"/>
      <c r="IF3" s="443"/>
      <c r="IG3" s="443"/>
      <c r="IH3" s="443"/>
      <c r="II3" s="443"/>
      <c r="IJ3" s="443"/>
      <c r="IK3" s="443"/>
      <c r="IL3" s="443"/>
      <c r="IM3" s="443"/>
      <c r="IN3" s="443"/>
      <c r="IO3" s="443"/>
      <c r="IP3" s="443"/>
      <c r="IQ3" s="443"/>
      <c r="IR3" s="443"/>
      <c r="IS3" s="443"/>
      <c r="IT3" s="443"/>
      <c r="IU3" s="443"/>
      <c r="IV3" s="443"/>
      <c r="IW3" s="443"/>
    </row>
    <row r="4" customFormat="false" ht="11.25" hidden="false" customHeight="false" outlineLevel="0" collapsed="false">
      <c r="A4" s="5" t="s">
        <v>205</v>
      </c>
      <c r="B4" s="5"/>
      <c r="C4" s="5"/>
      <c r="D4" s="5"/>
      <c r="E4" s="5"/>
      <c r="F4" s="5"/>
      <c r="G4" s="5"/>
      <c r="H4" s="5"/>
      <c r="I4" s="5"/>
      <c r="J4" s="5"/>
      <c r="K4" s="5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443"/>
      <c r="BA4" s="443"/>
      <c r="BB4" s="443"/>
      <c r="BC4" s="443"/>
      <c r="BD4" s="443"/>
      <c r="BE4" s="443"/>
      <c r="BF4" s="443"/>
      <c r="BG4" s="443"/>
      <c r="BH4" s="443"/>
      <c r="BI4" s="443"/>
      <c r="BJ4" s="443"/>
      <c r="BK4" s="443"/>
      <c r="BL4" s="443"/>
      <c r="BM4" s="443"/>
      <c r="BN4" s="443"/>
      <c r="BO4" s="443"/>
      <c r="BP4" s="443"/>
      <c r="BQ4" s="443"/>
      <c r="BR4" s="443"/>
      <c r="BS4" s="443"/>
      <c r="BT4" s="443"/>
      <c r="BU4" s="443"/>
      <c r="BV4" s="443"/>
      <c r="BW4" s="443"/>
      <c r="BX4" s="443"/>
      <c r="BY4" s="443"/>
      <c r="BZ4" s="443"/>
      <c r="CA4" s="443"/>
      <c r="CB4" s="443"/>
      <c r="CC4" s="443"/>
      <c r="CD4" s="443"/>
      <c r="CE4" s="443"/>
      <c r="CF4" s="443"/>
      <c r="CG4" s="443"/>
      <c r="CH4" s="443"/>
      <c r="CI4" s="443"/>
      <c r="CJ4" s="443"/>
      <c r="CK4" s="443"/>
      <c r="CL4" s="443"/>
      <c r="CM4" s="443"/>
      <c r="CN4" s="443"/>
      <c r="CO4" s="443"/>
      <c r="CP4" s="443"/>
      <c r="CQ4" s="443"/>
      <c r="CR4" s="443"/>
      <c r="CS4" s="443"/>
      <c r="CT4" s="443"/>
      <c r="CU4" s="443"/>
      <c r="CV4" s="443"/>
      <c r="CW4" s="443"/>
      <c r="CX4" s="443"/>
      <c r="CY4" s="443"/>
      <c r="CZ4" s="443"/>
      <c r="DA4" s="443"/>
      <c r="DB4" s="443"/>
      <c r="DC4" s="443"/>
      <c r="DD4" s="443"/>
      <c r="DE4" s="443"/>
      <c r="DF4" s="443"/>
      <c r="DG4" s="443"/>
      <c r="DH4" s="443"/>
      <c r="DI4" s="443"/>
      <c r="DJ4" s="443"/>
      <c r="DK4" s="443"/>
      <c r="DL4" s="443"/>
      <c r="DM4" s="443"/>
      <c r="DN4" s="443"/>
      <c r="DO4" s="443"/>
      <c r="DP4" s="443"/>
      <c r="DQ4" s="443"/>
      <c r="DR4" s="443"/>
      <c r="DS4" s="443"/>
      <c r="DT4" s="443"/>
      <c r="DU4" s="443"/>
      <c r="DV4" s="443"/>
      <c r="DW4" s="443"/>
      <c r="DX4" s="443"/>
      <c r="DY4" s="443"/>
      <c r="DZ4" s="443"/>
      <c r="EA4" s="443"/>
      <c r="EB4" s="443"/>
      <c r="EC4" s="443"/>
      <c r="ED4" s="443"/>
      <c r="EE4" s="443"/>
      <c r="EF4" s="443"/>
      <c r="EG4" s="443"/>
      <c r="EH4" s="443"/>
      <c r="EI4" s="443"/>
      <c r="EJ4" s="443"/>
      <c r="EK4" s="443"/>
      <c r="EL4" s="443"/>
      <c r="EM4" s="443"/>
      <c r="EN4" s="443"/>
      <c r="EO4" s="443"/>
      <c r="EP4" s="443"/>
      <c r="EQ4" s="443"/>
      <c r="ER4" s="443"/>
      <c r="ES4" s="443"/>
      <c r="ET4" s="443"/>
      <c r="EU4" s="443"/>
      <c r="EV4" s="443"/>
      <c r="EW4" s="443"/>
      <c r="EX4" s="443"/>
      <c r="EY4" s="443"/>
      <c r="EZ4" s="443"/>
      <c r="FA4" s="443"/>
      <c r="FB4" s="443"/>
      <c r="FC4" s="443"/>
      <c r="FD4" s="443"/>
      <c r="FE4" s="443"/>
      <c r="FF4" s="443"/>
      <c r="FG4" s="443"/>
      <c r="FH4" s="443"/>
      <c r="FI4" s="443"/>
      <c r="FJ4" s="443"/>
      <c r="FK4" s="443"/>
      <c r="FL4" s="443"/>
      <c r="FM4" s="443"/>
      <c r="FN4" s="443"/>
      <c r="FO4" s="443"/>
      <c r="FP4" s="443"/>
      <c r="FQ4" s="443"/>
      <c r="FR4" s="443"/>
      <c r="FS4" s="443"/>
      <c r="FT4" s="443"/>
      <c r="FU4" s="443"/>
      <c r="FV4" s="443"/>
      <c r="FW4" s="443"/>
      <c r="FX4" s="443"/>
      <c r="FY4" s="443"/>
      <c r="FZ4" s="443"/>
      <c r="GA4" s="443"/>
      <c r="GB4" s="443"/>
      <c r="GC4" s="443"/>
      <c r="GD4" s="443"/>
      <c r="GE4" s="443"/>
      <c r="GF4" s="443"/>
      <c r="GG4" s="443"/>
      <c r="GH4" s="443"/>
      <c r="GI4" s="443"/>
      <c r="GJ4" s="443"/>
      <c r="GK4" s="443"/>
      <c r="GL4" s="443"/>
      <c r="GM4" s="443"/>
      <c r="GN4" s="443"/>
      <c r="GO4" s="443"/>
      <c r="GP4" s="443"/>
      <c r="GQ4" s="443"/>
      <c r="GR4" s="443"/>
      <c r="GS4" s="443"/>
      <c r="GT4" s="443"/>
      <c r="GU4" s="443"/>
      <c r="GV4" s="443"/>
      <c r="GW4" s="443"/>
      <c r="GX4" s="443"/>
      <c r="GY4" s="443"/>
      <c r="GZ4" s="443"/>
      <c r="HA4" s="443"/>
      <c r="HB4" s="443"/>
      <c r="HC4" s="443"/>
      <c r="HD4" s="443"/>
      <c r="HE4" s="443"/>
      <c r="HF4" s="443"/>
      <c r="HG4" s="443"/>
      <c r="HH4" s="443"/>
      <c r="HI4" s="443"/>
      <c r="HJ4" s="443"/>
      <c r="HK4" s="443"/>
      <c r="HL4" s="443"/>
      <c r="HM4" s="443"/>
      <c r="HN4" s="443"/>
      <c r="HO4" s="443"/>
      <c r="HP4" s="443"/>
      <c r="HQ4" s="443"/>
      <c r="HR4" s="443"/>
      <c r="HS4" s="443"/>
      <c r="HT4" s="443"/>
      <c r="HU4" s="443"/>
      <c r="HV4" s="443"/>
      <c r="HW4" s="443"/>
      <c r="HX4" s="443"/>
      <c r="HY4" s="443"/>
      <c r="HZ4" s="443"/>
      <c r="IA4" s="443"/>
      <c r="IB4" s="443"/>
      <c r="IC4" s="443"/>
      <c r="ID4" s="443"/>
      <c r="IE4" s="443"/>
      <c r="IF4" s="443"/>
      <c r="IG4" s="443"/>
      <c r="IH4" s="443"/>
      <c r="II4" s="443"/>
      <c r="IJ4" s="443"/>
      <c r="IK4" s="443"/>
      <c r="IL4" s="443"/>
      <c r="IM4" s="443"/>
      <c r="IN4" s="443"/>
      <c r="IO4" s="443"/>
      <c r="IP4" s="443"/>
      <c r="IQ4" s="443"/>
      <c r="IR4" s="443"/>
      <c r="IS4" s="443"/>
      <c r="IT4" s="443"/>
      <c r="IU4" s="443"/>
      <c r="IV4" s="443"/>
      <c r="IW4" s="443"/>
    </row>
    <row r="6" customFormat="false" ht="11.25" hidden="false" customHeight="false" outlineLevel="0" collapsed="false">
      <c r="A6" s="465" t="s">
        <v>138</v>
      </c>
      <c r="B6" s="466" t="s">
        <v>5</v>
      </c>
      <c r="C6" s="466" t="s">
        <v>5</v>
      </c>
      <c r="D6" s="466" t="s">
        <v>71</v>
      </c>
      <c r="E6" s="466"/>
      <c r="F6" s="466" t="s">
        <v>190</v>
      </c>
      <c r="G6" s="466" t="s">
        <v>30</v>
      </c>
      <c r="H6" s="466"/>
      <c r="I6" s="467" t="s">
        <v>140</v>
      </c>
      <c r="J6" s="467"/>
      <c r="K6" s="46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1.25" hidden="false" customHeight="false" outlineLevel="0" collapsed="false">
      <c r="A7" s="468" t="s">
        <v>15</v>
      </c>
      <c r="B7" s="453" t="s">
        <v>12</v>
      </c>
      <c r="C7" s="453" t="s">
        <v>11</v>
      </c>
      <c r="D7" s="453" t="s">
        <v>191</v>
      </c>
      <c r="E7" s="453"/>
      <c r="F7" s="453" t="s">
        <v>192</v>
      </c>
      <c r="G7" s="453" t="s">
        <v>193</v>
      </c>
      <c r="H7" s="453"/>
      <c r="I7" s="453" t="s">
        <v>23</v>
      </c>
      <c r="J7" s="453" t="s">
        <v>24</v>
      </c>
      <c r="K7" s="454" t="s">
        <v>25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1.25" hidden="false" customHeight="false" outlineLevel="0" collapsed="false">
      <c r="A8" s="450"/>
      <c r="B8" s="451"/>
      <c r="C8" s="451"/>
      <c r="D8" s="453" t="s">
        <v>206</v>
      </c>
      <c r="E8" s="451"/>
      <c r="F8" s="451"/>
      <c r="G8" s="469" t="s">
        <v>207</v>
      </c>
      <c r="H8" s="453"/>
      <c r="I8" s="453" t="s">
        <v>145</v>
      </c>
      <c r="J8" s="453" t="s">
        <v>145</v>
      </c>
      <c r="K8" s="454" t="s">
        <v>145</v>
      </c>
    </row>
    <row r="9" customFormat="false" ht="11.25" hidden="false" customHeight="false" outlineLevel="0" collapsed="false">
      <c r="A9" s="455"/>
      <c r="B9" s="456"/>
      <c r="C9" s="456"/>
      <c r="D9" s="470" t="n">
        <v>0.06</v>
      </c>
      <c r="E9" s="456"/>
      <c r="F9" s="456"/>
      <c r="G9" s="471"/>
      <c r="H9" s="460"/>
      <c r="I9" s="460"/>
      <c r="J9" s="460"/>
      <c r="K9" s="461"/>
      <c r="L9" s="136" t="s">
        <v>146</v>
      </c>
    </row>
    <row r="10" customFormat="false" ht="11.25" hidden="false" customHeight="false" outlineLevel="0" collapsed="false">
      <c r="A10" s="462" t="n">
        <v>37347</v>
      </c>
      <c r="B10" s="46"/>
      <c r="C10" s="45" t="s">
        <v>63</v>
      </c>
      <c r="D10" s="38" t="n">
        <f aca="false">+'[3]Henry Hub'!$E$14+D9</f>
        <v>3.87</v>
      </c>
      <c r="E10" s="46"/>
      <c r="F10" s="51" t="n">
        <v>-500000</v>
      </c>
      <c r="G10" s="38"/>
      <c r="H10" s="38"/>
      <c r="I10" s="75" t="n">
        <f aca="false">+F10*D10</f>
        <v>-1935000</v>
      </c>
      <c r="J10" s="41"/>
      <c r="K10" s="41" t="n">
        <f aca="false">+I10</f>
        <v>-1935000</v>
      </c>
      <c r="L10" s="492" t="n">
        <f aca="false">IF(K10=0,0,IF(A10&lt;(Summary!$K$3+365),K10,0))</f>
        <v>-1935000</v>
      </c>
    </row>
    <row r="11" customFormat="false" ht="11.25" hidden="false" customHeight="false" outlineLevel="0" collapsed="false">
      <c r="A11" s="462"/>
      <c r="B11" s="46"/>
      <c r="C11" s="45"/>
      <c r="D11" s="38"/>
      <c r="E11" s="46"/>
      <c r="F11" s="51"/>
      <c r="G11" s="46"/>
      <c r="H11" s="38"/>
      <c r="I11" s="75"/>
      <c r="J11" s="60"/>
      <c r="K11" s="41"/>
      <c r="L11" s="492"/>
    </row>
    <row r="12" customFormat="false" ht="11.25" hidden="false" customHeight="false" outlineLevel="0" collapsed="false">
      <c r="A12" s="46"/>
      <c r="B12" s="46"/>
      <c r="C12" s="46"/>
      <c r="D12" s="46"/>
      <c r="E12" s="46"/>
      <c r="F12" s="493" t="n">
        <f aca="false">SUM(F10)</f>
        <v>-500000</v>
      </c>
      <c r="G12" s="46"/>
      <c r="H12" s="46"/>
      <c r="I12" s="494" t="n">
        <f aca="false">SUM(I10)</f>
        <v>-1935000</v>
      </c>
      <c r="J12" s="494" t="n">
        <f aca="false">SUM(J10)</f>
        <v>0</v>
      </c>
      <c r="K12" s="494" t="n">
        <f aca="false">SUM(K10)</f>
        <v>-1935000</v>
      </c>
      <c r="L12" s="494" t="n">
        <f aca="false">SUM(L10)</f>
        <v>-1935000</v>
      </c>
    </row>
    <row r="13" customFormat="false" ht="11.25" hidden="false" customHeight="false" outlineLevel="0" collapsed="false">
      <c r="A13" s="46"/>
      <c r="B13" s="46"/>
      <c r="C13" s="46"/>
      <c r="D13" s="46"/>
      <c r="E13" s="46"/>
      <c r="F13" s="495"/>
      <c r="G13" s="46"/>
      <c r="H13" s="46"/>
      <c r="I13" s="82"/>
      <c r="J13" s="496"/>
      <c r="K13" s="496"/>
      <c r="L13" s="492"/>
    </row>
    <row r="14" customFormat="false" ht="11.25" hidden="false" customHeight="false" outlineLevel="0" collapsed="false">
      <c r="A14" s="462" t="n">
        <v>37347</v>
      </c>
      <c r="B14" s="46"/>
      <c r="C14" s="45" t="s">
        <v>30</v>
      </c>
      <c r="D14" s="46"/>
      <c r="E14" s="46"/>
      <c r="F14" s="497" t="n">
        <v>500000</v>
      </c>
      <c r="G14" s="161" t="n">
        <f aca="false">+[3]Demarc!$E$22</f>
        <v>3.74</v>
      </c>
      <c r="H14" s="46"/>
      <c r="I14" s="75" t="n">
        <f aca="false">+F14*G14</f>
        <v>1870000</v>
      </c>
      <c r="J14" s="60"/>
      <c r="K14" s="41" t="n">
        <f aca="false">+I14</f>
        <v>1870000</v>
      </c>
      <c r="L14" s="492" t="n">
        <f aca="false">IF(K14=0,0,IF(A14&lt;(Summary!$K$3+365),K14,0))</f>
        <v>1870000</v>
      </c>
    </row>
    <row r="15" customFormat="false" ht="11.25" hidden="false" customHeight="false" outlineLevel="0" collapsed="false">
      <c r="A15" s="46"/>
      <c r="B15" s="46"/>
      <c r="C15" s="46"/>
      <c r="D15" s="38"/>
      <c r="E15" s="46"/>
      <c r="F15" s="142"/>
      <c r="G15" s="498"/>
      <c r="H15" s="46"/>
      <c r="I15" s="142"/>
      <c r="J15" s="142"/>
      <c r="K15" s="143"/>
      <c r="L15" s="46"/>
    </row>
    <row r="16" customFormat="false" ht="11.25" hidden="false" customHeight="false" outlineLevel="0" collapsed="false">
      <c r="A16" s="462"/>
      <c r="B16" s="46"/>
      <c r="C16" s="45"/>
      <c r="D16" s="38"/>
      <c r="E16" s="46"/>
      <c r="F16" s="499" t="n">
        <f aca="false">SUM(F14:F15)</f>
        <v>500000</v>
      </c>
      <c r="G16" s="38"/>
      <c r="H16" s="46"/>
      <c r="I16" s="75" t="n">
        <f aca="false">SUM(I14:I15)</f>
        <v>1870000</v>
      </c>
      <c r="J16" s="75" t="n">
        <f aca="false">SUM(J14:J15)</f>
        <v>0</v>
      </c>
      <c r="K16" s="75" t="n">
        <f aca="false">SUM(K14:K15)</f>
        <v>1870000</v>
      </c>
      <c r="L16" s="75" t="n">
        <f aca="false">SUM(L14:L15)</f>
        <v>1870000</v>
      </c>
    </row>
    <row r="17" customFormat="false" ht="11.25" hidden="false" customHeight="false" outlineLevel="0" collapsed="false">
      <c r="A17" s="462"/>
      <c r="B17" s="46"/>
      <c r="C17" s="45"/>
      <c r="D17" s="38"/>
      <c r="E17" s="46"/>
      <c r="F17" s="51"/>
      <c r="G17" s="38"/>
      <c r="H17" s="38"/>
      <c r="I17" s="75"/>
      <c r="J17" s="41"/>
      <c r="K17" s="41"/>
      <c r="L17" s="52"/>
    </row>
    <row r="18" customFormat="false" ht="11.25" hidden="false" customHeight="false" outlineLevel="0" collapsed="false">
      <c r="A18" s="46"/>
      <c r="B18" s="46"/>
      <c r="C18" s="46"/>
      <c r="D18" s="46"/>
      <c r="E18" s="46"/>
      <c r="F18" s="46"/>
      <c r="G18" s="46"/>
      <c r="H18" s="46"/>
      <c r="I18" s="46"/>
      <c r="J18" s="60"/>
      <c r="K18" s="60"/>
      <c r="L18" s="60"/>
    </row>
    <row r="19" customFormat="false" ht="12" hidden="false" customHeight="false" outlineLevel="0" collapsed="false">
      <c r="A19" s="46"/>
      <c r="B19" s="46"/>
      <c r="C19" s="46"/>
      <c r="D19" s="46"/>
      <c r="E19" s="46"/>
      <c r="F19" s="500" t="n">
        <f aca="false">+F12+F16</f>
        <v>0</v>
      </c>
      <c r="G19" s="46"/>
      <c r="H19" s="46"/>
      <c r="I19" s="194" t="n">
        <f aca="false">+I12+I16</f>
        <v>-65000</v>
      </c>
      <c r="J19" s="194" t="n">
        <f aca="false">+J12+J16</f>
        <v>0</v>
      </c>
      <c r="K19" s="194" t="n">
        <f aca="false">+K12+K16</f>
        <v>-65000</v>
      </c>
      <c r="L19" s="194" t="n">
        <f aca="false">+L12+L16</f>
        <v>-65000</v>
      </c>
    </row>
    <row r="20" customFormat="false" ht="12" hidden="false" customHeight="false" outlineLevel="0" collapsed="false">
      <c r="A20" s="142"/>
      <c r="B20" s="142"/>
      <c r="C20" s="142"/>
      <c r="D20" s="142"/>
      <c r="E20" s="142"/>
      <c r="F20" s="142"/>
      <c r="G20" s="142"/>
      <c r="H20" s="142"/>
      <c r="I20" s="142"/>
      <c r="J20" s="143"/>
      <c r="K20" s="143"/>
      <c r="L20" s="143"/>
    </row>
    <row r="22" customFormat="false" ht="11.25" hidden="false" customHeight="false" outlineLevel="0" collapsed="false">
      <c r="A22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4" activeCellId="0" sqref="G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0.71"/>
    <col collapsed="false" customWidth="true" hidden="false" outlineLevel="0" max="3" min="3" style="1" width="10.85"/>
    <col collapsed="false" customWidth="true" hidden="false" outlineLevel="0" max="4" min="4" style="1" width="13.99"/>
    <col collapsed="false" customWidth="true" hidden="true" outlineLevel="0" max="5" min="5" style="1" width="9.06"/>
    <col collapsed="false" customWidth="true" hidden="false" outlineLevel="0" max="6" min="6" style="1" width="11.42"/>
    <col collapsed="false" customWidth="true" hidden="false" outlineLevel="0" max="7" min="7" style="1" width="14.41"/>
    <col collapsed="false" customWidth="true" hidden="false" outlineLevel="0" max="8" min="8" style="1" width="10.71"/>
    <col collapsed="false" customWidth="true" hidden="false" outlineLevel="0" max="9" min="9" style="1" width="16.13"/>
    <col collapsed="false" customWidth="true" hidden="false" outlineLevel="0" max="10" min="10" style="1" width="10.56"/>
    <col collapsed="false" customWidth="true" hidden="false" outlineLevel="0" max="11" min="11" style="1" width="16.13"/>
    <col collapsed="false" customWidth="true" hidden="false" outlineLevel="0" max="12" min="12" style="1" width="17.28"/>
    <col collapsed="false" customWidth="false" hidden="false" outlineLevel="0" max="257" min="13" style="1" width="9.14"/>
  </cols>
  <sheetData>
    <row r="1" customFormat="false" ht="10.5" hidden="false" customHeight="false" outlineLevel="0" collapsed="false">
      <c r="A1" s="152" t="s">
        <v>182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152" t="s">
        <v>186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152" t="s">
        <v>208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443"/>
      <c r="CP3" s="443"/>
      <c r="CQ3" s="443"/>
      <c r="CR3" s="443"/>
      <c r="CS3" s="443"/>
      <c r="CT3" s="443"/>
      <c r="CU3" s="443"/>
      <c r="CV3" s="443"/>
      <c r="CW3" s="443"/>
      <c r="CX3" s="443"/>
      <c r="CY3" s="443"/>
      <c r="CZ3" s="443"/>
      <c r="DA3" s="443"/>
      <c r="DB3" s="443"/>
      <c r="DC3" s="443"/>
      <c r="DD3" s="443"/>
      <c r="DE3" s="443"/>
      <c r="DF3" s="443"/>
      <c r="DG3" s="443"/>
      <c r="DH3" s="443"/>
      <c r="DI3" s="443"/>
      <c r="DJ3" s="443"/>
      <c r="DK3" s="443"/>
      <c r="DL3" s="443"/>
      <c r="DM3" s="443"/>
      <c r="DN3" s="443"/>
      <c r="DO3" s="443"/>
      <c r="DP3" s="443"/>
      <c r="DQ3" s="443"/>
      <c r="DR3" s="443"/>
      <c r="DS3" s="443"/>
      <c r="DT3" s="443"/>
      <c r="DU3" s="443"/>
      <c r="DV3" s="443"/>
      <c r="DW3" s="443"/>
      <c r="DX3" s="443"/>
      <c r="DY3" s="443"/>
      <c r="DZ3" s="443"/>
      <c r="EA3" s="443"/>
      <c r="EB3" s="443"/>
      <c r="EC3" s="443"/>
      <c r="ED3" s="443"/>
      <c r="EE3" s="443"/>
      <c r="EF3" s="443"/>
      <c r="EG3" s="443"/>
      <c r="EH3" s="443"/>
      <c r="EI3" s="443"/>
      <c r="EJ3" s="443"/>
      <c r="EK3" s="443"/>
      <c r="EL3" s="443"/>
      <c r="EM3" s="443"/>
      <c r="EN3" s="443"/>
      <c r="EO3" s="443"/>
      <c r="EP3" s="443"/>
      <c r="EQ3" s="443"/>
      <c r="ER3" s="443"/>
      <c r="ES3" s="443"/>
      <c r="ET3" s="443"/>
      <c r="EU3" s="443"/>
      <c r="EV3" s="443"/>
      <c r="EW3" s="443"/>
      <c r="EX3" s="443"/>
      <c r="EY3" s="443"/>
      <c r="EZ3" s="443"/>
      <c r="FA3" s="443"/>
      <c r="FB3" s="443"/>
      <c r="FC3" s="443"/>
      <c r="FD3" s="443"/>
      <c r="FE3" s="443"/>
      <c r="FF3" s="443"/>
      <c r="FG3" s="443"/>
      <c r="FH3" s="443"/>
      <c r="FI3" s="443"/>
      <c r="FJ3" s="443"/>
      <c r="FK3" s="443"/>
      <c r="FL3" s="443"/>
      <c r="FM3" s="443"/>
      <c r="FN3" s="443"/>
      <c r="FO3" s="443"/>
      <c r="FP3" s="443"/>
      <c r="FQ3" s="443"/>
      <c r="FR3" s="443"/>
      <c r="FS3" s="443"/>
      <c r="FT3" s="443"/>
      <c r="FU3" s="443"/>
      <c r="FV3" s="443"/>
      <c r="FW3" s="443"/>
      <c r="FX3" s="443"/>
      <c r="FY3" s="443"/>
      <c r="FZ3" s="443"/>
      <c r="GA3" s="443"/>
      <c r="GB3" s="443"/>
      <c r="GC3" s="443"/>
      <c r="GD3" s="443"/>
      <c r="GE3" s="443"/>
      <c r="GF3" s="443"/>
      <c r="GG3" s="443"/>
      <c r="GH3" s="443"/>
      <c r="GI3" s="443"/>
      <c r="GJ3" s="443"/>
      <c r="GK3" s="443"/>
      <c r="GL3" s="443"/>
      <c r="GM3" s="443"/>
      <c r="GN3" s="443"/>
      <c r="GO3" s="443"/>
      <c r="GP3" s="443"/>
      <c r="GQ3" s="443"/>
      <c r="GR3" s="443"/>
      <c r="GS3" s="443"/>
      <c r="GT3" s="443"/>
      <c r="GU3" s="443"/>
      <c r="GV3" s="443"/>
      <c r="GW3" s="443"/>
      <c r="GX3" s="443"/>
      <c r="GY3" s="443"/>
      <c r="GZ3" s="443"/>
      <c r="HA3" s="443"/>
      <c r="HB3" s="443"/>
      <c r="HC3" s="443"/>
      <c r="HD3" s="443"/>
      <c r="HE3" s="443"/>
      <c r="HF3" s="443"/>
      <c r="HG3" s="443"/>
      <c r="HH3" s="443"/>
      <c r="HI3" s="443"/>
      <c r="HJ3" s="443"/>
      <c r="HK3" s="443"/>
      <c r="HL3" s="443"/>
      <c r="HM3" s="443"/>
      <c r="HN3" s="443"/>
      <c r="HO3" s="443"/>
      <c r="HP3" s="443"/>
      <c r="HQ3" s="443"/>
      <c r="HR3" s="443"/>
      <c r="HS3" s="443"/>
      <c r="HT3" s="443"/>
      <c r="HU3" s="443"/>
      <c r="HV3" s="443"/>
      <c r="HW3" s="443"/>
      <c r="HX3" s="443"/>
      <c r="HY3" s="443"/>
      <c r="HZ3" s="443"/>
      <c r="IA3" s="443"/>
      <c r="IB3" s="443"/>
      <c r="IC3" s="443"/>
      <c r="ID3" s="443"/>
      <c r="IE3" s="443"/>
      <c r="IF3" s="443"/>
      <c r="IG3" s="443"/>
      <c r="IH3" s="443"/>
      <c r="II3" s="443"/>
      <c r="IJ3" s="443"/>
      <c r="IK3" s="443"/>
      <c r="IL3" s="443"/>
      <c r="IM3" s="443"/>
      <c r="IN3" s="443"/>
      <c r="IO3" s="443"/>
      <c r="IP3" s="443"/>
      <c r="IQ3" s="443"/>
      <c r="IR3" s="443"/>
      <c r="IS3" s="443"/>
      <c r="IT3" s="443"/>
      <c r="IU3" s="443"/>
      <c r="IV3" s="443"/>
      <c r="IW3" s="443"/>
    </row>
    <row r="4" customFormat="false" ht="11.25" hidden="false" customHeight="false" outlineLevel="0" collapsed="false">
      <c r="A4" s="5" t="s">
        <v>209</v>
      </c>
      <c r="B4" s="5"/>
      <c r="C4" s="5"/>
      <c r="D4" s="5"/>
      <c r="E4" s="5"/>
      <c r="F4" s="5"/>
      <c r="G4" s="5"/>
      <c r="H4" s="5"/>
      <c r="I4" s="5"/>
      <c r="J4" s="5"/>
      <c r="K4" s="5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443"/>
      <c r="BA4" s="443"/>
      <c r="BB4" s="443"/>
      <c r="BC4" s="443"/>
      <c r="BD4" s="443"/>
      <c r="BE4" s="443"/>
      <c r="BF4" s="443"/>
      <c r="BG4" s="443"/>
      <c r="BH4" s="443"/>
      <c r="BI4" s="443"/>
      <c r="BJ4" s="443"/>
      <c r="BK4" s="443"/>
      <c r="BL4" s="443"/>
      <c r="BM4" s="443"/>
      <c r="BN4" s="443"/>
      <c r="BO4" s="443"/>
      <c r="BP4" s="443"/>
      <c r="BQ4" s="443"/>
      <c r="BR4" s="443"/>
      <c r="BS4" s="443"/>
      <c r="BT4" s="443"/>
      <c r="BU4" s="443"/>
      <c r="BV4" s="443"/>
      <c r="BW4" s="443"/>
      <c r="BX4" s="443"/>
      <c r="BY4" s="443"/>
      <c r="BZ4" s="443"/>
      <c r="CA4" s="443"/>
      <c r="CB4" s="443"/>
      <c r="CC4" s="443"/>
      <c r="CD4" s="443"/>
      <c r="CE4" s="443"/>
      <c r="CF4" s="443"/>
      <c r="CG4" s="443"/>
      <c r="CH4" s="443"/>
      <c r="CI4" s="443"/>
      <c r="CJ4" s="443"/>
      <c r="CK4" s="443"/>
      <c r="CL4" s="443"/>
      <c r="CM4" s="443"/>
      <c r="CN4" s="443"/>
      <c r="CO4" s="443"/>
      <c r="CP4" s="443"/>
      <c r="CQ4" s="443"/>
      <c r="CR4" s="443"/>
      <c r="CS4" s="443"/>
      <c r="CT4" s="443"/>
      <c r="CU4" s="443"/>
      <c r="CV4" s="443"/>
      <c r="CW4" s="443"/>
      <c r="CX4" s="443"/>
      <c r="CY4" s="443"/>
      <c r="CZ4" s="443"/>
      <c r="DA4" s="443"/>
      <c r="DB4" s="443"/>
      <c r="DC4" s="443"/>
      <c r="DD4" s="443"/>
      <c r="DE4" s="443"/>
      <c r="DF4" s="443"/>
      <c r="DG4" s="443"/>
      <c r="DH4" s="443"/>
      <c r="DI4" s="443"/>
      <c r="DJ4" s="443"/>
      <c r="DK4" s="443"/>
      <c r="DL4" s="443"/>
      <c r="DM4" s="443"/>
      <c r="DN4" s="443"/>
      <c r="DO4" s="443"/>
      <c r="DP4" s="443"/>
      <c r="DQ4" s="443"/>
      <c r="DR4" s="443"/>
      <c r="DS4" s="443"/>
      <c r="DT4" s="443"/>
      <c r="DU4" s="443"/>
      <c r="DV4" s="443"/>
      <c r="DW4" s="443"/>
      <c r="DX4" s="443"/>
      <c r="DY4" s="443"/>
      <c r="DZ4" s="443"/>
      <c r="EA4" s="443"/>
      <c r="EB4" s="443"/>
      <c r="EC4" s="443"/>
      <c r="ED4" s="443"/>
      <c r="EE4" s="443"/>
      <c r="EF4" s="443"/>
      <c r="EG4" s="443"/>
      <c r="EH4" s="443"/>
      <c r="EI4" s="443"/>
      <c r="EJ4" s="443"/>
      <c r="EK4" s="443"/>
      <c r="EL4" s="443"/>
      <c r="EM4" s="443"/>
      <c r="EN4" s="443"/>
      <c r="EO4" s="443"/>
      <c r="EP4" s="443"/>
      <c r="EQ4" s="443"/>
      <c r="ER4" s="443"/>
      <c r="ES4" s="443"/>
      <c r="ET4" s="443"/>
      <c r="EU4" s="443"/>
      <c r="EV4" s="443"/>
      <c r="EW4" s="443"/>
      <c r="EX4" s="443"/>
      <c r="EY4" s="443"/>
      <c r="EZ4" s="443"/>
      <c r="FA4" s="443"/>
      <c r="FB4" s="443"/>
      <c r="FC4" s="443"/>
      <c r="FD4" s="443"/>
      <c r="FE4" s="443"/>
      <c r="FF4" s="443"/>
      <c r="FG4" s="443"/>
      <c r="FH4" s="443"/>
      <c r="FI4" s="443"/>
      <c r="FJ4" s="443"/>
      <c r="FK4" s="443"/>
      <c r="FL4" s="443"/>
      <c r="FM4" s="443"/>
      <c r="FN4" s="443"/>
      <c r="FO4" s="443"/>
      <c r="FP4" s="443"/>
      <c r="FQ4" s="443"/>
      <c r="FR4" s="443"/>
      <c r="FS4" s="443"/>
      <c r="FT4" s="443"/>
      <c r="FU4" s="443"/>
      <c r="FV4" s="443"/>
      <c r="FW4" s="443"/>
      <c r="FX4" s="443"/>
      <c r="FY4" s="443"/>
      <c r="FZ4" s="443"/>
      <c r="GA4" s="443"/>
      <c r="GB4" s="443"/>
      <c r="GC4" s="443"/>
      <c r="GD4" s="443"/>
      <c r="GE4" s="443"/>
      <c r="GF4" s="443"/>
      <c r="GG4" s="443"/>
      <c r="GH4" s="443"/>
      <c r="GI4" s="443"/>
      <c r="GJ4" s="443"/>
      <c r="GK4" s="443"/>
      <c r="GL4" s="443"/>
      <c r="GM4" s="443"/>
      <c r="GN4" s="443"/>
      <c r="GO4" s="443"/>
      <c r="GP4" s="443"/>
      <c r="GQ4" s="443"/>
      <c r="GR4" s="443"/>
      <c r="GS4" s="443"/>
      <c r="GT4" s="443"/>
      <c r="GU4" s="443"/>
      <c r="GV4" s="443"/>
      <c r="GW4" s="443"/>
      <c r="GX4" s="443"/>
      <c r="GY4" s="443"/>
      <c r="GZ4" s="443"/>
      <c r="HA4" s="443"/>
      <c r="HB4" s="443"/>
      <c r="HC4" s="443"/>
      <c r="HD4" s="443"/>
      <c r="HE4" s="443"/>
      <c r="HF4" s="443"/>
      <c r="HG4" s="443"/>
      <c r="HH4" s="443"/>
      <c r="HI4" s="443"/>
      <c r="HJ4" s="443"/>
      <c r="HK4" s="443"/>
      <c r="HL4" s="443"/>
      <c r="HM4" s="443"/>
      <c r="HN4" s="443"/>
      <c r="HO4" s="443"/>
      <c r="HP4" s="443"/>
      <c r="HQ4" s="443"/>
      <c r="HR4" s="443"/>
      <c r="HS4" s="443"/>
      <c r="HT4" s="443"/>
      <c r="HU4" s="443"/>
      <c r="HV4" s="443"/>
      <c r="HW4" s="443"/>
      <c r="HX4" s="443"/>
      <c r="HY4" s="443"/>
      <c r="HZ4" s="443"/>
      <c r="IA4" s="443"/>
      <c r="IB4" s="443"/>
      <c r="IC4" s="443"/>
      <c r="ID4" s="443"/>
      <c r="IE4" s="443"/>
      <c r="IF4" s="443"/>
      <c r="IG4" s="443"/>
      <c r="IH4" s="443"/>
      <c r="II4" s="443"/>
      <c r="IJ4" s="443"/>
      <c r="IK4" s="443"/>
      <c r="IL4" s="443"/>
      <c r="IM4" s="443"/>
      <c r="IN4" s="443"/>
      <c r="IO4" s="443"/>
      <c r="IP4" s="443"/>
      <c r="IQ4" s="443"/>
      <c r="IR4" s="443"/>
      <c r="IS4" s="443"/>
      <c r="IT4" s="443"/>
      <c r="IU4" s="443"/>
      <c r="IV4" s="443"/>
      <c r="IW4" s="443"/>
    </row>
    <row r="6" customFormat="false" ht="11.25" hidden="false" customHeight="false" outlineLevel="0" collapsed="false">
      <c r="A6" s="465" t="s">
        <v>138</v>
      </c>
      <c r="B6" s="466" t="s">
        <v>5</v>
      </c>
      <c r="C6" s="466" t="s">
        <v>5</v>
      </c>
      <c r="D6" s="466" t="s">
        <v>30</v>
      </c>
      <c r="E6" s="466"/>
      <c r="F6" s="466" t="s">
        <v>190</v>
      </c>
      <c r="G6" s="466" t="s">
        <v>63</v>
      </c>
      <c r="H6" s="466"/>
      <c r="I6" s="467" t="s">
        <v>140</v>
      </c>
      <c r="J6" s="467"/>
      <c r="K6" s="46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1.25" hidden="false" customHeight="false" outlineLevel="0" collapsed="false">
      <c r="A7" s="468" t="s">
        <v>15</v>
      </c>
      <c r="B7" s="453" t="s">
        <v>12</v>
      </c>
      <c r="C7" s="453" t="s">
        <v>11</v>
      </c>
      <c r="D7" s="453" t="s">
        <v>191</v>
      </c>
      <c r="E7" s="453"/>
      <c r="F7" s="453" t="s">
        <v>192</v>
      </c>
      <c r="G7" s="453" t="s">
        <v>193</v>
      </c>
      <c r="H7" s="453"/>
      <c r="I7" s="453" t="s">
        <v>23</v>
      </c>
      <c r="J7" s="453" t="s">
        <v>24</v>
      </c>
      <c r="K7" s="454" t="s">
        <v>25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1.25" hidden="false" customHeight="false" outlineLevel="0" collapsed="false">
      <c r="A8" s="450"/>
      <c r="B8" s="451"/>
      <c r="C8" s="451"/>
      <c r="D8" s="453" t="s">
        <v>206</v>
      </c>
      <c r="E8" s="451"/>
      <c r="F8" s="451"/>
      <c r="G8" s="469" t="s">
        <v>207</v>
      </c>
      <c r="H8" s="453"/>
      <c r="I8" s="453" t="s">
        <v>145</v>
      </c>
      <c r="J8" s="453" t="s">
        <v>145</v>
      </c>
      <c r="K8" s="454" t="s">
        <v>145</v>
      </c>
    </row>
    <row r="9" customFormat="false" ht="12.75" hidden="false" customHeight="false" outlineLevel="0" collapsed="false">
      <c r="A9" s="455"/>
      <c r="B9" s="456"/>
      <c r="C9" s="456"/>
      <c r="D9" s="470" t="n">
        <v>0.01</v>
      </c>
      <c r="E9" s="456"/>
      <c r="F9" s="456"/>
      <c r="G9" s="471"/>
      <c r="H9" s="460"/>
      <c r="I9" s="460"/>
      <c r="J9" s="460"/>
      <c r="K9" s="461"/>
      <c r="L9" s="357" t="s">
        <v>146</v>
      </c>
    </row>
    <row r="10" customFormat="false" ht="11.25" hidden="false" customHeight="false" outlineLevel="0" collapsed="false">
      <c r="A10" s="462" t="n">
        <v>37347</v>
      </c>
      <c r="B10" s="46"/>
      <c r="C10" s="45" t="s">
        <v>63</v>
      </c>
      <c r="D10" s="38" t="n">
        <f aca="false">+'[3]Henry Hub'!$E$14+D9</f>
        <v>3.82</v>
      </c>
      <c r="E10" s="46"/>
      <c r="F10" s="51" t="n">
        <v>500000</v>
      </c>
      <c r="G10" s="38"/>
      <c r="H10" s="38"/>
      <c r="I10" s="75" t="n">
        <f aca="false">+F10*D10</f>
        <v>1910000</v>
      </c>
      <c r="J10" s="41"/>
      <c r="K10" s="41" t="n">
        <f aca="false">+I10</f>
        <v>1910000</v>
      </c>
      <c r="L10" s="41" t="n">
        <f aca="false">IF(K10=0,0,IF(A10&lt;(Summary!$K$3+365),K10,0))</f>
        <v>1910000</v>
      </c>
    </row>
    <row r="11" customFormat="false" ht="11.25" hidden="false" customHeight="false" outlineLevel="0" collapsed="false">
      <c r="A11" s="462"/>
      <c r="B11" s="46"/>
      <c r="C11" s="45"/>
      <c r="D11" s="38"/>
      <c r="E11" s="46"/>
      <c r="F11" s="51"/>
      <c r="G11" s="46"/>
      <c r="H11" s="38"/>
      <c r="I11" s="75"/>
      <c r="J11" s="60"/>
      <c r="K11" s="41"/>
      <c r="L11" s="41"/>
    </row>
    <row r="12" customFormat="false" ht="11.25" hidden="false" customHeight="false" outlineLevel="0" collapsed="false">
      <c r="A12" s="46"/>
      <c r="B12" s="46"/>
      <c r="C12" s="46"/>
      <c r="D12" s="46"/>
      <c r="E12" s="46"/>
      <c r="F12" s="493" t="n">
        <f aca="false">SUM(F10)</f>
        <v>500000</v>
      </c>
      <c r="G12" s="46"/>
      <c r="H12" s="46"/>
      <c r="I12" s="494" t="n">
        <f aca="false">SUM(I10)</f>
        <v>1910000</v>
      </c>
      <c r="J12" s="494" t="n">
        <f aca="false">SUM(J10)</f>
        <v>0</v>
      </c>
      <c r="K12" s="494" t="n">
        <f aca="false">SUM(K10)</f>
        <v>1910000</v>
      </c>
      <c r="L12" s="494" t="n">
        <f aca="false">SUM(L10)</f>
        <v>1910000</v>
      </c>
    </row>
    <row r="13" customFormat="false" ht="11.25" hidden="false" customHeight="false" outlineLevel="0" collapsed="false">
      <c r="A13" s="46"/>
      <c r="B13" s="46"/>
      <c r="C13" s="46"/>
      <c r="D13" s="46"/>
      <c r="E13" s="46"/>
      <c r="F13" s="495"/>
      <c r="G13" s="46"/>
      <c r="H13" s="46"/>
      <c r="I13" s="82"/>
      <c r="J13" s="496"/>
      <c r="K13" s="496"/>
      <c r="L13" s="496"/>
    </row>
    <row r="14" customFormat="false" ht="11.25" hidden="false" customHeight="false" outlineLevel="0" collapsed="false">
      <c r="A14" s="462" t="n">
        <v>37347</v>
      </c>
      <c r="B14" s="46"/>
      <c r="C14" s="45" t="s">
        <v>30</v>
      </c>
      <c r="D14" s="46"/>
      <c r="E14" s="46"/>
      <c r="F14" s="497" t="n">
        <v>-500000</v>
      </c>
      <c r="G14" s="161" t="n">
        <f aca="false">+[3]Demarc!$E$22</f>
        <v>3.74</v>
      </c>
      <c r="H14" s="46"/>
      <c r="I14" s="75" t="n">
        <f aca="false">+F14*G14</f>
        <v>-1870000</v>
      </c>
      <c r="J14" s="60"/>
      <c r="K14" s="41" t="n">
        <f aca="false">+I14</f>
        <v>-1870000</v>
      </c>
      <c r="L14" s="41" t="n">
        <f aca="false">IF(K14=0,0,IF(A14&lt;(Summary!$K$3+365),K14,0))</f>
        <v>-1870000</v>
      </c>
    </row>
    <row r="15" customFormat="false" ht="11.25" hidden="false" customHeight="false" outlineLevel="0" collapsed="false">
      <c r="A15" s="46"/>
      <c r="B15" s="46"/>
      <c r="C15" s="46"/>
      <c r="D15" s="38"/>
      <c r="E15" s="46"/>
      <c r="F15" s="142"/>
      <c r="G15" s="498"/>
      <c r="H15" s="46"/>
      <c r="I15" s="142"/>
      <c r="J15" s="142"/>
      <c r="K15" s="143"/>
      <c r="L15" s="143"/>
    </row>
    <row r="16" customFormat="false" ht="11.25" hidden="false" customHeight="false" outlineLevel="0" collapsed="false">
      <c r="A16" s="462"/>
      <c r="B16" s="46"/>
      <c r="C16" s="45"/>
      <c r="D16" s="38"/>
      <c r="E16" s="46"/>
      <c r="F16" s="499" t="n">
        <f aca="false">SUM(F14:F15)</f>
        <v>-500000</v>
      </c>
      <c r="G16" s="38"/>
      <c r="H16" s="46"/>
      <c r="I16" s="75" t="n">
        <f aca="false">SUM(I14:I15)</f>
        <v>-1870000</v>
      </c>
      <c r="J16" s="75" t="n">
        <f aca="false">SUM(J14:J15)</f>
        <v>0</v>
      </c>
      <c r="K16" s="75" t="n">
        <f aca="false">SUM(K14:K15)</f>
        <v>-1870000</v>
      </c>
      <c r="L16" s="75" t="n">
        <f aca="false">SUM(L14:L15)</f>
        <v>-1870000</v>
      </c>
    </row>
    <row r="17" customFormat="false" ht="11.25" hidden="false" customHeight="false" outlineLevel="0" collapsed="false">
      <c r="A17" s="462"/>
      <c r="B17" s="46"/>
      <c r="C17" s="45"/>
      <c r="D17" s="38"/>
      <c r="E17" s="46"/>
      <c r="F17" s="51"/>
      <c r="G17" s="38"/>
      <c r="H17" s="38"/>
      <c r="I17" s="75"/>
      <c r="J17" s="41"/>
      <c r="K17" s="41"/>
      <c r="L17" s="41"/>
    </row>
    <row r="18" customFormat="false" ht="11.25" hidden="false" customHeight="false" outlineLevel="0" collapsed="false">
      <c r="A18" s="46"/>
      <c r="B18" s="46"/>
      <c r="C18" s="46"/>
      <c r="D18" s="46"/>
      <c r="E18" s="46"/>
      <c r="F18" s="46"/>
      <c r="G18" s="46"/>
      <c r="H18" s="46"/>
      <c r="I18" s="46"/>
      <c r="J18" s="60"/>
      <c r="K18" s="60"/>
      <c r="L18" s="60"/>
    </row>
    <row r="19" customFormat="false" ht="12" hidden="false" customHeight="false" outlineLevel="0" collapsed="false">
      <c r="A19" s="46"/>
      <c r="B19" s="46"/>
      <c r="C19" s="46"/>
      <c r="D19" s="46"/>
      <c r="E19" s="46"/>
      <c r="F19" s="500" t="n">
        <f aca="false">+F12+F16</f>
        <v>0</v>
      </c>
      <c r="G19" s="46"/>
      <c r="H19" s="46"/>
      <c r="I19" s="194" t="n">
        <f aca="false">+I12+I16</f>
        <v>40000</v>
      </c>
      <c r="J19" s="194" t="n">
        <f aca="false">+J12+J16</f>
        <v>0</v>
      </c>
      <c r="K19" s="194" t="n">
        <f aca="false">+K12+K16</f>
        <v>40000</v>
      </c>
      <c r="L19" s="194" t="n">
        <f aca="false">+L12+L16</f>
        <v>40000</v>
      </c>
    </row>
    <row r="20" customFormat="false" ht="12" hidden="false" customHeight="false" outlineLevel="0" collapsed="false">
      <c r="A20" s="142"/>
      <c r="B20" s="142"/>
      <c r="C20" s="142"/>
      <c r="D20" s="142"/>
      <c r="E20" s="142"/>
      <c r="F20" s="142"/>
      <c r="G20" s="142"/>
      <c r="H20" s="142"/>
      <c r="I20" s="142"/>
      <c r="J20" s="143"/>
      <c r="K20" s="143"/>
      <c r="L20" s="143"/>
    </row>
    <row r="22" customFormat="false" ht="11.25" hidden="false" customHeight="false" outlineLevel="0" collapsed="false">
      <c r="A22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0.71"/>
    <col collapsed="false" customWidth="true" hidden="false" outlineLevel="0" max="3" min="3" style="0" width="10.28"/>
    <col collapsed="false" customWidth="true" hidden="false" outlineLevel="0" max="4" min="4" style="0" width="12.56"/>
    <col collapsed="false" customWidth="false" hidden="true" outlineLevel="0" max="5" min="5" style="0" width="9.06"/>
    <col collapsed="false" customWidth="true" hidden="false" outlineLevel="0" max="6" min="6" style="0" width="10.28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210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52</v>
      </c>
      <c r="E6" s="385"/>
      <c r="F6" s="385"/>
      <c r="G6" s="385"/>
      <c r="H6" s="385" t="s">
        <v>211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194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/>
      <c r="E8" s="415"/>
      <c r="F8" s="415"/>
      <c r="G8" s="416"/>
      <c r="H8" s="388" t="s">
        <v>212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/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37257</v>
      </c>
      <c r="B10" s="359"/>
      <c r="C10" s="360" t="s">
        <v>44</v>
      </c>
      <c r="D10" s="361" t="n">
        <v>4.47</v>
      </c>
      <c r="E10" s="359"/>
      <c r="F10" s="395" t="n">
        <f aca="false">5000*31</f>
        <v>155000</v>
      </c>
      <c r="G10" s="361"/>
      <c r="H10" s="361" t="n">
        <f aca="false">[3]NYMEX!$C15</f>
        <v>4.441</v>
      </c>
      <c r="I10" s="396" t="n">
        <f aca="false">(-D10+H10)*F10</f>
        <v>-4494.99999999999</v>
      </c>
      <c r="J10" s="397"/>
      <c r="K10" s="397" t="n">
        <f aca="false">+I10</f>
        <v>-4494.99999999999</v>
      </c>
      <c r="L10" s="366" t="n">
        <f aca="false">IF(K10=0,0,IF(A10&lt;(Summary!$K$3+365),K10,0))</f>
        <v>-4494.99999999999</v>
      </c>
    </row>
    <row r="11" customFormat="false" ht="12.75" hidden="false" customHeight="false" outlineLevel="0" collapsed="false">
      <c r="A11" s="358" t="n">
        <v>37288</v>
      </c>
      <c r="B11" s="359"/>
      <c r="C11" s="360" t="s">
        <v>44</v>
      </c>
      <c r="D11" s="361" t="n">
        <v>4.47</v>
      </c>
      <c r="E11" s="359"/>
      <c r="F11" s="395" t="n">
        <f aca="false">5000*28</f>
        <v>140000</v>
      </c>
      <c r="G11" s="361"/>
      <c r="H11" s="361" t="n">
        <f aca="false">[3]NYMEX!$C16</f>
        <v>4.324</v>
      </c>
      <c r="I11" s="396" t="n">
        <f aca="false">+F11*(+H11-D11)</f>
        <v>-20440</v>
      </c>
      <c r="J11" s="397"/>
      <c r="K11" s="397" t="n">
        <f aca="false">+I11</f>
        <v>-20440</v>
      </c>
      <c r="L11" s="366" t="n">
        <f aca="false">IF(K11=0,0,IF(A11&lt;(Summary!$K$3+365),K11,0))</f>
        <v>-20440</v>
      </c>
    </row>
    <row r="12" customFormat="false" ht="12.75" hidden="false" customHeight="false" outlineLevel="0" collapsed="false">
      <c r="A12" s="358" t="n">
        <v>37316</v>
      </c>
      <c r="B12" s="359"/>
      <c r="C12" s="360" t="s">
        <v>44</v>
      </c>
      <c r="D12" s="361" t="n">
        <v>4.47</v>
      </c>
      <c r="E12" s="359"/>
      <c r="F12" s="395" t="n">
        <f aca="false">5000*31</f>
        <v>155000</v>
      </c>
      <c r="G12" s="359"/>
      <c r="H12" s="361" t="n">
        <f aca="false">[3]NYMEX!$C17</f>
        <v>4.155</v>
      </c>
      <c r="I12" s="396" t="n">
        <f aca="false">+F12*(+H12-D12)</f>
        <v>-48824.9999999999</v>
      </c>
      <c r="J12" s="429"/>
      <c r="K12" s="397" t="n">
        <f aca="false">+I12</f>
        <v>-48824.9999999999</v>
      </c>
      <c r="L12" s="366" t="n">
        <f aca="false">IF(K12=0,0,IF(A12&lt;(Summary!$K$3+365),K12,0))</f>
        <v>-48824.9999999999</v>
      </c>
    </row>
    <row r="13" customFormat="false" ht="12.75" hidden="false" customHeight="false" outlineLevel="0" collapsed="false">
      <c r="A13" s="358" t="n">
        <v>37347</v>
      </c>
      <c r="B13" s="359"/>
      <c r="C13" s="360" t="s">
        <v>44</v>
      </c>
      <c r="D13" s="361" t="n">
        <v>4.47</v>
      </c>
      <c r="E13" s="359"/>
      <c r="F13" s="395" t="n">
        <f aca="false">5000*30</f>
        <v>150000</v>
      </c>
      <c r="G13" s="359"/>
      <c r="H13" s="361" t="n">
        <f aca="false">[3]NYMEX!$C18</f>
        <v>3.81</v>
      </c>
      <c r="I13" s="396" t="n">
        <f aca="false">+F13*(+H13-D13)</f>
        <v>-99000</v>
      </c>
      <c r="J13" s="359"/>
      <c r="K13" s="397" t="n">
        <f aca="false">+I13</f>
        <v>-99000</v>
      </c>
      <c r="L13" s="366" t="n">
        <f aca="false">IF(K13=0,0,IF(A13&lt;(Summary!$K$3+365),K13,0))</f>
        <v>-99000</v>
      </c>
    </row>
    <row r="14" customFormat="false" ht="12.75" hidden="false" customHeight="false" outlineLevel="0" collapsed="false">
      <c r="A14" s="358" t="n">
        <v>37377</v>
      </c>
      <c r="B14" s="359"/>
      <c r="C14" s="360" t="s">
        <v>44</v>
      </c>
      <c r="D14" s="361" t="n">
        <v>4.47</v>
      </c>
      <c r="E14" s="359"/>
      <c r="F14" s="395" t="n">
        <f aca="false">5000*31</f>
        <v>155000</v>
      </c>
      <c r="G14" s="359"/>
      <c r="H14" s="361" t="n">
        <f aca="false">[3]NYMEX!$C19</f>
        <v>3.735</v>
      </c>
      <c r="I14" s="396" t="n">
        <f aca="false">+F14*(+H14-D14)</f>
        <v>-113925</v>
      </c>
      <c r="J14" s="359"/>
      <c r="K14" s="397" t="n">
        <f aca="false">+I14</f>
        <v>-113925</v>
      </c>
      <c r="L14" s="366" t="n">
        <f aca="false">IF(K14=0,0,IF(A14&lt;(Summary!$K$3+365),K14,0))</f>
        <v>-113925</v>
      </c>
    </row>
    <row r="15" customFormat="false" ht="12.75" hidden="false" customHeight="false" outlineLevel="0" collapsed="false">
      <c r="A15" s="358" t="n">
        <v>37408</v>
      </c>
      <c r="B15" s="359"/>
      <c r="C15" s="360" t="s">
        <v>44</v>
      </c>
      <c r="D15" s="361" t="n">
        <v>4.47</v>
      </c>
      <c r="E15" s="359"/>
      <c r="F15" s="395" t="n">
        <f aca="false">5000*30</f>
        <v>150000</v>
      </c>
      <c r="G15" s="359"/>
      <c r="H15" s="361" t="n">
        <f aca="false">[3]NYMEX!$C20</f>
        <v>3.78</v>
      </c>
      <c r="I15" s="396" t="n">
        <f aca="false">+F15*(+H15-D15)</f>
        <v>-103500</v>
      </c>
      <c r="J15" s="359"/>
      <c r="K15" s="397" t="n">
        <f aca="false">+I15</f>
        <v>-103500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37438</v>
      </c>
      <c r="B16" s="359"/>
      <c r="C16" s="360" t="s">
        <v>44</v>
      </c>
      <c r="D16" s="361" t="n">
        <v>4.47</v>
      </c>
      <c r="E16" s="359"/>
      <c r="F16" s="395" t="n">
        <f aca="false">5000*31</f>
        <v>155000</v>
      </c>
      <c r="G16" s="359"/>
      <c r="H16" s="361" t="n">
        <f aca="false">[3]NYMEX!$C21</f>
        <v>3.815</v>
      </c>
      <c r="I16" s="396" t="n">
        <f aca="false">+F16*(+H16-D16)</f>
        <v>-101525</v>
      </c>
      <c r="J16" s="359"/>
      <c r="K16" s="397" t="n">
        <f aca="false">+I16</f>
        <v>-101525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37469</v>
      </c>
      <c r="B17" s="359"/>
      <c r="C17" s="360" t="s">
        <v>44</v>
      </c>
      <c r="D17" s="361" t="n">
        <v>4.47</v>
      </c>
      <c r="E17" s="359"/>
      <c r="F17" s="395" t="n">
        <f aca="false">5000*31</f>
        <v>155000</v>
      </c>
      <c r="G17" s="359"/>
      <c r="H17" s="361" t="n">
        <f aca="false">[3]NYMEX!$C22</f>
        <v>3.835</v>
      </c>
      <c r="I17" s="396" t="n">
        <f aca="false">+F17*(+H17-D17)</f>
        <v>-98425</v>
      </c>
      <c r="J17" s="359"/>
      <c r="K17" s="397" t="n">
        <f aca="false">+I17</f>
        <v>-98425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37500</v>
      </c>
      <c r="B18" s="359"/>
      <c r="C18" s="360" t="s">
        <v>44</v>
      </c>
      <c r="D18" s="361" t="n">
        <v>4.47</v>
      </c>
      <c r="E18" s="359"/>
      <c r="F18" s="395" t="n">
        <f aca="false">5000*30</f>
        <v>150000</v>
      </c>
      <c r="G18" s="359"/>
      <c r="H18" s="361" t="n">
        <f aca="false">[3]NYMEX!$C23</f>
        <v>3.852</v>
      </c>
      <c r="I18" s="396" t="n">
        <f aca="false">+F18*(+H18-D18)</f>
        <v>-92700</v>
      </c>
      <c r="J18" s="359"/>
      <c r="K18" s="397" t="n">
        <f aca="false">+I18</f>
        <v>-92700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37530</v>
      </c>
      <c r="B19" s="359"/>
      <c r="C19" s="360" t="s">
        <v>44</v>
      </c>
      <c r="D19" s="361" t="n">
        <v>4.47</v>
      </c>
      <c r="E19" s="359"/>
      <c r="F19" s="395" t="n">
        <f aca="false">5000*31</f>
        <v>155000</v>
      </c>
      <c r="G19" s="359"/>
      <c r="H19" s="361" t="n">
        <f aca="false">[3]NYMEX!$C24</f>
        <v>3.869</v>
      </c>
      <c r="I19" s="396" t="n">
        <f aca="false">+F19*(+H19-D19)</f>
        <v>-93154.9999999999</v>
      </c>
      <c r="J19" s="359"/>
      <c r="K19" s="397" t="n">
        <f aca="false">+I19</f>
        <v>-93154.9999999999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37561</v>
      </c>
      <c r="B20" s="359"/>
      <c r="C20" s="360" t="s">
        <v>44</v>
      </c>
      <c r="D20" s="361" t="n">
        <v>4.47</v>
      </c>
      <c r="E20" s="359"/>
      <c r="F20" s="395" t="n">
        <f aca="false">5000*30</f>
        <v>150000</v>
      </c>
      <c r="G20" s="359"/>
      <c r="H20" s="361" t="n">
        <f aca="false">[3]NYMEX!$C25</f>
        <v>3.984</v>
      </c>
      <c r="I20" s="396" t="n">
        <f aca="false">+F20*(+H20-D20)</f>
        <v>-72900</v>
      </c>
      <c r="J20" s="359"/>
      <c r="K20" s="397" t="n">
        <f aca="false">+I20</f>
        <v>-72900</v>
      </c>
      <c r="L20" s="366" t="n">
        <f aca="false">IF(K20=0,0,IF(A20&lt;(Summary!$K$3+365),K20,0))</f>
        <v>0</v>
      </c>
    </row>
    <row r="21" customFormat="false" ht="13.5" hidden="false" customHeight="false" outlineLevel="0" collapsed="false">
      <c r="A21" s="358" t="n">
        <v>37591</v>
      </c>
      <c r="B21" s="359"/>
      <c r="C21" s="360" t="s">
        <v>44</v>
      </c>
      <c r="D21" s="501" t="n">
        <v>4.47</v>
      </c>
      <c r="E21" s="359"/>
      <c r="F21" s="419" t="n">
        <f aca="false">5000*31</f>
        <v>155000</v>
      </c>
      <c r="G21" s="359"/>
      <c r="H21" s="501" t="n">
        <f aca="false">[3]NYMEX!$C26</f>
        <v>4.114</v>
      </c>
      <c r="I21" s="420" t="n">
        <f aca="false">+F21*(+H21-D21)</f>
        <v>-55180</v>
      </c>
      <c r="J21" s="420"/>
      <c r="K21" s="421" t="n">
        <f aca="false">+I21</f>
        <v>-55180</v>
      </c>
      <c r="L21" s="366" t="n">
        <f aca="false">IF(K21=0,0,IF(A21&lt;(Summary!$K$3+365),K21,0))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AVERAGE(D10:D21)</f>
        <v>4.47</v>
      </c>
      <c r="E22" s="359"/>
      <c r="F22" s="395" t="n">
        <f aca="false">SUM(F10:F21)</f>
        <v>1825000</v>
      </c>
      <c r="G22" s="359"/>
      <c r="H22" s="361" t="n">
        <f aca="false">AVERAGE(H10:H21)</f>
        <v>3.97616666666667</v>
      </c>
      <c r="I22" s="396" t="n">
        <f aca="false">SUM(I10:I21)</f>
        <v>-904070</v>
      </c>
      <c r="J22" s="396" t="n">
        <f aca="false">SUM(J10:J21)</f>
        <v>0</v>
      </c>
      <c r="K22" s="396" t="n">
        <f aca="false">SUM(K10:K21)</f>
        <v>-904070</v>
      </c>
      <c r="L22" s="396" t="n">
        <f aca="false">SUM(L10:L21)</f>
        <v>-286685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9"/>
      <c r="H23" s="361"/>
      <c r="I23" s="396"/>
      <c r="J23" s="398"/>
      <c r="K23" s="423"/>
      <c r="L23" s="423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3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1825000</v>
      </c>
      <c r="G25" s="359"/>
      <c r="H25" s="361"/>
      <c r="I25" s="425" t="n">
        <f aca="false">+I22</f>
        <v>-904070</v>
      </c>
      <c r="J25" s="425" t="n">
        <f aca="false">+J22</f>
        <v>0</v>
      </c>
      <c r="K25" s="425" t="n">
        <f aca="false">+K22</f>
        <v>-904070</v>
      </c>
      <c r="L25" s="425" t="n">
        <f aca="false">+L22</f>
        <v>-286685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  <c r="L26" s="405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309722222222222" top="0.420138888888889" bottom="0.420138888888889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213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31</v>
      </c>
      <c r="E6" s="385"/>
      <c r="F6" s="385"/>
      <c r="G6" s="385"/>
      <c r="H6" s="385" t="s">
        <v>52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194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/>
      <c r="E8" s="415"/>
      <c r="F8" s="415"/>
      <c r="G8" s="416"/>
      <c r="H8" s="388" t="s">
        <v>212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417"/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37257</v>
      </c>
      <c r="B10" s="359"/>
      <c r="C10" s="360" t="s">
        <v>44</v>
      </c>
      <c r="D10" s="361" t="n">
        <v>4.39</v>
      </c>
      <c r="E10" s="359"/>
      <c r="F10" s="395" t="n">
        <f aca="false">-5000*31</f>
        <v>-155000</v>
      </c>
      <c r="G10" s="361"/>
      <c r="H10" s="361" t="n">
        <f aca="false">[3]NYMEX!$C15</f>
        <v>4.441</v>
      </c>
      <c r="I10" s="396" t="n">
        <f aca="false">(-D10+H10)*F10</f>
        <v>-7905.00000000003</v>
      </c>
      <c r="J10" s="397"/>
      <c r="K10" s="397" t="n">
        <f aca="false">+I10</f>
        <v>-7905.00000000003</v>
      </c>
      <c r="L10" s="366" t="n">
        <f aca="false">IF(K10=0,0,IF(A10&lt;(Summary!$K$3+365),K10,0))</f>
        <v>-7905.00000000003</v>
      </c>
    </row>
    <row r="11" customFormat="false" ht="12.75" hidden="false" customHeight="false" outlineLevel="0" collapsed="false">
      <c r="A11" s="358" t="n">
        <v>37288</v>
      </c>
      <c r="B11" s="359"/>
      <c r="C11" s="360" t="s">
        <v>44</v>
      </c>
      <c r="D11" s="361" t="n">
        <v>4.39</v>
      </c>
      <c r="E11" s="359"/>
      <c r="F11" s="395" t="n">
        <f aca="false">-5000*28</f>
        <v>-140000</v>
      </c>
      <c r="G11" s="361"/>
      <c r="H11" s="361" t="n">
        <f aca="false">[3]NYMEX!$C16</f>
        <v>4.324</v>
      </c>
      <c r="I11" s="396" t="n">
        <f aca="false">(-D11+H11)*F11</f>
        <v>9239.99999999998</v>
      </c>
      <c r="J11" s="397"/>
      <c r="K11" s="397" t="n">
        <f aca="false">+I11</f>
        <v>9239.99999999998</v>
      </c>
      <c r="L11" s="366" t="n">
        <f aca="false">IF(K11=0,0,IF(A11&lt;(Summary!$K$3+365),K11,0))</f>
        <v>9239.99999999998</v>
      </c>
    </row>
    <row r="12" customFormat="false" ht="12.75" hidden="false" customHeight="false" outlineLevel="0" collapsed="false">
      <c r="A12" s="358" t="n">
        <v>37316</v>
      </c>
      <c r="B12" s="359"/>
      <c r="C12" s="360" t="s">
        <v>44</v>
      </c>
      <c r="D12" s="361" t="n">
        <v>4.39</v>
      </c>
      <c r="E12" s="359"/>
      <c r="F12" s="395" t="n">
        <f aca="false">-5000*31</f>
        <v>-155000</v>
      </c>
      <c r="G12" s="359"/>
      <c r="H12" s="361" t="n">
        <f aca="false">[3]NYMEX!$C17</f>
        <v>4.155</v>
      </c>
      <c r="I12" s="396" t="n">
        <f aca="false">(-D12+H12)*F12</f>
        <v>36424.9999999999</v>
      </c>
      <c r="J12" s="397"/>
      <c r="K12" s="397" t="n">
        <f aca="false">+I12</f>
        <v>36424.9999999999</v>
      </c>
      <c r="L12" s="366" t="n">
        <f aca="false">IF(K12=0,0,IF(A12&lt;(Summary!$K$3+365),K12,0))</f>
        <v>36424.9999999999</v>
      </c>
    </row>
    <row r="13" customFormat="false" ht="12.75" hidden="false" customHeight="false" outlineLevel="0" collapsed="false">
      <c r="A13" s="358" t="n">
        <v>37347</v>
      </c>
      <c r="B13" s="359"/>
      <c r="C13" s="360" t="s">
        <v>44</v>
      </c>
      <c r="D13" s="361" t="n">
        <v>4.39</v>
      </c>
      <c r="E13" s="359"/>
      <c r="F13" s="395" t="n">
        <f aca="false">-5000*30</f>
        <v>-150000</v>
      </c>
      <c r="G13" s="359"/>
      <c r="H13" s="361" t="n">
        <f aca="false">[3]NYMEX!$C18</f>
        <v>3.81</v>
      </c>
      <c r="I13" s="396" t="n">
        <f aca="false">(-D13+H13)*F13</f>
        <v>86999.9999999999</v>
      </c>
      <c r="J13" s="359"/>
      <c r="K13" s="397" t="n">
        <f aca="false">+I13</f>
        <v>86999.9999999999</v>
      </c>
      <c r="L13" s="366" t="n">
        <f aca="false">IF(K13=0,0,IF(A13&lt;(Summary!$K$3+365),K13,0))</f>
        <v>86999.9999999999</v>
      </c>
    </row>
    <row r="14" customFormat="false" ht="12.75" hidden="false" customHeight="false" outlineLevel="0" collapsed="false">
      <c r="A14" s="358" t="n">
        <v>37377</v>
      </c>
      <c r="B14" s="359"/>
      <c r="C14" s="360" t="s">
        <v>44</v>
      </c>
      <c r="D14" s="361" t="n">
        <v>4.39</v>
      </c>
      <c r="E14" s="359"/>
      <c r="F14" s="395" t="n">
        <f aca="false">-5000*31</f>
        <v>-155000</v>
      </c>
      <c r="G14" s="359"/>
      <c r="H14" s="361" t="n">
        <f aca="false">[3]NYMEX!$C19</f>
        <v>3.735</v>
      </c>
      <c r="I14" s="396" t="n">
        <f aca="false">(-D14+H14)*F14</f>
        <v>101525</v>
      </c>
      <c r="J14" s="359"/>
      <c r="K14" s="397" t="n">
        <f aca="false">+I14</f>
        <v>101525</v>
      </c>
      <c r="L14" s="366" t="n">
        <f aca="false">IF(K14=0,0,IF(A14&lt;(Summary!$K$3+365),K14,0))</f>
        <v>101525</v>
      </c>
    </row>
    <row r="15" customFormat="false" ht="12.75" hidden="false" customHeight="false" outlineLevel="0" collapsed="false">
      <c r="A15" s="358" t="n">
        <v>37408</v>
      </c>
      <c r="B15" s="359"/>
      <c r="C15" s="360" t="s">
        <v>44</v>
      </c>
      <c r="D15" s="361" t="n">
        <v>4.39</v>
      </c>
      <c r="E15" s="359"/>
      <c r="F15" s="395" t="n">
        <f aca="false">-5000*30</f>
        <v>-150000</v>
      </c>
      <c r="G15" s="359"/>
      <c r="H15" s="361" t="n">
        <f aca="false">[3]NYMEX!$C20</f>
        <v>3.78</v>
      </c>
      <c r="I15" s="396" t="n">
        <f aca="false">(-D15+H15)*F15</f>
        <v>91500</v>
      </c>
      <c r="J15" s="359"/>
      <c r="K15" s="397" t="n">
        <f aca="false">+I15</f>
        <v>91500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37438</v>
      </c>
      <c r="B16" s="359"/>
      <c r="C16" s="360" t="s">
        <v>44</v>
      </c>
      <c r="D16" s="361" t="n">
        <v>4.39</v>
      </c>
      <c r="E16" s="359"/>
      <c r="F16" s="395" t="n">
        <f aca="false">-5000*31</f>
        <v>-155000</v>
      </c>
      <c r="G16" s="359"/>
      <c r="H16" s="361" t="n">
        <f aca="false">[3]NYMEX!$C21</f>
        <v>3.815</v>
      </c>
      <c r="I16" s="396" t="n">
        <f aca="false">(-D16+H16)*F16</f>
        <v>89125</v>
      </c>
      <c r="J16" s="359"/>
      <c r="K16" s="397" t="n">
        <f aca="false">+I16</f>
        <v>89125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37469</v>
      </c>
      <c r="B17" s="359"/>
      <c r="C17" s="360" t="s">
        <v>44</v>
      </c>
      <c r="D17" s="361" t="n">
        <v>4.39</v>
      </c>
      <c r="E17" s="359"/>
      <c r="F17" s="395" t="n">
        <f aca="false">-5000*31</f>
        <v>-155000</v>
      </c>
      <c r="G17" s="359"/>
      <c r="H17" s="361" t="n">
        <f aca="false">[3]NYMEX!$C22</f>
        <v>3.835</v>
      </c>
      <c r="I17" s="396" t="n">
        <f aca="false">(-D17+H17)*F17</f>
        <v>86025</v>
      </c>
      <c r="J17" s="359"/>
      <c r="K17" s="397" t="n">
        <f aca="false">+I17</f>
        <v>86025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37500</v>
      </c>
      <c r="B18" s="359"/>
      <c r="C18" s="360" t="s">
        <v>44</v>
      </c>
      <c r="D18" s="361" t="n">
        <v>4.39</v>
      </c>
      <c r="E18" s="359"/>
      <c r="F18" s="395" t="n">
        <f aca="false">-5000*30</f>
        <v>-150000</v>
      </c>
      <c r="G18" s="359"/>
      <c r="H18" s="361" t="n">
        <f aca="false">[3]NYMEX!$C23</f>
        <v>3.852</v>
      </c>
      <c r="I18" s="396" t="n">
        <f aca="false">(-D18+H18)*F18</f>
        <v>80700</v>
      </c>
      <c r="J18" s="359"/>
      <c r="K18" s="397" t="n">
        <f aca="false">+I18</f>
        <v>80700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37530</v>
      </c>
      <c r="B19" s="359"/>
      <c r="C19" s="360" t="s">
        <v>44</v>
      </c>
      <c r="D19" s="361" t="n">
        <v>4.39</v>
      </c>
      <c r="E19" s="359"/>
      <c r="F19" s="395" t="n">
        <f aca="false">-5000*31</f>
        <v>-155000</v>
      </c>
      <c r="G19" s="359"/>
      <c r="H19" s="361" t="n">
        <f aca="false">[3]NYMEX!$C24</f>
        <v>3.869</v>
      </c>
      <c r="I19" s="396" t="n">
        <f aca="false">(-D19+H19)*F19</f>
        <v>80754.9999999999</v>
      </c>
      <c r="J19" s="359"/>
      <c r="K19" s="397" t="n">
        <f aca="false">+I19</f>
        <v>80754.9999999999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37561</v>
      </c>
      <c r="B20" s="359"/>
      <c r="C20" s="360" t="s">
        <v>44</v>
      </c>
      <c r="D20" s="361" t="n">
        <v>4.39</v>
      </c>
      <c r="E20" s="359"/>
      <c r="F20" s="395" t="n">
        <f aca="false">-5000*30</f>
        <v>-150000</v>
      </c>
      <c r="G20" s="359"/>
      <c r="H20" s="361" t="n">
        <f aca="false">[3]NYMEX!$C25</f>
        <v>3.984</v>
      </c>
      <c r="I20" s="396" t="n">
        <f aca="false">(-D20+H20)*F20</f>
        <v>60900</v>
      </c>
      <c r="J20" s="359"/>
      <c r="K20" s="397" t="n">
        <f aca="false">+I20</f>
        <v>60900</v>
      </c>
      <c r="L20" s="366" t="n">
        <f aca="false">IF(K20=0,0,IF(A20&lt;(Summary!$K$3+365),K20,0))</f>
        <v>0</v>
      </c>
    </row>
    <row r="21" customFormat="false" ht="13.5" hidden="false" customHeight="false" outlineLevel="0" collapsed="false">
      <c r="A21" s="358" t="n">
        <v>37591</v>
      </c>
      <c r="B21" s="359"/>
      <c r="C21" s="360" t="s">
        <v>44</v>
      </c>
      <c r="D21" s="501" t="n">
        <v>4.39</v>
      </c>
      <c r="E21" s="359"/>
      <c r="F21" s="419" t="n">
        <f aca="false">-5000*31</f>
        <v>-155000</v>
      </c>
      <c r="G21" s="359"/>
      <c r="H21" s="501" t="n">
        <f aca="false">[3]NYMEX!$C26</f>
        <v>4.114</v>
      </c>
      <c r="I21" s="396" t="n">
        <f aca="false">(-D21+H21)*F21</f>
        <v>42780</v>
      </c>
      <c r="J21" s="420"/>
      <c r="K21" s="421" t="n">
        <f aca="false">+I21</f>
        <v>42780</v>
      </c>
      <c r="L21" s="366" t="n">
        <f aca="false">IF(K21=0,0,IF(A21&lt;(Summary!$K$3+365),K21,0))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AVERAGE(D10:D21)</f>
        <v>4.39</v>
      </c>
      <c r="E22" s="359"/>
      <c r="F22" s="395" t="n">
        <f aca="false">SUM(F10:F21)</f>
        <v>-1825000</v>
      </c>
      <c r="G22" s="359"/>
      <c r="H22" s="361" t="n">
        <f aca="false">AVERAGE(H10:H21)</f>
        <v>3.97616666666667</v>
      </c>
      <c r="I22" s="396" t="n">
        <f aca="false">SUM(I10:I21)</f>
        <v>758070</v>
      </c>
      <c r="J22" s="396" t="n">
        <f aca="false">SUM(J10:J21)</f>
        <v>0</v>
      </c>
      <c r="K22" s="396" t="n">
        <f aca="false">SUM(K10:K21)</f>
        <v>758070</v>
      </c>
      <c r="L22" s="396" t="n">
        <f aca="false">SUM(L10:L21)</f>
        <v>226285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9"/>
      <c r="H23" s="361"/>
      <c r="I23" s="396"/>
      <c r="J23" s="398"/>
      <c r="K23" s="423"/>
      <c r="L23" s="423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3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-1825000</v>
      </c>
      <c r="G25" s="359"/>
      <c r="H25" s="361"/>
      <c r="I25" s="425" t="n">
        <f aca="false">+I22</f>
        <v>758070</v>
      </c>
      <c r="J25" s="425" t="n">
        <f aca="false">+J22</f>
        <v>0</v>
      </c>
      <c r="K25" s="425" t="n">
        <f aca="false">+K22</f>
        <v>758070</v>
      </c>
      <c r="L25" s="425" t="n">
        <f aca="false">+L22</f>
        <v>226285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  <c r="L26" s="405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420138888888889" bottom="0.44027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10.71"/>
    <col collapsed="false" customWidth="true" hidden="false" outlineLevel="0" max="3" min="3" style="0" width="10.28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2.28"/>
    <col collapsed="false" customWidth="true" hidden="false" outlineLevel="0" max="10" min="10" style="0" width="13.41"/>
    <col collapsed="false" customWidth="true" hidden="false" outlineLevel="0" max="11" min="11" style="0" width="12.28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214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52</v>
      </c>
      <c r="E6" s="385"/>
      <c r="F6" s="385"/>
      <c r="G6" s="385"/>
      <c r="H6" s="385" t="s">
        <v>211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215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216</v>
      </c>
      <c r="E8" s="415"/>
      <c r="F8" s="415"/>
      <c r="G8" s="416"/>
      <c r="H8" s="388" t="s">
        <v>217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388" t="n">
        <v>0.03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37257</v>
      </c>
      <c r="B10" s="359"/>
      <c r="C10" s="360" t="s">
        <v>44</v>
      </c>
      <c r="D10" s="361" t="n">
        <f aca="false">[3]NYMEX!$C15+$D$9</f>
        <v>4.471</v>
      </c>
      <c r="E10" s="359"/>
      <c r="F10" s="395" t="n">
        <f aca="false">5000*31</f>
        <v>155000</v>
      </c>
      <c r="G10" s="361"/>
      <c r="H10" s="502" t="n">
        <f aca="false">+'[3]ELpaso SJ &amp; Prm'!$F55</f>
        <v>4.4285</v>
      </c>
      <c r="I10" s="396" t="n">
        <f aca="false">(-D10+H10)*F10</f>
        <v>-6587.50000000007</v>
      </c>
      <c r="J10" s="397"/>
      <c r="K10" s="397" t="n">
        <f aca="false">+I10</f>
        <v>-6587.50000000007</v>
      </c>
      <c r="L10" s="366" t="n">
        <f aca="false">IF(K10=0,0,IF(A10&lt;(Summary!$K$3+365),K10,0))</f>
        <v>-6587.50000000007</v>
      </c>
    </row>
    <row r="11" customFormat="false" ht="12.75" hidden="false" customHeight="false" outlineLevel="0" collapsed="false">
      <c r="A11" s="358" t="n">
        <v>37288</v>
      </c>
      <c r="B11" s="359"/>
      <c r="C11" s="360" t="s">
        <v>44</v>
      </c>
      <c r="D11" s="361" t="n">
        <f aca="false">[3]NYMEX!$C16+$D$9</f>
        <v>4.354</v>
      </c>
      <c r="E11" s="359"/>
      <c r="F11" s="395" t="n">
        <f aca="false">5000*28</f>
        <v>140000</v>
      </c>
      <c r="G11" s="361"/>
      <c r="H11" s="361" t="n">
        <f aca="false">+'[3]ELpaso SJ &amp; Prm'!$F56</f>
        <v>4.3115</v>
      </c>
      <c r="I11" s="396" t="n">
        <f aca="false">+F11*(+H11-D11)</f>
        <v>-5950.00000000006</v>
      </c>
      <c r="J11" s="397"/>
      <c r="K11" s="397" t="n">
        <f aca="false">+I11</f>
        <v>-5950.00000000006</v>
      </c>
      <c r="L11" s="366" t="n">
        <f aca="false">IF(K11=0,0,IF(A11&lt;(Summary!$K$3+365),K11,0))</f>
        <v>-5950.00000000006</v>
      </c>
    </row>
    <row r="12" customFormat="false" ht="12.75" hidden="false" customHeight="false" outlineLevel="0" collapsed="false">
      <c r="A12" s="358" t="n">
        <v>37316</v>
      </c>
      <c r="B12" s="359"/>
      <c r="C12" s="360" t="s">
        <v>44</v>
      </c>
      <c r="D12" s="361" t="n">
        <f aca="false">[3]NYMEX!$C17+$D$9</f>
        <v>4.185</v>
      </c>
      <c r="E12" s="359"/>
      <c r="F12" s="395" t="n">
        <f aca="false">5000*31</f>
        <v>155000</v>
      </c>
      <c r="G12" s="359"/>
      <c r="H12" s="361" t="n">
        <f aca="false">+'[3]ELpaso SJ &amp; Prm'!$F57</f>
        <v>4.1425</v>
      </c>
      <c r="I12" s="396" t="n">
        <f aca="false">+F12*(+H12-D12)</f>
        <v>-6587.50000000007</v>
      </c>
      <c r="J12" s="359"/>
      <c r="K12" s="397" t="n">
        <f aca="false">+I12</f>
        <v>-6587.50000000007</v>
      </c>
      <c r="L12" s="366" t="n">
        <f aca="false">IF(K12=0,0,IF(A12&lt;(Summary!$K$3+365),K12,0))</f>
        <v>-6587.50000000007</v>
      </c>
    </row>
    <row r="13" customFormat="false" ht="12.75" hidden="false" customHeight="false" outlineLevel="0" collapsed="false">
      <c r="A13" s="358" t="n">
        <v>37347</v>
      </c>
      <c r="B13" s="359"/>
      <c r="C13" s="360" t="s">
        <v>44</v>
      </c>
      <c r="D13" s="361" t="n">
        <f aca="false">[3]NYMEX!$C18+$D$9</f>
        <v>3.84</v>
      </c>
      <c r="E13" s="359"/>
      <c r="F13" s="395" t="n">
        <f aca="false">5000*30</f>
        <v>150000</v>
      </c>
      <c r="G13" s="359"/>
      <c r="H13" s="361" t="n">
        <f aca="false">+'[3]ELpaso SJ &amp; Prm'!$F58</f>
        <v>3.8</v>
      </c>
      <c r="I13" s="396" t="n">
        <f aca="false">+F13*(+H13-D13)</f>
        <v>-5999.99999999994</v>
      </c>
      <c r="J13" s="359"/>
      <c r="K13" s="397" t="n">
        <f aca="false">+I13</f>
        <v>-5999.99999999994</v>
      </c>
      <c r="L13" s="366" t="n">
        <f aca="false">IF(K13=0,0,IF(A13&lt;(Summary!$K$3+365),K13,0))</f>
        <v>-5999.99999999994</v>
      </c>
    </row>
    <row r="14" customFormat="false" ht="12.75" hidden="false" customHeight="false" outlineLevel="0" collapsed="false">
      <c r="A14" s="358" t="n">
        <v>37377</v>
      </c>
      <c r="B14" s="359"/>
      <c r="C14" s="360" t="s">
        <v>44</v>
      </c>
      <c r="D14" s="361" t="n">
        <f aca="false">[3]NYMEX!$C19+$D$9</f>
        <v>3.765</v>
      </c>
      <c r="E14" s="359"/>
      <c r="F14" s="395" t="n">
        <f aca="false">5000*31</f>
        <v>155000</v>
      </c>
      <c r="G14" s="359"/>
      <c r="H14" s="361" t="n">
        <f aca="false">+'[3]ELpaso SJ &amp; Prm'!$F59</f>
        <v>3.725</v>
      </c>
      <c r="I14" s="396" t="n">
        <f aca="false">+F14*(+H14-D14)</f>
        <v>-6199.99999999994</v>
      </c>
      <c r="J14" s="359"/>
      <c r="K14" s="397" t="n">
        <f aca="false">+I14</f>
        <v>-6199.99999999994</v>
      </c>
      <c r="L14" s="366" t="n">
        <f aca="false">IF(K14=0,0,IF(A14&lt;(Summary!$K$3+365),K14,0))</f>
        <v>-6199.99999999994</v>
      </c>
    </row>
    <row r="15" customFormat="false" ht="12.75" hidden="false" customHeight="false" outlineLevel="0" collapsed="false">
      <c r="A15" s="358" t="n">
        <v>37408</v>
      </c>
      <c r="B15" s="359"/>
      <c r="C15" s="360" t="s">
        <v>44</v>
      </c>
      <c r="D15" s="361" t="n">
        <f aca="false">[3]NYMEX!$C20+$D$9</f>
        <v>3.81</v>
      </c>
      <c r="E15" s="359"/>
      <c r="F15" s="395" t="n">
        <f aca="false">5000*30</f>
        <v>150000</v>
      </c>
      <c r="G15" s="359"/>
      <c r="H15" s="361" t="n">
        <f aca="false">+'[3]ELpaso SJ &amp; Prm'!$F60</f>
        <v>3.77</v>
      </c>
      <c r="I15" s="396" t="n">
        <f aca="false">+F15*(+H15-D15)</f>
        <v>-5999.99999999994</v>
      </c>
      <c r="J15" s="359"/>
      <c r="K15" s="397" t="n">
        <f aca="false">+I15</f>
        <v>-5999.99999999994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37438</v>
      </c>
      <c r="B16" s="359"/>
      <c r="C16" s="360" t="s">
        <v>44</v>
      </c>
      <c r="D16" s="361" t="n">
        <f aca="false">[3]NYMEX!$C21+$D$9</f>
        <v>3.845</v>
      </c>
      <c r="E16" s="359"/>
      <c r="F16" s="395" t="n">
        <f aca="false">5000*31</f>
        <v>155000</v>
      </c>
      <c r="G16" s="359"/>
      <c r="H16" s="361" t="n">
        <f aca="false">+'[3]ELpaso SJ &amp; Prm'!$F61</f>
        <v>3.805</v>
      </c>
      <c r="I16" s="396" t="n">
        <f aca="false">+F16*(+H16-D16)</f>
        <v>-6199.99999999994</v>
      </c>
      <c r="J16" s="359"/>
      <c r="K16" s="397" t="n">
        <f aca="false">+I16</f>
        <v>-6199.99999999994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37469</v>
      </c>
      <c r="B17" s="359"/>
      <c r="C17" s="360" t="s">
        <v>44</v>
      </c>
      <c r="D17" s="361" t="n">
        <f aca="false">[3]NYMEX!$C22+$D$9</f>
        <v>3.865</v>
      </c>
      <c r="E17" s="359"/>
      <c r="F17" s="395" t="n">
        <f aca="false">5000*31</f>
        <v>155000</v>
      </c>
      <c r="G17" s="359"/>
      <c r="H17" s="361" t="n">
        <f aca="false">+'[3]ELpaso SJ &amp; Prm'!$F62</f>
        <v>3.825</v>
      </c>
      <c r="I17" s="396" t="n">
        <f aca="false">+F17*(+H17-D17)</f>
        <v>-6199.99999999994</v>
      </c>
      <c r="J17" s="359"/>
      <c r="K17" s="397" t="n">
        <f aca="false">+I17</f>
        <v>-6199.99999999994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37500</v>
      </c>
      <c r="B18" s="359"/>
      <c r="C18" s="360" t="s">
        <v>44</v>
      </c>
      <c r="D18" s="361" t="n">
        <f aca="false">[3]NYMEX!$C23+$D$9</f>
        <v>3.882</v>
      </c>
      <c r="E18" s="359"/>
      <c r="F18" s="395" t="n">
        <f aca="false">5000*30</f>
        <v>150000</v>
      </c>
      <c r="G18" s="359"/>
      <c r="H18" s="361" t="n">
        <f aca="false">+'[3]ELpaso SJ &amp; Prm'!$F63</f>
        <v>3.842</v>
      </c>
      <c r="I18" s="396" t="n">
        <f aca="false">+F18*(+H18-D18)</f>
        <v>-5999.99999999994</v>
      </c>
      <c r="J18" s="359"/>
      <c r="K18" s="397" t="n">
        <f aca="false">+I18</f>
        <v>-5999.99999999994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37530</v>
      </c>
      <c r="B19" s="359"/>
      <c r="C19" s="360" t="s">
        <v>44</v>
      </c>
      <c r="D19" s="361" t="n">
        <f aca="false">[3]NYMEX!$C24+$D$9</f>
        <v>3.899</v>
      </c>
      <c r="E19" s="359"/>
      <c r="F19" s="395" t="n">
        <f aca="false">5000*31</f>
        <v>155000</v>
      </c>
      <c r="G19" s="359"/>
      <c r="H19" s="361" t="n">
        <f aca="false">+'[3]ELpaso SJ &amp; Prm'!$F64</f>
        <v>3.859</v>
      </c>
      <c r="I19" s="396" t="n">
        <f aca="false">+F19*(+H19-D19)</f>
        <v>-6199.99999999994</v>
      </c>
      <c r="J19" s="359"/>
      <c r="K19" s="397" t="n">
        <f aca="false">+I19</f>
        <v>-6199.99999999994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37561</v>
      </c>
      <c r="B20" s="359"/>
      <c r="C20" s="360" t="s">
        <v>44</v>
      </c>
      <c r="D20" s="361" t="n">
        <f aca="false">[3]NYMEX!$C25+$D$9</f>
        <v>4.014</v>
      </c>
      <c r="E20" s="359"/>
      <c r="F20" s="395" t="n">
        <f aca="false">5000*30</f>
        <v>150000</v>
      </c>
      <c r="G20" s="359"/>
      <c r="H20" s="361" t="n">
        <f aca="false">+'[3]ELpaso SJ &amp; Prm'!$F65</f>
        <v>3.994</v>
      </c>
      <c r="I20" s="396" t="n">
        <f aca="false">+F20*(+H20-D20)</f>
        <v>-3000.00000000007</v>
      </c>
      <c r="J20" s="359"/>
      <c r="K20" s="397" t="n">
        <f aca="false">+I20</f>
        <v>-3000.00000000007</v>
      </c>
      <c r="L20" s="366" t="n">
        <f aca="false">IF(K20=0,0,IF(A20&lt;(Summary!$K$3+365),K20,0))</f>
        <v>0</v>
      </c>
    </row>
    <row r="21" customFormat="false" ht="13.5" hidden="false" customHeight="false" outlineLevel="0" collapsed="false">
      <c r="A21" s="358" t="n">
        <v>37591</v>
      </c>
      <c r="B21" s="359"/>
      <c r="C21" s="360" t="s">
        <v>44</v>
      </c>
      <c r="D21" s="501" t="n">
        <f aca="false">[3]NYMEX!$C26+$D$9</f>
        <v>4.144</v>
      </c>
      <c r="E21" s="359"/>
      <c r="F21" s="419" t="n">
        <f aca="false">5000*31</f>
        <v>155000</v>
      </c>
      <c r="G21" s="359"/>
      <c r="H21" s="418" t="n">
        <f aca="false">+'[3]ELpaso SJ &amp; Prm'!$F66</f>
        <v>4.124</v>
      </c>
      <c r="I21" s="420" t="n">
        <f aca="false">+F21*(+H21-D21)</f>
        <v>-3100.00000000007</v>
      </c>
      <c r="J21" s="420"/>
      <c r="K21" s="421" t="n">
        <f aca="false">+I21</f>
        <v>-3100.00000000007</v>
      </c>
      <c r="L21" s="366" t="n">
        <f aca="false">IF(K21=0,0,IF(A21&lt;(Summary!$K$3+365),K21,0))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AVERAGE(D10:D21)</f>
        <v>4.00616666666667</v>
      </c>
      <c r="E22" s="359"/>
      <c r="F22" s="395" t="n">
        <f aca="false">SUM(F10:F21)</f>
        <v>1825000</v>
      </c>
      <c r="G22" s="359"/>
      <c r="H22" s="361" t="n">
        <f aca="false">AVERAGE(H10:H21)</f>
        <v>3.968875</v>
      </c>
      <c r="I22" s="396" t="n">
        <f aca="false">SUM(I10:I21)</f>
        <v>-68024.9999999999</v>
      </c>
      <c r="J22" s="396" t="n">
        <f aca="false">SUM(J10:J21)</f>
        <v>0</v>
      </c>
      <c r="K22" s="396" t="n">
        <f aca="false">SUM(K10:K21)</f>
        <v>-68024.9999999999</v>
      </c>
      <c r="L22" s="396" t="n">
        <f aca="false">SUM(L10:L21)</f>
        <v>-31325.0000000001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9"/>
      <c r="H23" s="361"/>
      <c r="I23" s="396"/>
      <c r="J23" s="398"/>
      <c r="K23" s="423"/>
      <c r="L23" s="396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396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1825000</v>
      </c>
      <c r="G25" s="359"/>
      <c r="H25" s="361"/>
      <c r="I25" s="425" t="n">
        <f aca="false">+I22</f>
        <v>-68024.9999999999</v>
      </c>
      <c r="J25" s="425" t="n">
        <f aca="false">+J22</f>
        <v>0</v>
      </c>
      <c r="K25" s="425" t="n">
        <f aca="false">+K22</f>
        <v>-68024.9999999999</v>
      </c>
      <c r="L25" s="425" t="n">
        <f aca="false">+L22</f>
        <v>-31325.0000000001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  <c r="L26" s="380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309722222222222" top="0.420138888888889" bottom="0.420138888888889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A5" colorId="64" zoomScale="85" zoomScaleNormal="85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218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31</v>
      </c>
      <c r="E6" s="385"/>
      <c r="F6" s="385"/>
      <c r="G6" s="385"/>
      <c r="H6" s="385" t="s">
        <v>52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215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216</v>
      </c>
      <c r="E8" s="415"/>
      <c r="F8" s="415"/>
      <c r="G8" s="416"/>
      <c r="H8" s="388" t="s">
        <v>217</v>
      </c>
      <c r="I8" s="388" t="s">
        <v>145</v>
      </c>
      <c r="J8" s="388" t="s">
        <v>145</v>
      </c>
      <c r="K8" s="388" t="s">
        <v>145</v>
      </c>
      <c r="L8" s="429"/>
    </row>
    <row r="9" customFormat="false" ht="12.75" hidden="false" customHeight="false" outlineLevel="0" collapsed="false">
      <c r="A9" s="390"/>
      <c r="B9" s="391"/>
      <c r="C9" s="391"/>
      <c r="D9" s="388" t="n">
        <v>0.04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37257</v>
      </c>
      <c r="B10" s="359"/>
      <c r="C10" s="360" t="s">
        <v>44</v>
      </c>
      <c r="D10" s="361" t="n">
        <f aca="false">[3]NYMEX!$C15+$D$9</f>
        <v>4.481</v>
      </c>
      <c r="E10" s="359"/>
      <c r="F10" s="395" t="n">
        <f aca="false">-5000*31</f>
        <v>-155000</v>
      </c>
      <c r="G10" s="361"/>
      <c r="H10" s="502" t="n">
        <f aca="false">+'[3]ELpaso SJ &amp; Prm'!$F55</f>
        <v>4.4285</v>
      </c>
      <c r="I10" s="396" t="n">
        <f aca="false">(-D10+H10)*F10</f>
        <v>8137.50000000003</v>
      </c>
      <c r="J10" s="397"/>
      <c r="K10" s="397" t="n">
        <f aca="false">+I10</f>
        <v>8137.50000000003</v>
      </c>
      <c r="L10" s="366" t="n">
        <f aca="false">IF(K10=0,0,IF(A10&lt;(Summary!$K$3+365),K10,0))</f>
        <v>8137.50000000003</v>
      </c>
    </row>
    <row r="11" customFormat="false" ht="12.75" hidden="false" customHeight="false" outlineLevel="0" collapsed="false">
      <c r="A11" s="358" t="n">
        <v>37288</v>
      </c>
      <c r="B11" s="359"/>
      <c r="C11" s="360" t="s">
        <v>44</v>
      </c>
      <c r="D11" s="361" t="n">
        <f aca="false">[3]NYMEX!$C16+$D$9</f>
        <v>4.364</v>
      </c>
      <c r="E11" s="359"/>
      <c r="F11" s="395" t="n">
        <f aca="false">-5000*28</f>
        <v>-140000</v>
      </c>
      <c r="G11" s="361"/>
      <c r="H11" s="361" t="n">
        <f aca="false">+'[3]ELpaso SJ &amp; Prm'!$F56</f>
        <v>4.3115</v>
      </c>
      <c r="I11" s="396" t="n">
        <f aca="false">(-D11+H11)*F11</f>
        <v>7350.00000000003</v>
      </c>
      <c r="J11" s="397"/>
      <c r="K11" s="397" t="n">
        <f aca="false">+I11</f>
        <v>7350.00000000003</v>
      </c>
      <c r="L11" s="366" t="n">
        <f aca="false">IF(K11=0,0,IF(A11&lt;(Summary!$K$3+365),K11,0))</f>
        <v>7350.00000000003</v>
      </c>
    </row>
    <row r="12" customFormat="false" ht="12.75" hidden="false" customHeight="false" outlineLevel="0" collapsed="false">
      <c r="A12" s="358" t="n">
        <v>37316</v>
      </c>
      <c r="B12" s="359"/>
      <c r="C12" s="360" t="s">
        <v>44</v>
      </c>
      <c r="D12" s="361" t="n">
        <f aca="false">[3]NYMEX!$C17+$D$9</f>
        <v>4.195</v>
      </c>
      <c r="E12" s="359"/>
      <c r="F12" s="395" t="n">
        <f aca="false">-5000*31</f>
        <v>-155000</v>
      </c>
      <c r="G12" s="359"/>
      <c r="H12" s="361" t="n">
        <f aca="false">+'[3]ELpaso SJ &amp; Prm'!$F57</f>
        <v>4.1425</v>
      </c>
      <c r="I12" s="396" t="n">
        <f aca="false">(-D12+H12)*F12</f>
        <v>8137.50000000003</v>
      </c>
      <c r="J12" s="359"/>
      <c r="K12" s="397" t="n">
        <f aca="false">+I12</f>
        <v>8137.50000000003</v>
      </c>
      <c r="L12" s="366" t="n">
        <f aca="false">IF(K12=0,0,IF(A12&lt;(Summary!$K$3+365),K12,0))</f>
        <v>8137.50000000003</v>
      </c>
    </row>
    <row r="13" customFormat="false" ht="12.75" hidden="false" customHeight="false" outlineLevel="0" collapsed="false">
      <c r="A13" s="358" t="n">
        <v>37347</v>
      </c>
      <c r="B13" s="359"/>
      <c r="C13" s="360" t="s">
        <v>44</v>
      </c>
      <c r="D13" s="361" t="n">
        <f aca="false">[3]NYMEX!$C18+$D$9</f>
        <v>3.85</v>
      </c>
      <c r="E13" s="359"/>
      <c r="F13" s="395" t="n">
        <f aca="false">-5000*30</f>
        <v>-150000</v>
      </c>
      <c r="G13" s="359"/>
      <c r="H13" s="361" t="n">
        <f aca="false">+'[3]ELpaso SJ &amp; Prm'!$F58</f>
        <v>3.8</v>
      </c>
      <c r="I13" s="396" t="n">
        <f aca="false">(-D13+H13)*F13</f>
        <v>7499.99999999997</v>
      </c>
      <c r="J13" s="359"/>
      <c r="K13" s="397" t="n">
        <f aca="false">+I13</f>
        <v>7499.99999999997</v>
      </c>
      <c r="L13" s="366" t="n">
        <f aca="false">IF(K13=0,0,IF(A13&lt;(Summary!$K$3+365),K13,0))</f>
        <v>7499.99999999997</v>
      </c>
    </row>
    <row r="14" customFormat="false" ht="12.75" hidden="false" customHeight="false" outlineLevel="0" collapsed="false">
      <c r="A14" s="358" t="n">
        <v>37377</v>
      </c>
      <c r="B14" s="359"/>
      <c r="C14" s="360" t="s">
        <v>44</v>
      </c>
      <c r="D14" s="361" t="n">
        <f aca="false">[3]NYMEX!$C19+$D$9</f>
        <v>3.775</v>
      </c>
      <c r="E14" s="359"/>
      <c r="F14" s="395" t="n">
        <f aca="false">-5000*31</f>
        <v>-155000</v>
      </c>
      <c r="G14" s="359"/>
      <c r="H14" s="361" t="n">
        <f aca="false">+'[3]ELpaso SJ &amp; Prm'!$F59</f>
        <v>3.725</v>
      </c>
      <c r="I14" s="396" t="n">
        <f aca="false">(-D14+H14)*F14</f>
        <v>7749.99999999997</v>
      </c>
      <c r="J14" s="359"/>
      <c r="K14" s="397" t="n">
        <f aca="false">+I14</f>
        <v>7749.99999999997</v>
      </c>
      <c r="L14" s="366" t="n">
        <f aca="false">IF(K14=0,0,IF(A14&lt;(Summary!$K$3+365),K14,0))</f>
        <v>7749.99999999997</v>
      </c>
    </row>
    <row r="15" customFormat="false" ht="12.75" hidden="false" customHeight="false" outlineLevel="0" collapsed="false">
      <c r="A15" s="358" t="n">
        <v>37408</v>
      </c>
      <c r="B15" s="359"/>
      <c r="C15" s="360" t="s">
        <v>44</v>
      </c>
      <c r="D15" s="361" t="n">
        <f aca="false">[3]NYMEX!$C20+$D$9</f>
        <v>3.82</v>
      </c>
      <c r="E15" s="359"/>
      <c r="F15" s="395" t="n">
        <f aca="false">-5000*30</f>
        <v>-150000</v>
      </c>
      <c r="G15" s="359"/>
      <c r="H15" s="361" t="n">
        <f aca="false">+'[3]ELpaso SJ &amp; Prm'!$F60</f>
        <v>3.77</v>
      </c>
      <c r="I15" s="396" t="n">
        <f aca="false">(-D15+H15)*F15</f>
        <v>7499.99999999997</v>
      </c>
      <c r="J15" s="359"/>
      <c r="K15" s="397" t="n">
        <f aca="false">+I15</f>
        <v>7499.99999999997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358" t="n">
        <v>37438</v>
      </c>
      <c r="B16" s="359"/>
      <c r="C16" s="360" t="s">
        <v>44</v>
      </c>
      <c r="D16" s="361" t="n">
        <f aca="false">[3]NYMEX!$C21+$D$9</f>
        <v>3.855</v>
      </c>
      <c r="E16" s="359"/>
      <c r="F16" s="395" t="n">
        <f aca="false">-5000*31</f>
        <v>-155000</v>
      </c>
      <c r="G16" s="359"/>
      <c r="H16" s="361" t="n">
        <f aca="false">+'[3]ELpaso SJ &amp; Prm'!$F61</f>
        <v>3.805</v>
      </c>
      <c r="I16" s="396" t="n">
        <f aca="false">(-D16+H16)*F16</f>
        <v>7749.99999999997</v>
      </c>
      <c r="J16" s="359"/>
      <c r="K16" s="397" t="n">
        <f aca="false">+I16</f>
        <v>7749.99999999997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358" t="n">
        <v>37469</v>
      </c>
      <c r="B17" s="359"/>
      <c r="C17" s="360" t="s">
        <v>44</v>
      </c>
      <c r="D17" s="361" t="n">
        <f aca="false">[3]NYMEX!$C22+$D$9</f>
        <v>3.875</v>
      </c>
      <c r="E17" s="359"/>
      <c r="F17" s="395" t="n">
        <f aca="false">-5000*31</f>
        <v>-155000</v>
      </c>
      <c r="G17" s="359"/>
      <c r="H17" s="361" t="n">
        <f aca="false">+'[3]ELpaso SJ &amp; Prm'!$F62</f>
        <v>3.825</v>
      </c>
      <c r="I17" s="396" t="n">
        <f aca="false">(-D17+H17)*F17</f>
        <v>7749.99999999997</v>
      </c>
      <c r="J17" s="359"/>
      <c r="K17" s="397" t="n">
        <f aca="false">+I17</f>
        <v>7749.99999999997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358" t="n">
        <v>37500</v>
      </c>
      <c r="B18" s="359"/>
      <c r="C18" s="360" t="s">
        <v>44</v>
      </c>
      <c r="D18" s="361" t="n">
        <f aca="false">[3]NYMEX!$C23+$D$9</f>
        <v>3.892</v>
      </c>
      <c r="E18" s="359"/>
      <c r="F18" s="395" t="n">
        <f aca="false">-5000*30</f>
        <v>-150000</v>
      </c>
      <c r="G18" s="359"/>
      <c r="H18" s="361" t="n">
        <f aca="false">+'[3]ELpaso SJ &amp; Prm'!$F63</f>
        <v>3.842</v>
      </c>
      <c r="I18" s="396" t="n">
        <f aca="false">(-D18+H18)*F18</f>
        <v>7499.99999999997</v>
      </c>
      <c r="J18" s="359"/>
      <c r="K18" s="397" t="n">
        <f aca="false">+I18</f>
        <v>7499.99999999997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358" t="n">
        <v>37530</v>
      </c>
      <c r="B19" s="359"/>
      <c r="C19" s="360" t="s">
        <v>44</v>
      </c>
      <c r="D19" s="361" t="n">
        <f aca="false">[3]NYMEX!$C24+$D$9</f>
        <v>3.909</v>
      </c>
      <c r="E19" s="359"/>
      <c r="F19" s="395" t="n">
        <f aca="false">-5000*31</f>
        <v>-155000</v>
      </c>
      <c r="G19" s="359"/>
      <c r="H19" s="361" t="n">
        <f aca="false">+'[3]ELpaso SJ &amp; Prm'!$F64</f>
        <v>3.859</v>
      </c>
      <c r="I19" s="396" t="n">
        <f aca="false">(-D19+H19)*F19</f>
        <v>7749.99999999997</v>
      </c>
      <c r="J19" s="359"/>
      <c r="K19" s="397" t="n">
        <f aca="false">+I19</f>
        <v>7749.99999999997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358" t="n">
        <v>37561</v>
      </c>
      <c r="B20" s="359"/>
      <c r="C20" s="360" t="s">
        <v>44</v>
      </c>
      <c r="D20" s="361" t="n">
        <f aca="false">[3]NYMEX!$C25+$D$9</f>
        <v>4.024</v>
      </c>
      <c r="E20" s="359"/>
      <c r="F20" s="395" t="n">
        <f aca="false">-5000*30</f>
        <v>-150000</v>
      </c>
      <c r="G20" s="359"/>
      <c r="H20" s="361" t="n">
        <f aca="false">+'[3]ELpaso SJ &amp; Prm'!$F65</f>
        <v>3.994</v>
      </c>
      <c r="I20" s="396" t="n">
        <f aca="false">(-D20+H20)*F20</f>
        <v>4500.00000000004</v>
      </c>
      <c r="J20" s="359"/>
      <c r="K20" s="397" t="n">
        <f aca="false">+I20</f>
        <v>4500.00000000004</v>
      </c>
      <c r="L20" s="366" t="n">
        <f aca="false">IF(K20=0,0,IF(A20&lt;(Summary!$K$3+365),K20,0))</f>
        <v>0</v>
      </c>
    </row>
    <row r="21" customFormat="false" ht="13.5" hidden="false" customHeight="false" outlineLevel="0" collapsed="false">
      <c r="A21" s="358" t="n">
        <v>37591</v>
      </c>
      <c r="B21" s="359"/>
      <c r="C21" s="360" t="s">
        <v>44</v>
      </c>
      <c r="D21" s="501" t="n">
        <f aca="false">[3]NYMEX!$C26+$D$9</f>
        <v>4.154</v>
      </c>
      <c r="E21" s="359"/>
      <c r="F21" s="419" t="n">
        <f aca="false">-5000*31</f>
        <v>-155000</v>
      </c>
      <c r="G21" s="359"/>
      <c r="H21" s="418" t="n">
        <f aca="false">+'[3]ELpaso SJ &amp; Prm'!$F66</f>
        <v>4.124</v>
      </c>
      <c r="I21" s="396" t="n">
        <f aca="false">(-D21+H21)*F21</f>
        <v>4650.00000000004</v>
      </c>
      <c r="J21" s="420"/>
      <c r="K21" s="421" t="n">
        <f aca="false">+I21</f>
        <v>4650.00000000004</v>
      </c>
      <c r="L21" s="366" t="n">
        <f aca="false">IF(K21=0,0,IF(A21&lt;(Summary!$K$3+365),K21,0))</f>
        <v>0</v>
      </c>
    </row>
    <row r="22" customFormat="false" ht="12.75" hidden="false" customHeight="false" outlineLevel="0" collapsed="false">
      <c r="A22" s="358"/>
      <c r="B22" s="359"/>
      <c r="C22" s="360"/>
      <c r="D22" s="361" t="n">
        <f aca="false">AVERAGE(D10:D21)</f>
        <v>4.01616666666667</v>
      </c>
      <c r="E22" s="359"/>
      <c r="F22" s="395" t="n">
        <f aca="false">SUM(F10:F21)</f>
        <v>-1825000</v>
      </c>
      <c r="G22" s="359"/>
      <c r="H22" s="361" t="n">
        <f aca="false">AVERAGE(H10:H21)</f>
        <v>3.968875</v>
      </c>
      <c r="I22" s="396" t="n">
        <f aca="false">SUM(I10:I21)</f>
        <v>86275</v>
      </c>
      <c r="J22" s="396" t="n">
        <f aca="false">SUM(J10:J21)</f>
        <v>0</v>
      </c>
      <c r="K22" s="396" t="n">
        <f aca="false">SUM(K10:K21)</f>
        <v>86275</v>
      </c>
      <c r="L22" s="396" t="n">
        <f aca="false">SUM(L10:L21)</f>
        <v>38875</v>
      </c>
    </row>
    <row r="23" customFormat="false" ht="12.75" hidden="false" customHeight="false" outlineLevel="0" collapsed="false">
      <c r="A23" s="358"/>
      <c r="B23" s="359"/>
      <c r="C23" s="360"/>
      <c r="D23" s="361"/>
      <c r="E23" s="359"/>
      <c r="F23" s="395"/>
      <c r="G23" s="429"/>
      <c r="H23" s="361"/>
      <c r="I23" s="396"/>
      <c r="J23" s="398"/>
      <c r="K23" s="423"/>
      <c r="L23" s="396"/>
    </row>
    <row r="24" customFormat="false" ht="12.75" hidden="false" customHeight="false" outlineLevel="0" collapsed="false">
      <c r="A24" s="358"/>
      <c r="B24" s="359"/>
      <c r="C24" s="360"/>
      <c r="D24" s="361"/>
      <c r="E24" s="359"/>
      <c r="F24" s="395"/>
      <c r="G24" s="359"/>
      <c r="H24" s="361"/>
      <c r="I24" s="396"/>
      <c r="J24" s="398"/>
      <c r="K24" s="423"/>
      <c r="L24" s="420"/>
    </row>
    <row r="25" customFormat="false" ht="13.5" hidden="false" customHeight="false" outlineLevel="0" collapsed="false">
      <c r="A25" s="358"/>
      <c r="B25" s="359"/>
      <c r="C25" s="360"/>
      <c r="D25" s="361"/>
      <c r="E25" s="359"/>
      <c r="F25" s="424" t="n">
        <f aca="false">+F22</f>
        <v>-1825000</v>
      </c>
      <c r="G25" s="359"/>
      <c r="H25" s="361"/>
      <c r="I25" s="425" t="n">
        <f aca="false">+I22</f>
        <v>86275</v>
      </c>
      <c r="J25" s="425" t="n">
        <f aca="false">+J22</f>
        <v>0</v>
      </c>
      <c r="K25" s="425" t="n">
        <f aca="false">+K22</f>
        <v>86275</v>
      </c>
      <c r="L25" s="425" t="n">
        <f aca="false">+L22</f>
        <v>38875</v>
      </c>
    </row>
    <row r="26" customFormat="false" ht="13.5" hidden="false" customHeight="false" outlineLevel="0" collapsed="false">
      <c r="A26" s="380"/>
      <c r="B26" s="380"/>
      <c r="C26" s="380"/>
      <c r="D26" s="380"/>
      <c r="E26" s="380"/>
      <c r="F26" s="380"/>
      <c r="G26" s="380"/>
      <c r="H26" s="380"/>
      <c r="I26" s="380"/>
      <c r="J26" s="405"/>
      <c r="K26" s="405"/>
      <c r="L26" s="405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420138888888889" bottom="0.44027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7" min="6" style="0" width="11.99"/>
    <col collapsed="false" customWidth="true" hidden="false" outlineLevel="0" max="8" min="8" style="0" width="14.56"/>
    <col collapsed="false" customWidth="true" hidden="false" outlineLevel="0" max="9" min="9" style="0" width="13.85"/>
    <col collapsed="false" customWidth="true" hidden="false" outlineLevel="0" max="11" min="10" style="0" width="13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96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 t="s">
        <v>111</v>
      </c>
      <c r="B4" s="412"/>
      <c r="C4" s="412"/>
      <c r="D4" s="412"/>
      <c r="E4" s="412"/>
      <c r="F4" s="412"/>
      <c r="G4" s="412"/>
      <c r="H4" s="412"/>
      <c r="I4" s="412"/>
      <c r="J4" s="341"/>
      <c r="K4" s="341"/>
      <c r="L4" s="341"/>
    </row>
    <row r="5" customFormat="false" ht="12.75" hidden="false" customHeight="false" outlineLevel="0" collapsed="false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30</v>
      </c>
      <c r="E6" s="385"/>
      <c r="F6" s="385" t="s">
        <v>139</v>
      </c>
      <c r="G6" s="385" t="s">
        <v>88</v>
      </c>
      <c r="H6" s="385" t="s">
        <v>96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407"/>
    </row>
    <row r="8" customFormat="false" ht="12.75" hidden="false" customHeight="false" outlineLevel="0" collapsed="false">
      <c r="A8" s="387"/>
      <c r="B8" s="388"/>
      <c r="C8" s="388"/>
      <c r="D8" s="388" t="s">
        <v>194</v>
      </c>
      <c r="E8" s="388"/>
      <c r="F8" s="388"/>
      <c r="G8" s="388"/>
      <c r="H8" s="388" t="s">
        <v>16</v>
      </c>
      <c r="I8" s="388" t="s">
        <v>145</v>
      </c>
      <c r="J8" s="388" t="s">
        <v>145</v>
      </c>
      <c r="K8" s="389" t="s">
        <v>145</v>
      </c>
      <c r="L8" s="407"/>
    </row>
    <row r="9" customFormat="false" ht="12.75" hidden="false" customHeight="false" outlineLevel="0" collapsed="false">
      <c r="A9" s="390"/>
      <c r="B9" s="391"/>
      <c r="C9" s="391"/>
      <c r="D9" s="392" t="n">
        <v>-0.09</v>
      </c>
      <c r="E9" s="391"/>
      <c r="F9" s="391"/>
      <c r="G9" s="393"/>
      <c r="H9" s="392" t="s">
        <v>219</v>
      </c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36982</v>
      </c>
      <c r="B10" s="359"/>
      <c r="C10" s="360" t="s">
        <v>52</v>
      </c>
      <c r="D10" s="361" t="n">
        <f aca="false">5.384+$D$9</f>
        <v>5.294</v>
      </c>
      <c r="E10" s="359"/>
      <c r="F10" s="395" t="n">
        <v>150000</v>
      </c>
      <c r="G10" s="361"/>
      <c r="H10" s="361" t="n">
        <v>5.31</v>
      </c>
      <c r="I10" s="396" t="n">
        <f aca="false">SUM(D10-H10)*F10</f>
        <v>-2399.99999999987</v>
      </c>
      <c r="J10" s="397" t="n">
        <f aca="false">+I10</f>
        <v>-2399.99999999987</v>
      </c>
      <c r="K10" s="397"/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358" t="n">
        <v>37012</v>
      </c>
      <c r="B11" s="359"/>
      <c r="C11" s="360" t="s">
        <v>52</v>
      </c>
      <c r="D11" s="361" t="n">
        <f aca="false">4.891+D9</f>
        <v>4.801</v>
      </c>
      <c r="E11" s="359"/>
      <c r="F11" s="395" t="n">
        <v>155000</v>
      </c>
      <c r="G11" s="361"/>
      <c r="H11" s="361" t="n">
        <v>4.82</v>
      </c>
      <c r="I11" s="396" t="n">
        <f aca="false">SUM(D11-H11)*F11</f>
        <v>-2945.00000000002</v>
      </c>
      <c r="J11" s="397" t="n">
        <f aca="false">+I11</f>
        <v>-2945.00000000002</v>
      </c>
      <c r="K11" s="397"/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358" t="n">
        <v>37043</v>
      </c>
      <c r="B12" s="359"/>
      <c r="C12" s="360" t="s">
        <v>52</v>
      </c>
      <c r="D12" s="361" t="n">
        <f aca="false">3.738+$D$9</f>
        <v>3.648</v>
      </c>
      <c r="E12" s="359"/>
      <c r="F12" s="395" t="n">
        <v>150000</v>
      </c>
      <c r="G12" s="361"/>
      <c r="H12" s="361" t="n">
        <v>3.65</v>
      </c>
      <c r="I12" s="396" t="n">
        <f aca="false">SUM(D12-H12)*F12</f>
        <v>-299.999999999967</v>
      </c>
      <c r="J12" s="397"/>
      <c r="K12" s="397" t="n">
        <f aca="false">+I12</f>
        <v>-299.999999999967</v>
      </c>
      <c r="L12" s="366" t="n">
        <f aca="false">IF(K12=0,0,IF(A12&lt;(Summary!$K$3+365),K12,0))</f>
        <v>-299.999999999967</v>
      </c>
    </row>
    <row r="13" customFormat="false" ht="12.75" hidden="false" customHeight="false" outlineLevel="0" collapsed="false">
      <c r="A13" s="358" t="n">
        <v>37073</v>
      </c>
      <c r="B13" s="359"/>
      <c r="C13" s="360" t="s">
        <v>52</v>
      </c>
      <c r="D13" s="361" t="n">
        <f aca="false">[3]NYMEX!$C9+$D$9</f>
        <v>3.824</v>
      </c>
      <c r="E13" s="359"/>
      <c r="F13" s="395" t="n">
        <v>155000</v>
      </c>
      <c r="G13" s="361"/>
      <c r="H13" s="361" t="n">
        <f aca="false">'[3]PEPL Tx, Ok'!$E13</f>
        <v>3.794</v>
      </c>
      <c r="I13" s="396" t="n">
        <f aca="false">SUM(D13-H13)*F13</f>
        <v>4650.00000000004</v>
      </c>
      <c r="J13" s="397"/>
      <c r="K13" s="397" t="n">
        <f aca="false">+I13</f>
        <v>4650.00000000004</v>
      </c>
      <c r="L13" s="366" t="n">
        <f aca="false">IF(K13=0,0,IF(A13&lt;(Summary!$K$3+365),K13,0))</f>
        <v>4650.00000000004</v>
      </c>
    </row>
    <row r="14" customFormat="false" ht="12.75" hidden="false" customHeight="false" outlineLevel="0" collapsed="false">
      <c r="A14" s="358" t="n">
        <v>37104</v>
      </c>
      <c r="B14" s="359"/>
      <c r="C14" s="360" t="s">
        <v>52</v>
      </c>
      <c r="D14" s="361" t="n">
        <f aca="false">[3]NYMEX!$C10+$D$9</f>
        <v>3.9</v>
      </c>
      <c r="E14" s="359"/>
      <c r="F14" s="395" t="n">
        <v>155000</v>
      </c>
      <c r="G14" s="361"/>
      <c r="H14" s="361" t="n">
        <f aca="false">'[3]PEPL Tx, Ok'!$E14</f>
        <v>3.87</v>
      </c>
      <c r="I14" s="396" t="n">
        <f aca="false">SUM(D14-H14)*F14</f>
        <v>4650.00000000004</v>
      </c>
      <c r="J14" s="397"/>
      <c r="K14" s="397" t="n">
        <f aca="false">+I14</f>
        <v>4650.00000000004</v>
      </c>
      <c r="L14" s="366" t="n">
        <f aca="false">IF(K14=0,0,IF(A14&lt;(Summary!$K$3+365),K14,0))</f>
        <v>4650.00000000004</v>
      </c>
    </row>
    <row r="15" customFormat="false" ht="12.75" hidden="false" customHeight="false" outlineLevel="0" collapsed="false">
      <c r="A15" s="358" t="n">
        <v>37135</v>
      </c>
      <c r="B15" s="359"/>
      <c r="C15" s="360" t="s">
        <v>52</v>
      </c>
      <c r="D15" s="361" t="n">
        <f aca="false">[3]NYMEX!$C11+$D$9</f>
        <v>3.932</v>
      </c>
      <c r="E15" s="359"/>
      <c r="F15" s="395" t="n">
        <v>150000</v>
      </c>
      <c r="G15" s="361"/>
      <c r="H15" s="361" t="n">
        <f aca="false">'[3]PEPL Tx, Ok'!$E15</f>
        <v>3.902</v>
      </c>
      <c r="I15" s="396" t="n">
        <f aca="false">SUM(D15-H15)*F15</f>
        <v>4500.00000000004</v>
      </c>
      <c r="J15" s="397"/>
      <c r="K15" s="397" t="n">
        <f aca="false">+I15</f>
        <v>4500.00000000004</v>
      </c>
      <c r="L15" s="366" t="n">
        <f aca="false">IF(K15=0,0,IF(A15&lt;(Summary!$K$3+365),K15,0))</f>
        <v>4500.00000000004</v>
      </c>
    </row>
    <row r="16" customFormat="false" ht="12.75" hidden="false" customHeight="false" outlineLevel="0" collapsed="false">
      <c r="A16" s="358" t="n">
        <v>37165</v>
      </c>
      <c r="B16" s="359"/>
      <c r="C16" s="360" t="s">
        <v>52</v>
      </c>
      <c r="D16" s="361" t="n">
        <f aca="false">[3]NYMEX!$C12+$D$9</f>
        <v>3.958</v>
      </c>
      <c r="E16" s="359"/>
      <c r="F16" s="395" t="n">
        <v>155000</v>
      </c>
      <c r="G16" s="361"/>
      <c r="H16" s="361" t="n">
        <f aca="false">'[3]PEPL Tx, Ok'!$E16</f>
        <v>3.928</v>
      </c>
      <c r="I16" s="396" t="n">
        <f aca="false">SUM(D16-H16)*F16</f>
        <v>4650.00000000004</v>
      </c>
      <c r="J16" s="397"/>
      <c r="K16" s="397" t="n">
        <f aca="false">+I16</f>
        <v>4650.00000000004</v>
      </c>
      <c r="L16" s="366" t="n">
        <f aca="false">IF(K16=0,0,IF(A16&lt;(Summary!$K$3+365),K16,0))</f>
        <v>4650.00000000004</v>
      </c>
    </row>
    <row r="17" customFormat="false" ht="12.75" hidden="false" customHeight="false" outlineLevel="0" collapsed="false">
      <c r="A17" s="358"/>
      <c r="B17" s="359"/>
      <c r="C17" s="360"/>
      <c r="D17" s="418"/>
      <c r="E17" s="359"/>
      <c r="F17" s="395"/>
      <c r="G17" s="359"/>
      <c r="H17" s="418"/>
      <c r="I17" s="396"/>
      <c r="J17" s="398"/>
      <c r="K17" s="397"/>
      <c r="L17" s="380"/>
    </row>
    <row r="18" customFormat="false" ht="12.75" hidden="false" customHeight="false" outlineLevel="0" collapsed="false">
      <c r="A18" s="359"/>
      <c r="B18" s="359"/>
      <c r="C18" s="359"/>
      <c r="D18" s="361" t="n">
        <f aca="false">AVERAGE(D10:D16)</f>
        <v>4.19385714285714</v>
      </c>
      <c r="E18" s="359"/>
      <c r="F18" s="369" t="n">
        <f aca="false">SUM(F10:F16)</f>
        <v>1070000</v>
      </c>
      <c r="G18" s="359"/>
      <c r="H18" s="361" t="n">
        <f aca="false">AVERAGE(H10:H16)</f>
        <v>4.182</v>
      </c>
      <c r="I18" s="371" t="n">
        <f aca="false">SUM(I10:I16)</f>
        <v>12805.0000000003</v>
      </c>
      <c r="J18" s="371" t="n">
        <f aca="false">SUM(J10:J16)</f>
        <v>-5344.99999999989</v>
      </c>
      <c r="K18" s="371" t="n">
        <f aca="false">SUM(K10:K16)</f>
        <v>18150.0000000002</v>
      </c>
      <c r="L18" s="371" t="n">
        <f aca="false">SUM(L10:L16)</f>
        <v>18150.0000000002</v>
      </c>
    </row>
    <row r="19" customFormat="false" ht="12.75" hidden="false" customHeight="false" outlineLevel="0" collapsed="false">
      <c r="A19" s="359"/>
      <c r="B19" s="359"/>
      <c r="C19" s="359"/>
      <c r="D19" s="361"/>
      <c r="E19" s="359"/>
      <c r="F19" s="399"/>
      <c r="G19" s="359"/>
      <c r="H19" s="361"/>
      <c r="I19" s="400"/>
      <c r="J19" s="401"/>
      <c r="K19" s="401"/>
      <c r="L19" s="401"/>
    </row>
  </sheetData>
  <mergeCells count="5">
    <mergeCell ref="A1:K1"/>
    <mergeCell ref="A2:K2"/>
    <mergeCell ref="A3:K3"/>
    <mergeCell ref="A4:I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0.28"/>
    <col collapsed="false" customWidth="true" hidden="false" outlineLevel="0" max="4" min="4" style="0" width="12.99"/>
    <col collapsed="false" customWidth="false" hidden="true" outlineLevel="0" max="5" min="5" style="0" width="9.06"/>
    <col collapsed="false" customWidth="true" hidden="false" outlineLevel="0" max="6" min="6" style="0" width="14.99"/>
    <col collapsed="false" customWidth="true" hidden="false" outlineLevel="0" max="7" min="7" style="0" width="10.41"/>
    <col collapsed="false" customWidth="true" hidden="false" outlineLevel="0" max="8" min="8" style="0" width="12.85"/>
    <col collapsed="false" customWidth="true" hidden="false" outlineLevel="0" max="9" min="9" style="0" width="14.56"/>
    <col collapsed="false" customWidth="true" hidden="false" outlineLevel="0" max="11" min="10" style="0" width="14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220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 t="s">
        <v>113</v>
      </c>
      <c r="B4" s="412"/>
      <c r="C4" s="412"/>
      <c r="D4" s="412"/>
      <c r="E4" s="412"/>
      <c r="F4" s="412"/>
      <c r="G4" s="412"/>
      <c r="H4" s="412"/>
      <c r="I4" s="412"/>
      <c r="J4" s="341"/>
      <c r="K4" s="341"/>
      <c r="L4" s="341"/>
    </row>
    <row r="5" customFormat="false" ht="12.75" hidden="false" customHeight="false" outlineLevel="0" collapsed="false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96</v>
      </c>
      <c r="E6" s="385"/>
      <c r="F6" s="385" t="s">
        <v>139</v>
      </c>
      <c r="G6" s="385" t="s">
        <v>88</v>
      </c>
      <c r="H6" s="385" t="s">
        <v>30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407"/>
    </row>
    <row r="8" customFormat="false" ht="12.75" hidden="false" customHeight="false" outlineLevel="0" collapsed="false">
      <c r="A8" s="387"/>
      <c r="B8" s="388"/>
      <c r="C8" s="388"/>
      <c r="D8" s="388" t="s">
        <v>194</v>
      </c>
      <c r="E8" s="388"/>
      <c r="F8" s="388"/>
      <c r="G8" s="388"/>
      <c r="H8" s="388" t="s">
        <v>16</v>
      </c>
      <c r="I8" s="388" t="s">
        <v>145</v>
      </c>
      <c r="J8" s="388" t="s">
        <v>145</v>
      </c>
      <c r="K8" s="389" t="s">
        <v>145</v>
      </c>
      <c r="L8" s="407"/>
    </row>
    <row r="9" customFormat="false" ht="12.75" hidden="false" customHeight="false" outlineLevel="0" collapsed="false">
      <c r="A9" s="390"/>
      <c r="B9" s="391"/>
      <c r="C9" s="391"/>
      <c r="D9" s="392"/>
      <c r="E9" s="391"/>
      <c r="F9" s="391"/>
      <c r="G9" s="393"/>
      <c r="H9" s="392" t="s">
        <v>221</v>
      </c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409" t="n">
        <v>36982</v>
      </c>
      <c r="B10" s="367"/>
      <c r="C10" s="410" t="s">
        <v>52</v>
      </c>
      <c r="D10" s="363" t="n">
        <f aca="false">5.384+$D$9</f>
        <v>5.384</v>
      </c>
      <c r="E10" s="367"/>
      <c r="F10" s="362" t="n">
        <v>-150000</v>
      </c>
      <c r="G10" s="363"/>
      <c r="H10" s="363" t="n">
        <v>5.4</v>
      </c>
      <c r="I10" s="364" t="n">
        <f aca="false">SUM(D10-H10)*F10</f>
        <v>2400</v>
      </c>
      <c r="J10" s="365" t="n">
        <f aca="false">+I10</f>
        <v>2400</v>
      </c>
      <c r="K10" s="365"/>
      <c r="L10" s="366" t="n">
        <f aca="false">IF(K10=0,0,IF(A10&lt;(Summary!$K$3+365),K10,0))</f>
        <v>0</v>
      </c>
    </row>
    <row r="11" customFormat="false" ht="12.75" hidden="false" customHeight="false" outlineLevel="0" collapsed="false">
      <c r="A11" s="409" t="n">
        <v>37012</v>
      </c>
      <c r="B11" s="367"/>
      <c r="C11" s="410" t="s">
        <v>52</v>
      </c>
      <c r="D11" s="363" t="n">
        <f aca="false">4.891+$D$9</f>
        <v>4.891</v>
      </c>
      <c r="E11" s="367"/>
      <c r="F11" s="362" t="n">
        <v>-155000</v>
      </c>
      <c r="G11" s="363"/>
      <c r="H11" s="363" t="n">
        <v>4.81</v>
      </c>
      <c r="I11" s="364" t="n">
        <f aca="false">SUM(D11-H11)*F11</f>
        <v>-12555.0000000001</v>
      </c>
      <c r="J11" s="365" t="n">
        <f aca="false">+I11</f>
        <v>-12555.0000000001</v>
      </c>
      <c r="K11" s="365"/>
      <c r="L11" s="366" t="n">
        <f aca="false">IF(K11=0,0,IF(A11&lt;(Summary!$K$3+365),K11,0))</f>
        <v>0</v>
      </c>
    </row>
    <row r="12" customFormat="false" ht="12.75" hidden="false" customHeight="false" outlineLevel="0" collapsed="false">
      <c r="A12" s="409" t="n">
        <v>37043</v>
      </c>
      <c r="B12" s="367"/>
      <c r="C12" s="410" t="s">
        <v>52</v>
      </c>
      <c r="D12" s="363" t="n">
        <f aca="false">3.738+$D$9</f>
        <v>3.738</v>
      </c>
      <c r="E12" s="367"/>
      <c r="F12" s="362" t="n">
        <v>-150000</v>
      </c>
      <c r="G12" s="363"/>
      <c r="H12" s="363" t="n">
        <v>3.65</v>
      </c>
      <c r="I12" s="364" t="n">
        <f aca="false">SUM(D12-H12)*F12</f>
        <v>-13200</v>
      </c>
      <c r="J12" s="365"/>
      <c r="K12" s="365" t="n">
        <f aca="false">+I12</f>
        <v>-13200</v>
      </c>
      <c r="L12" s="366" t="n">
        <f aca="false">IF(K12=0,0,IF(A12&lt;(Summary!$K$3+365),K12,0))</f>
        <v>-13200</v>
      </c>
    </row>
    <row r="13" customFormat="false" ht="12.75" hidden="false" customHeight="false" outlineLevel="0" collapsed="false">
      <c r="A13" s="409" t="n">
        <v>37073</v>
      </c>
      <c r="B13" s="367"/>
      <c r="C13" s="410" t="s">
        <v>52</v>
      </c>
      <c r="D13" s="363" t="n">
        <f aca="false">[3]NYMEX!$C9+$D$9</f>
        <v>3.914</v>
      </c>
      <c r="E13" s="367"/>
      <c r="F13" s="362" t="n">
        <v>-155000</v>
      </c>
      <c r="G13" s="363"/>
      <c r="H13" s="363" t="n">
        <f aca="false">[3]Demarc!$E13</f>
        <v>3.829</v>
      </c>
      <c r="I13" s="364" t="n">
        <f aca="false">SUM(D13-H13)*F13</f>
        <v>-13175</v>
      </c>
      <c r="J13" s="365"/>
      <c r="K13" s="365" t="n">
        <f aca="false">+I13</f>
        <v>-13175</v>
      </c>
      <c r="L13" s="366" t="n">
        <f aca="false">IF(K13=0,0,IF(A13&lt;(Summary!$K$3+365),K13,0))</f>
        <v>-13175</v>
      </c>
    </row>
    <row r="14" customFormat="false" ht="12.75" hidden="false" customHeight="false" outlineLevel="0" collapsed="false">
      <c r="A14" s="409" t="n">
        <v>37104</v>
      </c>
      <c r="B14" s="367"/>
      <c r="C14" s="410" t="s">
        <v>52</v>
      </c>
      <c r="D14" s="363" t="n">
        <f aca="false">[3]NYMEX!$C10+$D$9</f>
        <v>3.99</v>
      </c>
      <c r="E14" s="367"/>
      <c r="F14" s="362" t="n">
        <v>-155000</v>
      </c>
      <c r="G14" s="363"/>
      <c r="H14" s="363" t="n">
        <f aca="false">[3]Demarc!$E14</f>
        <v>3.905</v>
      </c>
      <c r="I14" s="364" t="n">
        <f aca="false">SUM(D14-H14)*F14</f>
        <v>-13175</v>
      </c>
      <c r="J14" s="365"/>
      <c r="K14" s="365" t="n">
        <f aca="false">+I14</f>
        <v>-13175</v>
      </c>
      <c r="L14" s="366" t="n">
        <f aca="false">IF(K14=0,0,IF(A14&lt;(Summary!$K$3+365),K14,0))</f>
        <v>-13175</v>
      </c>
    </row>
    <row r="15" customFormat="false" ht="12.75" hidden="false" customHeight="false" outlineLevel="0" collapsed="false">
      <c r="A15" s="409" t="n">
        <v>37135</v>
      </c>
      <c r="B15" s="367"/>
      <c r="C15" s="410" t="s">
        <v>52</v>
      </c>
      <c r="D15" s="363" t="n">
        <f aca="false">[3]NYMEX!$C11+$D$9</f>
        <v>4.022</v>
      </c>
      <c r="E15" s="367"/>
      <c r="F15" s="362" t="n">
        <v>-150000</v>
      </c>
      <c r="G15" s="363"/>
      <c r="H15" s="363" t="n">
        <f aca="false">[3]Demarc!$E15</f>
        <v>3.937</v>
      </c>
      <c r="I15" s="364" t="n">
        <f aca="false">SUM(D15-H15)*F15</f>
        <v>-12750</v>
      </c>
      <c r="J15" s="365"/>
      <c r="K15" s="365" t="n">
        <f aca="false">+I15</f>
        <v>-12750</v>
      </c>
      <c r="L15" s="366" t="n">
        <f aca="false">IF(K15=0,0,IF(A15&lt;(Summary!$K$3+365),K15,0))</f>
        <v>-12750</v>
      </c>
    </row>
    <row r="16" customFormat="false" ht="12.75" hidden="false" customHeight="false" outlineLevel="0" collapsed="false">
      <c r="A16" s="409" t="n">
        <v>37165</v>
      </c>
      <c r="B16" s="367"/>
      <c r="C16" s="410" t="s">
        <v>52</v>
      </c>
      <c r="D16" s="363" t="n">
        <f aca="false">[3]NYMEX!$C12+$D$9</f>
        <v>4.048</v>
      </c>
      <c r="E16" s="367"/>
      <c r="F16" s="362" t="n">
        <v>-155000</v>
      </c>
      <c r="G16" s="363"/>
      <c r="H16" s="363" t="n">
        <f aca="false">[3]Demarc!$E16</f>
        <v>3.963</v>
      </c>
      <c r="I16" s="364" t="n">
        <f aca="false">SUM(D16-H16)*F16</f>
        <v>-13175</v>
      </c>
      <c r="J16" s="365"/>
      <c r="K16" s="365" t="n">
        <f aca="false">+I16</f>
        <v>-13175</v>
      </c>
      <c r="L16" s="366" t="n">
        <f aca="false">IF(K16=0,0,IF(A16&lt;(Summary!$K$3+365),K16,0))</f>
        <v>-13175</v>
      </c>
    </row>
    <row r="17" customFormat="false" ht="12.75" hidden="false" customHeight="false" outlineLevel="0" collapsed="false">
      <c r="A17" s="409"/>
      <c r="B17" s="367"/>
      <c r="C17" s="410"/>
      <c r="D17" s="380"/>
      <c r="E17" s="367"/>
      <c r="F17" s="362"/>
      <c r="G17" s="367"/>
      <c r="H17" s="434"/>
      <c r="I17" s="364"/>
      <c r="J17" s="368"/>
      <c r="K17" s="365"/>
      <c r="L17" s="359"/>
    </row>
    <row r="18" customFormat="false" ht="12.75" hidden="false" customHeight="false" outlineLevel="0" collapsed="false">
      <c r="A18" s="367"/>
      <c r="B18" s="367"/>
      <c r="C18" s="367"/>
      <c r="D18" s="363" t="n">
        <f aca="false">AVERAGE(D10:D16)</f>
        <v>4.28385714285714</v>
      </c>
      <c r="E18" s="367"/>
      <c r="F18" s="369" t="n">
        <f aca="false">SUM(F10:F16)</f>
        <v>-1070000</v>
      </c>
      <c r="G18" s="367"/>
      <c r="H18" s="363" t="n">
        <f aca="false">AVERAGE(H10:H16)</f>
        <v>4.21342857142857</v>
      </c>
      <c r="I18" s="371" t="n">
        <f aca="false">SUM(I10:I16)</f>
        <v>-75630.0000000001</v>
      </c>
      <c r="J18" s="371" t="n">
        <f aca="false">SUM(J10:J16)</f>
        <v>-10155.0000000001</v>
      </c>
      <c r="K18" s="371" t="n">
        <f aca="false">SUM(K10:K16)</f>
        <v>-65475</v>
      </c>
      <c r="L18" s="371" t="n">
        <f aca="false">SUM(L10:L16)</f>
        <v>-65475</v>
      </c>
    </row>
    <row r="19" customFormat="false" ht="12.75" hidden="false" customHeight="false" outlineLevel="0" collapsed="false">
      <c r="A19" s="359"/>
      <c r="B19" s="359"/>
      <c r="C19" s="359"/>
      <c r="D19" s="361"/>
      <c r="E19" s="359"/>
      <c r="F19" s="399"/>
      <c r="G19" s="359"/>
      <c r="H19" s="361"/>
      <c r="I19" s="400"/>
      <c r="J19" s="401"/>
      <c r="K19" s="401"/>
      <c r="L19" s="359"/>
    </row>
  </sheetData>
  <mergeCells count="5">
    <mergeCell ref="A1:K1"/>
    <mergeCell ref="A2:K2"/>
    <mergeCell ref="A3:K3"/>
    <mergeCell ref="A4:I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3.14"/>
    <col collapsed="false" customWidth="true" hidden="false" outlineLevel="0" max="7" min="7" style="0" width="14.99"/>
    <col collapsed="false" customWidth="true" hidden="false" outlineLevel="0" max="8" min="8" style="0" width="8.7"/>
    <col collapsed="false" customWidth="true" hidden="false" outlineLevel="0" max="12" min="9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137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342"/>
      <c r="B4" s="342"/>
      <c r="C4" s="342"/>
      <c r="D4" s="342"/>
      <c r="E4" s="342"/>
      <c r="F4" s="342"/>
      <c r="G4" s="342"/>
      <c r="H4" s="342"/>
      <c r="I4" s="342"/>
      <c r="J4" s="341"/>
      <c r="K4" s="341"/>
      <c r="L4" s="341"/>
    </row>
    <row r="6" customFormat="false" ht="12.75" hidden="false" customHeight="false" outlineLevel="0" collapsed="false">
      <c r="A6" s="343" t="s">
        <v>138</v>
      </c>
      <c r="B6" s="344" t="s">
        <v>5</v>
      </c>
      <c r="C6" s="344" t="s">
        <v>5</v>
      </c>
      <c r="D6" s="344" t="s">
        <v>52</v>
      </c>
      <c r="E6" s="344"/>
      <c r="F6" s="344" t="s">
        <v>139</v>
      </c>
      <c r="G6" s="344" t="s">
        <v>88</v>
      </c>
      <c r="H6" s="344" t="s">
        <v>31</v>
      </c>
      <c r="I6" s="345" t="s">
        <v>140</v>
      </c>
      <c r="J6" s="345"/>
      <c r="K6" s="345"/>
      <c r="L6" s="346"/>
    </row>
    <row r="7" customFormat="false" ht="12.75" hidden="false" customHeight="false" outlineLevel="0" collapsed="false">
      <c r="A7" s="347" t="s">
        <v>15</v>
      </c>
      <c r="B7" s="348" t="s">
        <v>12</v>
      </c>
      <c r="C7" s="348" t="s">
        <v>11</v>
      </c>
      <c r="D7" s="348" t="s">
        <v>141</v>
      </c>
      <c r="E7" s="348"/>
      <c r="F7" s="348" t="s">
        <v>142</v>
      </c>
      <c r="G7" s="348" t="s">
        <v>16</v>
      </c>
      <c r="H7" s="348" t="s">
        <v>143</v>
      </c>
      <c r="I7" s="348" t="s">
        <v>23</v>
      </c>
      <c r="J7" s="348" t="s">
        <v>24</v>
      </c>
      <c r="K7" s="349" t="s">
        <v>25</v>
      </c>
      <c r="L7" s="350"/>
    </row>
    <row r="8" customFormat="false" ht="12.75" hidden="false" customHeight="false" outlineLevel="0" collapsed="false">
      <c r="A8" s="351"/>
      <c r="B8" s="352"/>
      <c r="C8" s="352"/>
      <c r="D8" s="353" t="s">
        <v>16</v>
      </c>
      <c r="E8" s="352"/>
      <c r="F8" s="352"/>
      <c r="G8" s="354" t="s">
        <v>144</v>
      </c>
      <c r="H8" s="355" t="s">
        <v>16</v>
      </c>
      <c r="I8" s="355" t="s">
        <v>145</v>
      </c>
      <c r="J8" s="355" t="s">
        <v>145</v>
      </c>
      <c r="K8" s="356" t="s">
        <v>145</v>
      </c>
      <c r="L8" s="357" t="s">
        <v>146</v>
      </c>
    </row>
    <row r="9" customFormat="false" ht="12.75" hidden="false" customHeight="false" outlineLevel="0" collapsed="false">
      <c r="A9" s="358" t="n">
        <v>36892</v>
      </c>
      <c r="B9" s="359"/>
      <c r="C9" s="360" t="s">
        <v>52</v>
      </c>
      <c r="D9" s="361" t="n">
        <v>3.23</v>
      </c>
      <c r="E9" s="359"/>
      <c r="F9" s="362" t="n">
        <f aca="false">-5000*31</f>
        <v>-155000</v>
      </c>
      <c r="G9" s="363"/>
      <c r="H9" s="363" t="n">
        <v>9.81</v>
      </c>
      <c r="I9" s="364" t="n">
        <f aca="false">SUM(D9-H9)*F9</f>
        <v>1019900</v>
      </c>
      <c r="J9" s="365" t="n">
        <f aca="false">+I9</f>
        <v>1019900</v>
      </c>
      <c r="K9" s="365"/>
      <c r="L9" s="366" t="n">
        <f aca="false">IF(K9=0,0,IF(A9&lt;(Summary!$K$3+365),ENA_9!K9,0))</f>
        <v>0</v>
      </c>
    </row>
    <row r="10" customFormat="false" ht="12.75" hidden="false" customHeight="false" outlineLevel="0" collapsed="false">
      <c r="A10" s="358" t="n">
        <v>36923</v>
      </c>
      <c r="B10" s="359"/>
      <c r="C10" s="360" t="s">
        <v>52</v>
      </c>
      <c r="D10" s="361" t="n">
        <v>3.23</v>
      </c>
      <c r="E10" s="359"/>
      <c r="F10" s="362" t="n">
        <f aca="false">-5000*28</f>
        <v>-140000</v>
      </c>
      <c r="G10" s="363"/>
      <c r="H10" s="363" t="n">
        <v>6.65</v>
      </c>
      <c r="I10" s="364" t="n">
        <f aca="false">SUM(D10-H10)*F10</f>
        <v>478800</v>
      </c>
      <c r="J10" s="365" t="n">
        <f aca="false">+I10</f>
        <v>478800</v>
      </c>
      <c r="K10" s="365"/>
      <c r="L10" s="366" t="n">
        <f aca="false">IF(K10=0,0,IF(A10&lt;(Summary!$K$3+365),ENA_9!K10,0))</f>
        <v>0</v>
      </c>
    </row>
    <row r="11" customFormat="false" ht="12.75" hidden="false" customHeight="false" outlineLevel="0" collapsed="false">
      <c r="A11" s="358" t="n">
        <v>36951</v>
      </c>
      <c r="B11" s="359"/>
      <c r="C11" s="360" t="s">
        <v>52</v>
      </c>
      <c r="D11" s="361" t="n">
        <v>3.23</v>
      </c>
      <c r="E11" s="359"/>
      <c r="F11" s="362" t="n">
        <f aca="false">-5000*31</f>
        <v>-155000</v>
      </c>
      <c r="G11" s="363"/>
      <c r="H11" s="363" t="n">
        <v>5.12</v>
      </c>
      <c r="I11" s="364" t="n">
        <f aca="false">SUM(D11-H11)*F11</f>
        <v>292950</v>
      </c>
      <c r="J11" s="365" t="n">
        <f aca="false">+I11</f>
        <v>292950</v>
      </c>
      <c r="K11" s="365"/>
      <c r="L11" s="366" t="n">
        <f aca="false">IF(K11=0,0,IF(A11&lt;(Summary!$K$3+365),ENA_9!K11,0))</f>
        <v>0</v>
      </c>
    </row>
    <row r="12" customFormat="false" ht="12.75" hidden="false" customHeight="false" outlineLevel="0" collapsed="false">
      <c r="A12" s="358" t="n">
        <v>36982</v>
      </c>
      <c r="B12" s="359"/>
      <c r="C12" s="360" t="s">
        <v>52</v>
      </c>
      <c r="D12" s="361" t="n">
        <v>3.23</v>
      </c>
      <c r="E12" s="359"/>
      <c r="F12" s="362" t="n">
        <f aca="false">-5000*30</f>
        <v>-150000</v>
      </c>
      <c r="G12" s="363"/>
      <c r="H12" s="363" t="n">
        <v>5.31</v>
      </c>
      <c r="I12" s="364" t="n">
        <f aca="false">SUM(D12-H12)*F12</f>
        <v>312000</v>
      </c>
      <c r="J12" s="365" t="n">
        <f aca="false">+I12</f>
        <v>312000</v>
      </c>
      <c r="K12" s="365"/>
      <c r="L12" s="366" t="n">
        <f aca="false">IF(K12=0,0,IF(A12&lt;(Summary!$K$3+365),ENA_9!K12,0))</f>
        <v>0</v>
      </c>
    </row>
    <row r="13" customFormat="false" ht="12.75" hidden="false" customHeight="false" outlineLevel="0" collapsed="false">
      <c r="A13" s="358" t="n">
        <v>37012</v>
      </c>
      <c r="B13" s="359"/>
      <c r="C13" s="360" t="s">
        <v>52</v>
      </c>
      <c r="D13" s="361" t="n">
        <v>3.23</v>
      </c>
      <c r="E13" s="359"/>
      <c r="F13" s="362" t="n">
        <f aca="false">-5000*31</f>
        <v>-155000</v>
      </c>
      <c r="G13" s="367"/>
      <c r="H13" s="363" t="n">
        <v>4.91</v>
      </c>
      <c r="I13" s="364" t="n">
        <f aca="false">SUM(D13-H13)*F13</f>
        <v>260400</v>
      </c>
      <c r="J13" s="365" t="n">
        <f aca="false">+I13</f>
        <v>260400</v>
      </c>
      <c r="K13" s="365"/>
      <c r="L13" s="366" t="n">
        <f aca="false">IF(K13=0,0,IF(A13&lt;(Summary!$K$3+365),ENA_9!K13,0))</f>
        <v>0</v>
      </c>
    </row>
    <row r="14" customFormat="false" ht="12.75" hidden="false" customHeight="false" outlineLevel="0" collapsed="false">
      <c r="A14" s="358" t="n">
        <v>37043</v>
      </c>
      <c r="B14" s="359"/>
      <c r="C14" s="360" t="s">
        <v>52</v>
      </c>
      <c r="D14" s="361" t="n">
        <v>3.23</v>
      </c>
      <c r="E14" s="359"/>
      <c r="F14" s="362" t="n">
        <f aca="false">-5000*30</f>
        <v>-150000</v>
      </c>
      <c r="G14" s="367"/>
      <c r="H14" s="363" t="n">
        <v>3.82</v>
      </c>
      <c r="I14" s="364" t="n">
        <f aca="false">SUM(D14-H14)*F14</f>
        <v>88500</v>
      </c>
      <c r="J14" s="368"/>
      <c r="K14" s="365" t="n">
        <f aca="false">+I14</f>
        <v>88500</v>
      </c>
      <c r="L14" s="366" t="n">
        <f aca="false">IF(K14=0,0,IF(A14&lt;(Summary!$K$3+365),ENA_9!K14,0))</f>
        <v>88500</v>
      </c>
    </row>
    <row r="15" customFormat="false" ht="12.75" hidden="false" customHeight="false" outlineLevel="0" collapsed="false">
      <c r="A15" s="358" t="n">
        <v>37073</v>
      </c>
      <c r="B15" s="359"/>
      <c r="C15" s="360" t="s">
        <v>52</v>
      </c>
      <c r="D15" s="361" t="n">
        <v>3.23</v>
      </c>
      <c r="E15" s="359"/>
      <c r="F15" s="362" t="n">
        <f aca="false">-5000*31</f>
        <v>-155000</v>
      </c>
      <c r="G15" s="367"/>
      <c r="H15" s="363" t="n">
        <f aca="false">+'[3]ELpaso SJ &amp; Prm'!$F49</f>
        <v>3.874</v>
      </c>
      <c r="I15" s="364" t="n">
        <f aca="false">SUM(D15-H15)*F15</f>
        <v>99820</v>
      </c>
      <c r="J15" s="368"/>
      <c r="K15" s="365" t="n">
        <f aca="false">+I15</f>
        <v>99820</v>
      </c>
      <c r="L15" s="366" t="n">
        <f aca="false">IF(K15=0,0,IF(A15&lt;(Summary!$K$3+365),ENA_9!K15,0))</f>
        <v>99820</v>
      </c>
    </row>
    <row r="16" customFormat="false" ht="12.75" hidden="false" customHeight="false" outlineLevel="0" collapsed="false">
      <c r="A16" s="358" t="n">
        <v>37104</v>
      </c>
      <c r="B16" s="359"/>
      <c r="C16" s="360" t="s">
        <v>52</v>
      </c>
      <c r="D16" s="361" t="n">
        <v>3.23</v>
      </c>
      <c r="E16" s="359"/>
      <c r="F16" s="362" t="n">
        <f aca="false">-5000*31</f>
        <v>-155000</v>
      </c>
      <c r="G16" s="367"/>
      <c r="H16" s="363" t="n">
        <f aca="false">+'[3]ELpaso SJ &amp; Prm'!$F50</f>
        <v>3.985</v>
      </c>
      <c r="I16" s="364" t="n">
        <f aca="false">SUM(D16-H16)*F16</f>
        <v>117025</v>
      </c>
      <c r="J16" s="368"/>
      <c r="K16" s="365" t="n">
        <f aca="false">+I16</f>
        <v>117025</v>
      </c>
      <c r="L16" s="366" t="n">
        <f aca="false">IF(K16=0,0,IF(A16&lt;(Summary!$K$3+365),ENA_9!K16,0))</f>
        <v>117025</v>
      </c>
    </row>
    <row r="17" customFormat="false" ht="12.75" hidden="false" customHeight="false" outlineLevel="0" collapsed="false">
      <c r="A17" s="358" t="n">
        <v>37135</v>
      </c>
      <c r="B17" s="359"/>
      <c r="C17" s="360" t="s">
        <v>52</v>
      </c>
      <c r="D17" s="361" t="n">
        <v>3.23</v>
      </c>
      <c r="E17" s="359"/>
      <c r="F17" s="362" t="n">
        <f aca="false">-5000*30</f>
        <v>-150000</v>
      </c>
      <c r="G17" s="367"/>
      <c r="H17" s="363" t="n">
        <f aca="false">+'[3]ELpaso SJ &amp; Prm'!$F51</f>
        <v>4.012</v>
      </c>
      <c r="I17" s="364" t="n">
        <f aca="false">SUM(D17-H17)*F17</f>
        <v>117300</v>
      </c>
      <c r="J17" s="368"/>
      <c r="K17" s="365" t="n">
        <f aca="false">+I17</f>
        <v>117300</v>
      </c>
      <c r="L17" s="366" t="n">
        <f aca="false">IF(K17=0,0,IF(A17&lt;(Summary!$K$3+365),ENA_9!K17,0))</f>
        <v>117300</v>
      </c>
    </row>
    <row r="18" customFormat="false" ht="12.75" hidden="false" customHeight="false" outlineLevel="0" collapsed="false">
      <c r="A18" s="358" t="n">
        <v>37165</v>
      </c>
      <c r="B18" s="359"/>
      <c r="C18" s="360" t="s">
        <v>52</v>
      </c>
      <c r="D18" s="361" t="n">
        <v>3.23</v>
      </c>
      <c r="E18" s="359"/>
      <c r="F18" s="362" t="n">
        <f aca="false">-5000*31</f>
        <v>-155000</v>
      </c>
      <c r="G18" s="367"/>
      <c r="H18" s="363" t="n">
        <f aca="false">+'[3]ELpaso SJ &amp; Prm'!$F52</f>
        <v>4.013</v>
      </c>
      <c r="I18" s="364" t="n">
        <f aca="false">SUM(D18-H18)*F18</f>
        <v>121365</v>
      </c>
      <c r="J18" s="368"/>
      <c r="K18" s="365" t="n">
        <f aca="false">+I18</f>
        <v>121365</v>
      </c>
      <c r="L18" s="366" t="n">
        <f aca="false">IF(K18=0,0,IF(A18&lt;(Summary!$K$3+365),ENA_9!K18,0))</f>
        <v>121365</v>
      </c>
    </row>
    <row r="19" customFormat="false" ht="12.75" hidden="false" customHeight="false" outlineLevel="0" collapsed="false">
      <c r="A19" s="358" t="n">
        <v>37196</v>
      </c>
      <c r="B19" s="359"/>
      <c r="C19" s="360" t="s">
        <v>52</v>
      </c>
      <c r="D19" s="361" t="n">
        <v>3.23</v>
      </c>
      <c r="E19" s="359"/>
      <c r="F19" s="362" t="n">
        <f aca="false">-5000*30</f>
        <v>-150000</v>
      </c>
      <c r="G19" s="367"/>
      <c r="H19" s="363" t="n">
        <f aca="false">+'[3]ELpaso SJ &amp; Prm'!$F53</f>
        <v>4.1975</v>
      </c>
      <c r="I19" s="364" t="n">
        <f aca="false">SUM(D19-H19)*F19</f>
        <v>145125</v>
      </c>
      <c r="J19" s="368"/>
      <c r="K19" s="365" t="n">
        <f aca="false">+I19</f>
        <v>145125</v>
      </c>
      <c r="L19" s="366" t="n">
        <f aca="false">IF(K19=0,0,IF(A19&lt;(Summary!$K$3+365),ENA_9!K19,0))</f>
        <v>145125</v>
      </c>
    </row>
    <row r="20" customFormat="false" ht="12.75" hidden="false" customHeight="false" outlineLevel="0" collapsed="false">
      <c r="A20" s="358" t="n">
        <v>37226</v>
      </c>
      <c r="B20" s="359"/>
      <c r="C20" s="360" t="s">
        <v>52</v>
      </c>
      <c r="D20" s="361" t="n">
        <v>3.23</v>
      </c>
      <c r="E20" s="359"/>
      <c r="F20" s="362" t="n">
        <f aca="false">-5000*31</f>
        <v>-155000</v>
      </c>
      <c r="G20" s="367"/>
      <c r="H20" s="363" t="n">
        <f aca="false">+'[3]ELpaso SJ &amp; Prm'!$F54</f>
        <v>4.3605</v>
      </c>
      <c r="I20" s="364" t="n">
        <f aca="false">SUM(D20-H20)*F20</f>
        <v>175227.5</v>
      </c>
      <c r="J20" s="368"/>
      <c r="K20" s="365" t="n">
        <f aca="false">+I20</f>
        <v>175227.5</v>
      </c>
      <c r="L20" s="366" t="n">
        <f aca="false">IF(K20=0,0,IF(A20&lt;(Summary!$K$3+365),ENA_9!K20,0))</f>
        <v>175227.5</v>
      </c>
    </row>
    <row r="21" customFormat="false" ht="12.75" hidden="false" customHeight="false" outlineLevel="0" collapsed="false">
      <c r="A21" s="358"/>
      <c r="B21" s="359"/>
      <c r="C21" s="360"/>
      <c r="D21" s="361"/>
      <c r="E21" s="359"/>
      <c r="F21" s="362"/>
      <c r="G21" s="367"/>
      <c r="H21" s="363"/>
      <c r="I21" s="364"/>
      <c r="J21" s="368"/>
      <c r="K21" s="365"/>
      <c r="L21" s="359"/>
    </row>
    <row r="22" customFormat="false" ht="12.75" hidden="false" customHeight="false" outlineLevel="0" collapsed="false">
      <c r="A22" s="359"/>
      <c r="B22" s="359"/>
      <c r="C22" s="359"/>
      <c r="D22" s="359"/>
      <c r="E22" s="359"/>
      <c r="F22" s="369" t="n">
        <f aca="false">SUM(F9:F20)</f>
        <v>-1825000</v>
      </c>
      <c r="G22" s="367"/>
      <c r="H22" s="370" t="n">
        <f aca="false">AVERAGE(H9:H20)</f>
        <v>5.00516666666667</v>
      </c>
      <c r="I22" s="371" t="n">
        <f aca="false">SUM(I9:I20)</f>
        <v>3228412.5</v>
      </c>
      <c r="J22" s="371" t="n">
        <f aca="false">SUM(J9:J20)</f>
        <v>2364050</v>
      </c>
      <c r="K22" s="371" t="n">
        <f aca="false">SUM(K9:K20)</f>
        <v>864362.5</v>
      </c>
      <c r="L22" s="371" t="n">
        <f aca="false">SUM(L9:L20)</f>
        <v>864362.5</v>
      </c>
    </row>
    <row r="23" customFormat="false" ht="12.75" hidden="false" customHeight="false" outlineLevel="0" collapsed="false">
      <c r="A23" s="359"/>
      <c r="B23" s="359"/>
      <c r="C23" s="359"/>
      <c r="D23" s="359"/>
      <c r="E23" s="359"/>
      <c r="F23" s="372"/>
      <c r="G23" s="367"/>
      <c r="H23" s="367"/>
      <c r="I23" s="373"/>
      <c r="J23" s="374"/>
      <c r="K23" s="374"/>
      <c r="L23" s="359"/>
    </row>
    <row r="24" customFormat="false" ht="12.75" hidden="false" customHeight="false" outlineLevel="0" collapsed="false">
      <c r="A24" s="359"/>
      <c r="B24" s="359"/>
      <c r="C24" s="359"/>
      <c r="D24" s="359"/>
      <c r="E24" s="359"/>
      <c r="F24" s="367"/>
      <c r="G24" s="375" t="s">
        <v>144</v>
      </c>
      <c r="H24" s="370"/>
      <c r="I24" s="367"/>
      <c r="J24" s="368"/>
      <c r="K24" s="368"/>
      <c r="L24" s="359"/>
    </row>
    <row r="25" customFormat="false" ht="12.75" hidden="false" customHeight="false" outlineLevel="0" collapsed="false">
      <c r="A25" s="359"/>
      <c r="B25" s="359"/>
      <c r="C25" s="359"/>
      <c r="D25" s="361"/>
      <c r="E25" s="359"/>
      <c r="F25" s="367"/>
      <c r="G25" s="376"/>
      <c r="H25" s="370"/>
      <c r="I25" s="367"/>
      <c r="J25" s="368"/>
      <c r="K25" s="368"/>
      <c r="L25" s="359"/>
    </row>
    <row r="26" customFormat="false" ht="12.75" hidden="false" customHeight="false" outlineLevel="0" collapsed="false">
      <c r="A26" s="358" t="n">
        <v>36892</v>
      </c>
      <c r="B26" s="359"/>
      <c r="C26" s="360" t="s">
        <v>147</v>
      </c>
      <c r="D26" s="361" t="n">
        <v>3.23</v>
      </c>
      <c r="E26" s="359"/>
      <c r="F26" s="362" t="n">
        <f aca="false">5000*31</f>
        <v>155000</v>
      </c>
      <c r="G26" s="363"/>
      <c r="H26" s="363" t="n">
        <v>9.81</v>
      </c>
      <c r="I26" s="364" t="n">
        <f aca="false">(+D26-H26)*F26</f>
        <v>-1019900</v>
      </c>
      <c r="J26" s="365" t="n">
        <f aca="false">+I26</f>
        <v>-1019900</v>
      </c>
      <c r="K26" s="365"/>
      <c r="L26" s="366" t="n">
        <f aca="false">IF(K26=0,0,IF(A26&lt;(Summary!$K$3+365),ENA_9!K26,0))</f>
        <v>0</v>
      </c>
    </row>
    <row r="27" customFormat="false" ht="12.75" hidden="false" customHeight="false" outlineLevel="0" collapsed="false">
      <c r="A27" s="358" t="n">
        <v>36923</v>
      </c>
      <c r="B27" s="359"/>
      <c r="C27" s="360" t="s">
        <v>147</v>
      </c>
      <c r="D27" s="361" t="n">
        <v>3.23</v>
      </c>
      <c r="E27" s="359"/>
      <c r="F27" s="362" t="n">
        <f aca="false">5000*28</f>
        <v>140000</v>
      </c>
      <c r="G27" s="363"/>
      <c r="H27" s="363" t="n">
        <v>6.65</v>
      </c>
      <c r="I27" s="364" t="n">
        <f aca="false">(+D27-H27)*F27</f>
        <v>-478800</v>
      </c>
      <c r="J27" s="365" t="n">
        <f aca="false">+I27</f>
        <v>-478800</v>
      </c>
      <c r="K27" s="365"/>
      <c r="L27" s="366" t="n">
        <f aca="false">IF(K27=0,0,IF(A27&lt;(Summary!$K$3+365),ENA_9!K27,0))</f>
        <v>0</v>
      </c>
    </row>
    <row r="28" customFormat="false" ht="12.75" hidden="false" customHeight="false" outlineLevel="0" collapsed="false">
      <c r="A28" s="358" t="n">
        <v>36951</v>
      </c>
      <c r="B28" s="359"/>
      <c r="C28" s="360" t="s">
        <v>147</v>
      </c>
      <c r="D28" s="361" t="n">
        <v>3.23</v>
      </c>
      <c r="E28" s="359"/>
      <c r="F28" s="362" t="n">
        <f aca="false">5000*31</f>
        <v>155000</v>
      </c>
      <c r="G28" s="363"/>
      <c r="H28" s="363" t="n">
        <v>5.12</v>
      </c>
      <c r="I28" s="364" t="n">
        <f aca="false">(+D28-H28)*F28</f>
        <v>-292950</v>
      </c>
      <c r="J28" s="365" t="n">
        <f aca="false">+I28</f>
        <v>-292950</v>
      </c>
      <c r="K28" s="365"/>
      <c r="L28" s="366" t="n">
        <f aca="false">IF(K28=0,0,IF(A28&lt;(Summary!$K$3+365),ENA_9!K28,0))</f>
        <v>0</v>
      </c>
    </row>
    <row r="29" customFormat="false" ht="12.75" hidden="false" customHeight="false" outlineLevel="0" collapsed="false">
      <c r="A29" s="358" t="n">
        <v>36982</v>
      </c>
      <c r="B29" s="359"/>
      <c r="C29" s="360" t="s">
        <v>147</v>
      </c>
      <c r="D29" s="361" t="n">
        <v>3.23</v>
      </c>
      <c r="E29" s="359"/>
      <c r="F29" s="362" t="n">
        <f aca="false">5000*30</f>
        <v>150000</v>
      </c>
      <c r="G29" s="363"/>
      <c r="H29" s="363" t="n">
        <v>5.31</v>
      </c>
      <c r="I29" s="364" t="n">
        <f aca="false">(+D29-H29)*F29</f>
        <v>-312000</v>
      </c>
      <c r="J29" s="365" t="n">
        <f aca="false">+I29</f>
        <v>-312000</v>
      </c>
      <c r="K29" s="365"/>
      <c r="L29" s="366" t="n">
        <f aca="false">IF(K29=0,0,IF(A29&lt;(Summary!$K$3+365),ENA_9!K29,0))</f>
        <v>0</v>
      </c>
    </row>
    <row r="30" customFormat="false" ht="12.75" hidden="false" customHeight="false" outlineLevel="0" collapsed="false">
      <c r="A30" s="358" t="n">
        <v>37012</v>
      </c>
      <c r="B30" s="359"/>
      <c r="C30" s="360" t="s">
        <v>147</v>
      </c>
      <c r="D30" s="361" t="n">
        <v>3.23</v>
      </c>
      <c r="E30" s="359"/>
      <c r="F30" s="362" t="n">
        <f aca="false">5000*31</f>
        <v>155000</v>
      </c>
      <c r="G30" s="367"/>
      <c r="H30" s="363" t="n">
        <v>4.91</v>
      </c>
      <c r="I30" s="364" t="n">
        <f aca="false">(+D30-H30)*F30</f>
        <v>-260400</v>
      </c>
      <c r="J30" s="365" t="n">
        <f aca="false">+I30</f>
        <v>-260400</v>
      </c>
      <c r="K30" s="365"/>
      <c r="L30" s="366" t="n">
        <f aca="false">IF(K30=0,0,IF(A30&lt;(Summary!$K$3+365),ENA_9!K30,0))</f>
        <v>0</v>
      </c>
    </row>
    <row r="31" customFormat="false" ht="12.75" hidden="false" customHeight="false" outlineLevel="0" collapsed="false">
      <c r="A31" s="358" t="n">
        <v>37043</v>
      </c>
      <c r="B31" s="359"/>
      <c r="C31" s="360" t="s">
        <v>147</v>
      </c>
      <c r="D31" s="361" t="n">
        <v>3.23</v>
      </c>
      <c r="E31" s="359"/>
      <c r="F31" s="362" t="n">
        <f aca="false">5000*30</f>
        <v>150000</v>
      </c>
      <c r="G31" s="367"/>
      <c r="H31" s="363" t="n">
        <v>3.82</v>
      </c>
      <c r="I31" s="364" t="n">
        <f aca="false">(+D31-H31)*F31</f>
        <v>-88500</v>
      </c>
      <c r="J31" s="368"/>
      <c r="K31" s="365" t="n">
        <f aca="false">+I31</f>
        <v>-88500</v>
      </c>
      <c r="L31" s="366" t="n">
        <f aca="false">IF(K31=0,0,IF(A31&lt;(Summary!$K$3+365),ENA_9!K31,0))</f>
        <v>-88500</v>
      </c>
    </row>
    <row r="32" customFormat="false" ht="12.75" hidden="false" customHeight="false" outlineLevel="0" collapsed="false">
      <c r="A32" s="358" t="n">
        <v>37073</v>
      </c>
      <c r="B32" s="359"/>
      <c r="C32" s="360" t="s">
        <v>147</v>
      </c>
      <c r="D32" s="361" t="n">
        <v>3.23</v>
      </c>
      <c r="E32" s="359"/>
      <c r="F32" s="362" t="n">
        <f aca="false">5000*31</f>
        <v>155000</v>
      </c>
      <c r="G32" s="367"/>
      <c r="H32" s="363" t="n">
        <f aca="false">+'[3]ELpaso SJ &amp; Prm'!$G49</f>
        <v>3.8815</v>
      </c>
      <c r="I32" s="364" t="n">
        <f aca="false">(+D32-H32)*F32</f>
        <v>-100982.5</v>
      </c>
      <c r="J32" s="368"/>
      <c r="K32" s="365" t="n">
        <f aca="false">+I32</f>
        <v>-100982.5</v>
      </c>
      <c r="L32" s="366" t="n">
        <f aca="false">IF(K32=0,0,IF(A32&lt;(Summary!$K$3+365),ENA_9!K32,0))</f>
        <v>-100982.5</v>
      </c>
    </row>
    <row r="33" customFormat="false" ht="12.75" hidden="false" customHeight="false" outlineLevel="0" collapsed="false">
      <c r="A33" s="358" t="n">
        <v>37104</v>
      </c>
      <c r="B33" s="359"/>
      <c r="C33" s="360" t="s">
        <v>147</v>
      </c>
      <c r="D33" s="361" t="n">
        <v>3.23</v>
      </c>
      <c r="E33" s="359"/>
      <c r="F33" s="362" t="n">
        <f aca="false">5000*31</f>
        <v>155000</v>
      </c>
      <c r="G33" s="367"/>
      <c r="H33" s="363" t="n">
        <f aca="false">+'[3]ELpaso SJ &amp; Prm'!$G50</f>
        <v>3.9925</v>
      </c>
      <c r="I33" s="364" t="n">
        <f aca="false">(+D33-H33)*F33</f>
        <v>-118187.5</v>
      </c>
      <c r="J33" s="368"/>
      <c r="K33" s="365" t="n">
        <f aca="false">+I33</f>
        <v>-118187.5</v>
      </c>
      <c r="L33" s="366" t="n">
        <f aca="false">IF(K33=0,0,IF(A33&lt;(Summary!$K$3+365),ENA_9!K33,0))</f>
        <v>-118187.5</v>
      </c>
    </row>
    <row r="34" customFormat="false" ht="12.75" hidden="false" customHeight="false" outlineLevel="0" collapsed="false">
      <c r="A34" s="358" t="n">
        <v>37135</v>
      </c>
      <c r="B34" s="359"/>
      <c r="C34" s="360" t="s">
        <v>147</v>
      </c>
      <c r="D34" s="361" t="n">
        <v>3.23</v>
      </c>
      <c r="E34" s="359"/>
      <c r="F34" s="362" t="n">
        <f aca="false">5000*30</f>
        <v>150000</v>
      </c>
      <c r="G34" s="367"/>
      <c r="H34" s="363" t="n">
        <f aca="false">+'[3]ELpaso SJ &amp; Prm'!$G51</f>
        <v>4.0195</v>
      </c>
      <c r="I34" s="364" t="n">
        <f aca="false">(+D34-H34)*F34</f>
        <v>-118425</v>
      </c>
      <c r="J34" s="368"/>
      <c r="K34" s="365" t="n">
        <f aca="false">+I34</f>
        <v>-118425</v>
      </c>
      <c r="L34" s="366" t="n">
        <f aca="false">IF(K34=0,0,IF(A34&lt;(Summary!$K$3+365),ENA_9!K34,0))</f>
        <v>-118425</v>
      </c>
    </row>
    <row r="35" customFormat="false" ht="12.75" hidden="false" customHeight="false" outlineLevel="0" collapsed="false">
      <c r="A35" s="358" t="n">
        <v>37165</v>
      </c>
      <c r="B35" s="359"/>
      <c r="C35" s="360" t="s">
        <v>147</v>
      </c>
      <c r="D35" s="361" t="n">
        <v>3.23</v>
      </c>
      <c r="E35" s="359"/>
      <c r="F35" s="362" t="n">
        <f aca="false">5000*31</f>
        <v>155000</v>
      </c>
      <c r="G35" s="367"/>
      <c r="H35" s="363" t="n">
        <f aca="false">+'[3]ELpaso SJ &amp; Prm'!$G52</f>
        <v>4.0205</v>
      </c>
      <c r="I35" s="364" t="n">
        <f aca="false">(+D35-H35)*F35</f>
        <v>-122527.5</v>
      </c>
      <c r="J35" s="368"/>
      <c r="K35" s="365" t="n">
        <f aca="false">+I35</f>
        <v>-122527.5</v>
      </c>
      <c r="L35" s="366" t="n">
        <f aca="false">IF(K35=0,0,IF(A35&lt;(Summary!$K$3+365),ENA_9!K35,0))</f>
        <v>-122527.5</v>
      </c>
    </row>
    <row r="36" customFormat="false" ht="12.75" hidden="false" customHeight="false" outlineLevel="0" collapsed="false">
      <c r="A36" s="358" t="n">
        <v>37196</v>
      </c>
      <c r="B36" s="359"/>
      <c r="C36" s="360" t="s">
        <v>147</v>
      </c>
      <c r="D36" s="361" t="n">
        <v>3.23</v>
      </c>
      <c r="E36" s="359"/>
      <c r="F36" s="362" t="n">
        <f aca="false">5000*30</f>
        <v>150000</v>
      </c>
      <c r="G36" s="367"/>
      <c r="H36" s="363" t="n">
        <f aca="false">+'[3]ELpaso SJ &amp; Prm'!$G53</f>
        <v>4.2125</v>
      </c>
      <c r="I36" s="364" t="n">
        <f aca="false">(+D36-H36)*F36</f>
        <v>-147375</v>
      </c>
      <c r="J36" s="368"/>
      <c r="K36" s="365" t="n">
        <f aca="false">+I36</f>
        <v>-147375</v>
      </c>
      <c r="L36" s="366" t="n">
        <f aca="false">IF(K36=0,0,IF(A36&lt;(Summary!$K$3+365),ENA_9!K36,0))</f>
        <v>-147375</v>
      </c>
    </row>
    <row r="37" customFormat="false" ht="12.75" hidden="false" customHeight="false" outlineLevel="0" collapsed="false">
      <c r="A37" s="358" t="n">
        <v>37226</v>
      </c>
      <c r="B37" s="359"/>
      <c r="C37" s="360" t="s">
        <v>147</v>
      </c>
      <c r="D37" s="361" t="n">
        <v>3.23</v>
      </c>
      <c r="E37" s="359"/>
      <c r="F37" s="362" t="n">
        <f aca="false">5000*31</f>
        <v>155000</v>
      </c>
      <c r="G37" s="367"/>
      <c r="H37" s="363" t="n">
        <f aca="false">+'[3]ELpaso SJ &amp; Prm'!$G54</f>
        <v>4.3755</v>
      </c>
      <c r="I37" s="364" t="n">
        <f aca="false">(+D37-H37)*F37</f>
        <v>-177552.5</v>
      </c>
      <c r="J37" s="368"/>
      <c r="K37" s="365" t="n">
        <f aca="false">+I37</f>
        <v>-177552.5</v>
      </c>
      <c r="L37" s="366" t="n">
        <f aca="false">IF(K37=0,0,IF(A37&lt;(Summary!$K$3+365),ENA_9!K37,0))</f>
        <v>-177552.5</v>
      </c>
    </row>
    <row r="38" customFormat="false" ht="12.75" hidden="false" customHeight="false" outlineLevel="0" collapsed="false">
      <c r="A38" s="358"/>
      <c r="B38" s="359"/>
      <c r="C38" s="360"/>
      <c r="D38" s="361"/>
      <c r="E38" s="359"/>
      <c r="F38" s="362"/>
      <c r="G38" s="367"/>
      <c r="H38" s="363"/>
      <c r="I38" s="364"/>
      <c r="J38" s="368"/>
      <c r="K38" s="365"/>
      <c r="L38" s="359"/>
    </row>
    <row r="39" customFormat="false" ht="12.75" hidden="false" customHeight="false" outlineLevel="0" collapsed="false">
      <c r="A39" s="359"/>
      <c r="B39" s="359"/>
      <c r="C39" s="359"/>
      <c r="D39" s="359"/>
      <c r="E39" s="359"/>
      <c r="F39" s="369" t="n">
        <f aca="false">SUM(F26:F38)</f>
        <v>1825000</v>
      </c>
      <c r="G39" s="367"/>
      <c r="H39" s="367"/>
      <c r="I39" s="377" t="n">
        <f aca="false">SUM(I26:I38)</f>
        <v>-3237600</v>
      </c>
      <c r="J39" s="377" t="n">
        <f aca="false">SUM(J26:J38)</f>
        <v>-2364050</v>
      </c>
      <c r="K39" s="377" t="n">
        <f aca="false">SUM(K26:K38)</f>
        <v>-873550</v>
      </c>
      <c r="L39" s="377" t="n">
        <f aca="false">SUM(L26:L38)</f>
        <v>-873550</v>
      </c>
    </row>
    <row r="40" customFormat="false" ht="12.75" hidden="false" customHeight="false" outlineLevel="0" collapsed="false">
      <c r="A40" s="359"/>
      <c r="B40" s="359"/>
      <c r="C40" s="359"/>
      <c r="D40" s="359"/>
      <c r="E40" s="359"/>
      <c r="F40" s="367"/>
      <c r="G40" s="367"/>
      <c r="H40" s="367"/>
      <c r="I40" s="367"/>
      <c r="J40" s="368"/>
      <c r="K40" s="368"/>
      <c r="L40" s="368"/>
    </row>
    <row r="41" customFormat="false" ht="13.5" hidden="false" customHeight="false" outlineLevel="0" collapsed="false">
      <c r="A41" s="359"/>
      <c r="B41" s="359"/>
      <c r="C41" s="359"/>
      <c r="D41" s="359"/>
      <c r="E41" s="359"/>
      <c r="F41" s="378" t="n">
        <f aca="false">+F39+F22</f>
        <v>0</v>
      </c>
      <c r="G41" s="367"/>
      <c r="H41" s="367"/>
      <c r="I41" s="379" t="n">
        <f aca="false">+I39+I22</f>
        <v>-9187.5</v>
      </c>
      <c r="J41" s="379" t="n">
        <f aca="false">+J39+J22</f>
        <v>0</v>
      </c>
      <c r="K41" s="379" t="n">
        <f aca="false">+K39+K22</f>
        <v>-9187.5</v>
      </c>
      <c r="L41" s="379" t="n">
        <f aca="false">+L39+L22</f>
        <v>-9187.5</v>
      </c>
    </row>
    <row r="42" customFormat="false" ht="13.5" hidden="false" customHeight="false" outlineLevel="0" collapsed="false">
      <c r="A42" s="380"/>
      <c r="B42" s="380"/>
      <c r="C42" s="380"/>
      <c r="D42" s="380"/>
      <c r="E42" s="380"/>
      <c r="F42" s="381"/>
      <c r="G42" s="381"/>
      <c r="H42" s="381"/>
      <c r="I42" s="381"/>
      <c r="J42" s="382"/>
      <c r="K42" s="382"/>
      <c r="L42" s="382"/>
    </row>
    <row r="43" customFormat="false" ht="12.75" hidden="false" customHeight="false" outlineLevel="0" collapsed="false">
      <c r="F43" s="383"/>
      <c r="G43" s="383"/>
      <c r="H43" s="383"/>
      <c r="I43" s="383"/>
      <c r="J43" s="383"/>
      <c r="K43" s="383"/>
    </row>
    <row r="44" customFormat="false" ht="12.75" hidden="false" customHeight="false" outlineLevel="0" collapsed="false">
      <c r="A44" s="8" t="s">
        <v>148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1.99"/>
    <col collapsed="false" customWidth="true" hidden="false" outlineLevel="0" max="8" min="8" style="0" width="14.56"/>
    <col collapsed="false" customWidth="true" hidden="false" outlineLevel="0" max="9" min="9" style="0" width="14.28"/>
    <col collapsed="false" customWidth="true" hidden="false" outlineLevel="0" max="10" min="10" style="0" width="9.85"/>
    <col collapsed="false" customWidth="true" hidden="false" outlineLevel="0" max="11" min="11" style="0" width="16.28"/>
    <col collapsed="false" customWidth="true" hidden="false" outlineLevel="0" max="12" min="12" style="0" width="17.28"/>
  </cols>
  <sheetData>
    <row r="1" customFormat="false" ht="15.75" hidden="false" customHeight="false" outlineLevel="0" collapsed="false">
      <c r="A1" s="412" t="s">
        <v>182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341"/>
    </row>
    <row r="2" customFormat="false" ht="15.75" hidden="false" customHeight="false" outlineLevel="0" collapsed="false">
      <c r="A2" s="412" t="s">
        <v>222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341"/>
    </row>
    <row r="3" customFormat="false" ht="15.75" hidden="false" customHeight="false" outlineLevel="0" collapsed="false">
      <c r="A3" s="412" t="s">
        <v>114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341"/>
    </row>
    <row r="4" customFormat="false" ht="15.75" hidden="false" customHeight="false" outlineLevel="0" collapsed="false">
      <c r="A4" s="412" t="s">
        <v>115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114</v>
      </c>
      <c r="E6" s="385"/>
      <c r="F6" s="385" t="s">
        <v>139</v>
      </c>
      <c r="G6" s="385" t="s">
        <v>88</v>
      </c>
      <c r="H6" s="385" t="s">
        <v>30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407"/>
    </row>
    <row r="8" customFormat="false" ht="12.75" hidden="false" customHeight="false" outlineLevel="0" collapsed="false">
      <c r="A8" s="387"/>
      <c r="B8" s="388"/>
      <c r="C8" s="388"/>
      <c r="D8" s="388" t="s">
        <v>194</v>
      </c>
      <c r="E8" s="388"/>
      <c r="F8" s="388"/>
      <c r="G8" s="388"/>
      <c r="H8" s="388" t="s">
        <v>16</v>
      </c>
      <c r="I8" s="388" t="s">
        <v>145</v>
      </c>
      <c r="J8" s="388" t="s">
        <v>145</v>
      </c>
      <c r="K8" s="389" t="s">
        <v>145</v>
      </c>
      <c r="L8" s="407"/>
    </row>
    <row r="9" customFormat="false" ht="12.75" hidden="false" customHeight="false" outlineLevel="0" collapsed="false">
      <c r="A9" s="390"/>
      <c r="B9" s="391"/>
      <c r="C9" s="391"/>
      <c r="D9" s="392" t="n">
        <v>-0.085</v>
      </c>
      <c r="E9" s="391"/>
      <c r="F9" s="391"/>
      <c r="G9" s="393"/>
      <c r="H9" s="392" t="s">
        <v>219</v>
      </c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37043</v>
      </c>
      <c r="B10" s="359"/>
      <c r="C10" s="410" t="s">
        <v>114</v>
      </c>
      <c r="D10" s="361" t="n">
        <f aca="false">3.738+$D$9</f>
        <v>3.653</v>
      </c>
      <c r="E10" s="359"/>
      <c r="F10" s="395" t="n">
        <v>-150000</v>
      </c>
      <c r="G10" s="361"/>
      <c r="H10" s="361" t="n">
        <v>3.65</v>
      </c>
      <c r="I10" s="396" t="n">
        <f aca="false">SUM(D10-H10)*F10</f>
        <v>-450.000000000017</v>
      </c>
      <c r="J10" s="397"/>
      <c r="K10" s="397" t="n">
        <f aca="false">+I10</f>
        <v>-450.000000000017</v>
      </c>
      <c r="L10" s="366" t="n">
        <f aca="false">IF(K10=0,0,IF(A10&lt;(Summary!$K$3+365),K10,0))</f>
        <v>-450.000000000017</v>
      </c>
    </row>
    <row r="11" customFormat="false" ht="12.75" hidden="false" customHeight="false" outlineLevel="0" collapsed="false">
      <c r="A11" s="358" t="n">
        <v>37073</v>
      </c>
      <c r="B11" s="359"/>
      <c r="C11" s="410" t="s">
        <v>114</v>
      </c>
      <c r="D11" s="361" t="n">
        <f aca="false">[3]NYMEX!$C9+$D$9</f>
        <v>3.829</v>
      </c>
      <c r="E11" s="359"/>
      <c r="F11" s="395" t="n">
        <v>-155000</v>
      </c>
      <c r="G11" s="361"/>
      <c r="H11" s="361" t="n">
        <f aca="false">'[3]PEPL Tx, Ok'!$E13</f>
        <v>3.794</v>
      </c>
      <c r="I11" s="396" t="n">
        <f aca="false">SUM(D11-H11)*F11</f>
        <v>-5425.00000000002</v>
      </c>
      <c r="J11" s="397"/>
      <c r="K11" s="397" t="n">
        <f aca="false">+I11</f>
        <v>-5425.00000000002</v>
      </c>
      <c r="L11" s="366" t="n">
        <f aca="false">IF(K11=0,0,IF(A11&lt;(Summary!$K$3+365),K11,0))</f>
        <v>-5425.00000000002</v>
      </c>
    </row>
    <row r="12" customFormat="false" ht="12.75" hidden="false" customHeight="false" outlineLevel="0" collapsed="false">
      <c r="A12" s="358" t="n">
        <v>37104</v>
      </c>
      <c r="B12" s="359"/>
      <c r="C12" s="410" t="s">
        <v>114</v>
      </c>
      <c r="D12" s="361" t="n">
        <f aca="false">[3]NYMEX!$C10+$D$9</f>
        <v>3.905</v>
      </c>
      <c r="E12" s="359"/>
      <c r="F12" s="395" t="n">
        <v>-155000</v>
      </c>
      <c r="G12" s="361"/>
      <c r="H12" s="361" t="n">
        <f aca="false">'[3]PEPL Tx, Ok'!$E14</f>
        <v>3.87</v>
      </c>
      <c r="I12" s="396" t="n">
        <f aca="false">SUM(D12-H12)*F12</f>
        <v>-5425.00000000002</v>
      </c>
      <c r="J12" s="397"/>
      <c r="K12" s="397" t="n">
        <f aca="false">+I12</f>
        <v>-5425.00000000002</v>
      </c>
      <c r="L12" s="366" t="n">
        <f aca="false">IF(K12=0,0,IF(A12&lt;(Summary!$K$3+365),K12,0))</f>
        <v>-5425.00000000002</v>
      </c>
    </row>
    <row r="13" customFormat="false" ht="12.75" hidden="false" customHeight="false" outlineLevel="0" collapsed="false">
      <c r="A13" s="358" t="n">
        <v>37135</v>
      </c>
      <c r="B13" s="359"/>
      <c r="C13" s="410" t="s">
        <v>114</v>
      </c>
      <c r="D13" s="361" t="n">
        <f aca="false">[3]NYMEX!$C11+$D$9</f>
        <v>3.937</v>
      </c>
      <c r="E13" s="359"/>
      <c r="F13" s="395" t="n">
        <v>-150000</v>
      </c>
      <c r="G13" s="361"/>
      <c r="H13" s="361" t="n">
        <f aca="false">'[3]PEPL Tx, Ok'!$E15</f>
        <v>3.902</v>
      </c>
      <c r="I13" s="396" t="n">
        <f aca="false">SUM(D13-H13)*F13</f>
        <v>-5250.00000000002</v>
      </c>
      <c r="J13" s="397"/>
      <c r="K13" s="397" t="n">
        <f aca="false">+I13</f>
        <v>-5250.00000000002</v>
      </c>
      <c r="L13" s="366" t="n">
        <f aca="false">IF(K13=0,0,IF(A13&lt;(Summary!$K$3+365),K13,0))</f>
        <v>-5250.00000000002</v>
      </c>
    </row>
    <row r="14" customFormat="false" ht="12.75" hidden="false" customHeight="false" outlineLevel="0" collapsed="false">
      <c r="A14" s="358" t="n">
        <v>37165</v>
      </c>
      <c r="B14" s="359"/>
      <c r="C14" s="410" t="s">
        <v>114</v>
      </c>
      <c r="D14" s="361" t="n">
        <f aca="false">[3]NYMEX!$C12+$D$9</f>
        <v>3.963</v>
      </c>
      <c r="E14" s="359"/>
      <c r="F14" s="395" t="n">
        <v>-155000</v>
      </c>
      <c r="G14" s="361"/>
      <c r="H14" s="361" t="n">
        <f aca="false">'[3]PEPL Tx, Ok'!$E16</f>
        <v>3.928</v>
      </c>
      <c r="I14" s="396" t="n">
        <f aca="false">SUM(D14-H14)*F14</f>
        <v>-5425.00000000002</v>
      </c>
      <c r="J14" s="397"/>
      <c r="K14" s="397" t="n">
        <f aca="false">+I14</f>
        <v>-5425.00000000002</v>
      </c>
      <c r="L14" s="366" t="n">
        <f aca="false">IF(K14=0,0,IF(A14&lt;(Summary!$K$3+365),K14,0))</f>
        <v>-5425.00000000002</v>
      </c>
    </row>
    <row r="15" customFormat="false" ht="12.75" hidden="false" customHeight="false" outlineLevel="0" collapsed="false">
      <c r="A15" s="358"/>
      <c r="B15" s="359"/>
      <c r="C15" s="360"/>
      <c r="D15" s="418"/>
      <c r="E15" s="359"/>
      <c r="F15" s="395"/>
      <c r="G15" s="359"/>
      <c r="H15" s="418"/>
      <c r="I15" s="396"/>
      <c r="J15" s="398"/>
      <c r="K15" s="397"/>
      <c r="L15" s="359"/>
    </row>
    <row r="16" customFormat="false" ht="12.75" hidden="false" customHeight="false" outlineLevel="0" collapsed="false">
      <c r="A16" s="359"/>
      <c r="B16" s="359"/>
      <c r="C16" s="359"/>
      <c r="D16" s="361" t="n">
        <f aca="false">AVERAGE(D10:D14)</f>
        <v>3.8574</v>
      </c>
      <c r="E16" s="359"/>
      <c r="F16" s="369" t="n">
        <f aca="false">SUM(F10:F14)</f>
        <v>-765000</v>
      </c>
      <c r="G16" s="359"/>
      <c r="H16" s="361" t="n">
        <f aca="false">AVERAGE(H10:H14)</f>
        <v>3.8288</v>
      </c>
      <c r="I16" s="371" t="n">
        <f aca="false">SUM(I10:I14)</f>
        <v>-21975.0000000001</v>
      </c>
      <c r="J16" s="371" t="n">
        <f aca="false">SUM(J10:J14)</f>
        <v>0</v>
      </c>
      <c r="K16" s="371" t="n">
        <f aca="false">SUM(K10:K14)</f>
        <v>-21975.0000000001</v>
      </c>
      <c r="L16" s="371" t="n">
        <f aca="false">SUM(L10:L14)</f>
        <v>-21975.0000000001</v>
      </c>
    </row>
    <row r="17" customFormat="false" ht="12.75" hidden="false" customHeight="false" outlineLevel="0" collapsed="false">
      <c r="A17" s="359"/>
      <c r="B17" s="359"/>
      <c r="C17" s="359"/>
      <c r="D17" s="361"/>
      <c r="E17" s="359"/>
      <c r="F17" s="399"/>
      <c r="G17" s="359"/>
      <c r="H17" s="361"/>
      <c r="I17" s="400"/>
      <c r="J17" s="401"/>
      <c r="K17" s="401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10.71"/>
    <col collapsed="false" customWidth="true" hidden="false" outlineLevel="0" max="3" min="3" style="0" width="13.7"/>
    <col collapsed="false" customWidth="true" hidden="false" outlineLevel="0" max="4" min="4" style="0" width="12.99"/>
    <col collapsed="false" customWidth="false" hidden="true" outlineLevel="0" max="5" min="5" style="0" width="9.06"/>
    <col collapsed="false" customWidth="true" hidden="false" outlineLevel="0" max="6" min="6" style="0" width="14.99"/>
    <col collapsed="false" customWidth="true" hidden="false" outlineLevel="0" max="7" min="7" style="0" width="11.13"/>
    <col collapsed="false" customWidth="true" hidden="false" outlineLevel="0" max="8" min="8" style="0" width="12.85"/>
    <col collapsed="false" customWidth="true" hidden="false" outlineLevel="0" max="9" min="9" style="0" width="14.28"/>
    <col collapsed="false" customWidth="true" hidden="false" outlineLevel="0" max="11" min="10" style="0" width="14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.75" hidden="false" customHeight="false" outlineLevel="0" collapsed="false">
      <c r="A2" s="412" t="s">
        <v>222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341"/>
    </row>
    <row r="3" customFormat="false" ht="15.75" hidden="false" customHeight="false" outlineLevel="0" collapsed="false">
      <c r="A3" s="412" t="s">
        <v>114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341"/>
    </row>
    <row r="4" customFormat="false" ht="15.75" hidden="false" customHeight="false" outlineLevel="0" collapsed="false">
      <c r="A4" s="412" t="s">
        <v>117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30</v>
      </c>
      <c r="E6" s="385"/>
      <c r="F6" s="385" t="s">
        <v>139</v>
      </c>
      <c r="G6" s="385" t="s">
        <v>88</v>
      </c>
      <c r="H6" s="385" t="s">
        <v>114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407"/>
    </row>
    <row r="8" customFormat="false" ht="12.75" hidden="false" customHeight="false" outlineLevel="0" collapsed="false">
      <c r="A8" s="387"/>
      <c r="B8" s="388"/>
      <c r="C8" s="388"/>
      <c r="D8" s="388" t="s">
        <v>194</v>
      </c>
      <c r="E8" s="388"/>
      <c r="F8" s="388"/>
      <c r="G8" s="388"/>
      <c r="H8" s="388" t="s">
        <v>16</v>
      </c>
      <c r="I8" s="388" t="s">
        <v>145</v>
      </c>
      <c r="J8" s="388" t="s">
        <v>145</v>
      </c>
      <c r="K8" s="389" t="s">
        <v>145</v>
      </c>
      <c r="L8" s="407"/>
    </row>
    <row r="9" customFormat="false" ht="12.75" hidden="false" customHeight="false" outlineLevel="0" collapsed="false">
      <c r="A9" s="390"/>
      <c r="B9" s="391"/>
      <c r="C9" s="391"/>
      <c r="D9" s="392" t="n">
        <v>-0.03</v>
      </c>
      <c r="E9" s="391"/>
      <c r="F9" s="391"/>
      <c r="G9" s="393"/>
      <c r="H9" s="392" t="s">
        <v>221</v>
      </c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409" t="n">
        <v>37043</v>
      </c>
      <c r="B10" s="367"/>
      <c r="C10" s="410" t="s">
        <v>114</v>
      </c>
      <c r="D10" s="363" t="n">
        <f aca="false">3.738+$D$9</f>
        <v>3.708</v>
      </c>
      <c r="E10" s="367"/>
      <c r="F10" s="362" t="n">
        <v>150000</v>
      </c>
      <c r="G10" s="363"/>
      <c r="H10" s="363" t="n">
        <v>3.65</v>
      </c>
      <c r="I10" s="364" t="n">
        <f aca="false">SUM(D10-H10)*F10</f>
        <v>8700.00000000004</v>
      </c>
      <c r="J10" s="365"/>
      <c r="K10" s="365" t="n">
        <f aca="false">+I10</f>
        <v>8700.00000000004</v>
      </c>
      <c r="L10" s="366" t="n">
        <f aca="false">IF(K10=0,0,IF(A10&lt;(Summary!$K$3+365),K10,0))</f>
        <v>8700.00000000004</v>
      </c>
    </row>
    <row r="11" customFormat="false" ht="12.75" hidden="false" customHeight="false" outlineLevel="0" collapsed="false">
      <c r="A11" s="409" t="n">
        <v>37073</v>
      </c>
      <c r="B11" s="367"/>
      <c r="C11" s="410" t="s">
        <v>114</v>
      </c>
      <c r="D11" s="363" t="n">
        <f aca="false">[3]NYMEX!$C9+$D$9</f>
        <v>3.884</v>
      </c>
      <c r="E11" s="367"/>
      <c r="F11" s="362" t="n">
        <v>155000</v>
      </c>
      <c r="G11" s="363"/>
      <c r="H11" s="363" t="n">
        <f aca="false">[3]Demarc!$E13</f>
        <v>3.829</v>
      </c>
      <c r="I11" s="364" t="n">
        <f aca="false">SUM(D11-H11)*F11</f>
        <v>8525.00000000003</v>
      </c>
      <c r="J11" s="365"/>
      <c r="K11" s="365" t="n">
        <f aca="false">+I11</f>
        <v>8525.00000000003</v>
      </c>
      <c r="L11" s="366" t="n">
        <f aca="false">IF(K11=0,0,IF(A11&lt;(Summary!$K$3+365),K11,0))</f>
        <v>8525.00000000003</v>
      </c>
    </row>
    <row r="12" customFormat="false" ht="12.75" hidden="false" customHeight="false" outlineLevel="0" collapsed="false">
      <c r="A12" s="409" t="n">
        <v>37104</v>
      </c>
      <c r="B12" s="367"/>
      <c r="C12" s="410" t="s">
        <v>114</v>
      </c>
      <c r="D12" s="363" t="n">
        <f aca="false">[3]NYMEX!$C10+$D$9</f>
        <v>3.96</v>
      </c>
      <c r="E12" s="367"/>
      <c r="F12" s="362" t="n">
        <v>155000</v>
      </c>
      <c r="G12" s="363"/>
      <c r="H12" s="363" t="n">
        <f aca="false">[3]Demarc!$E14</f>
        <v>3.905</v>
      </c>
      <c r="I12" s="364" t="n">
        <f aca="false">SUM(D12-H12)*F12</f>
        <v>8525.00000000003</v>
      </c>
      <c r="J12" s="365"/>
      <c r="K12" s="365" t="n">
        <f aca="false">+I12</f>
        <v>8525.00000000003</v>
      </c>
      <c r="L12" s="366" t="n">
        <f aca="false">IF(K12=0,0,IF(A12&lt;(Summary!$K$3+365),K12,0))</f>
        <v>8525.00000000003</v>
      </c>
    </row>
    <row r="13" customFormat="false" ht="12.75" hidden="false" customHeight="false" outlineLevel="0" collapsed="false">
      <c r="A13" s="409" t="n">
        <v>37135</v>
      </c>
      <c r="B13" s="367"/>
      <c r="C13" s="410" t="s">
        <v>114</v>
      </c>
      <c r="D13" s="363" t="n">
        <f aca="false">[3]NYMEX!$C11+$D$9</f>
        <v>3.992</v>
      </c>
      <c r="E13" s="367"/>
      <c r="F13" s="362" t="n">
        <v>150000</v>
      </c>
      <c r="G13" s="363"/>
      <c r="H13" s="363" t="n">
        <f aca="false">[3]Demarc!$E15</f>
        <v>3.937</v>
      </c>
      <c r="I13" s="364" t="n">
        <f aca="false">SUM(D13-H13)*F13</f>
        <v>8250.00000000002</v>
      </c>
      <c r="J13" s="365"/>
      <c r="K13" s="365" t="n">
        <f aca="false">+I13</f>
        <v>8250.00000000002</v>
      </c>
      <c r="L13" s="366" t="n">
        <f aca="false">IF(K13=0,0,IF(A13&lt;(Summary!$K$3+365),K13,0))</f>
        <v>8250.00000000002</v>
      </c>
    </row>
    <row r="14" customFormat="false" ht="12.75" hidden="false" customHeight="false" outlineLevel="0" collapsed="false">
      <c r="A14" s="409" t="n">
        <v>37165</v>
      </c>
      <c r="B14" s="367"/>
      <c r="C14" s="410" t="s">
        <v>114</v>
      </c>
      <c r="D14" s="363" t="n">
        <f aca="false">[3]NYMEX!$C12+$D$9</f>
        <v>4.018</v>
      </c>
      <c r="E14" s="367"/>
      <c r="F14" s="362" t="n">
        <v>155000</v>
      </c>
      <c r="G14" s="363"/>
      <c r="H14" s="363" t="n">
        <f aca="false">[3]Demarc!$E16</f>
        <v>3.963</v>
      </c>
      <c r="I14" s="364" t="n">
        <f aca="false">SUM(D14-H14)*F14</f>
        <v>8524.99999999996</v>
      </c>
      <c r="J14" s="365"/>
      <c r="K14" s="365" t="n">
        <f aca="false">+I14</f>
        <v>8524.99999999996</v>
      </c>
      <c r="L14" s="366" t="n">
        <f aca="false">IF(K14=0,0,IF(A14&lt;(Summary!$K$3+365),K14,0))</f>
        <v>8524.99999999996</v>
      </c>
    </row>
    <row r="15" customFormat="false" ht="12.75" hidden="false" customHeight="false" outlineLevel="0" collapsed="false">
      <c r="A15" s="409"/>
      <c r="B15" s="367"/>
      <c r="C15" s="410"/>
      <c r="D15" s="380"/>
      <c r="E15" s="367"/>
      <c r="F15" s="362"/>
      <c r="G15" s="367"/>
      <c r="H15" s="434"/>
      <c r="I15" s="364"/>
      <c r="J15" s="368"/>
      <c r="K15" s="365"/>
      <c r="L15" s="380"/>
    </row>
    <row r="16" customFormat="false" ht="12.75" hidden="false" customHeight="false" outlineLevel="0" collapsed="false">
      <c r="A16" s="367"/>
      <c r="B16" s="367"/>
      <c r="C16" s="367"/>
      <c r="D16" s="363" t="n">
        <f aca="false">AVERAGE(D10:D14)</f>
        <v>3.9124</v>
      </c>
      <c r="E16" s="367"/>
      <c r="F16" s="369" t="n">
        <f aca="false">SUM(F10:F14)</f>
        <v>765000</v>
      </c>
      <c r="G16" s="367"/>
      <c r="H16" s="363" t="n">
        <f aca="false">AVERAGE(H10:H14)</f>
        <v>3.8568</v>
      </c>
      <c r="I16" s="371" t="n">
        <f aca="false">SUM(I10:I14)</f>
        <v>42525.0000000001</v>
      </c>
      <c r="J16" s="371" t="n">
        <f aca="false">SUM(J10:J14)</f>
        <v>0</v>
      </c>
      <c r="K16" s="371" t="n">
        <f aca="false">SUM(K10:K14)</f>
        <v>42525.0000000001</v>
      </c>
      <c r="L16" s="371" t="n">
        <f aca="false">SUM(L10:L14)</f>
        <v>42525.0000000001</v>
      </c>
    </row>
    <row r="17" customFormat="false" ht="12.75" hidden="false" customHeight="false" outlineLevel="0" collapsed="false">
      <c r="A17" s="359"/>
      <c r="B17" s="359"/>
      <c r="C17" s="359"/>
      <c r="D17" s="361"/>
      <c r="E17" s="359"/>
      <c r="F17" s="399"/>
      <c r="G17" s="359"/>
      <c r="H17" s="361"/>
      <c r="I17" s="400"/>
      <c r="J17" s="401"/>
      <c r="K17" s="401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4.28"/>
    <col collapsed="false" customWidth="false" hidden="true" outlineLevel="0" max="5" min="5" style="0" width="9.06"/>
    <col collapsed="false" customWidth="true" hidden="false" outlineLevel="0" max="6" min="6" style="0" width="11.42"/>
    <col collapsed="false" customWidth="true" hidden="false" outlineLevel="0" max="7" min="7" style="0" width="22.56"/>
    <col collapsed="false" customWidth="true" hidden="false" outlineLevel="0" max="8" min="8" style="0" width="11.56"/>
    <col collapsed="false" customWidth="true" hidden="false" outlineLevel="0" max="10" min="9" style="0" width="14.41"/>
    <col collapsed="false" customWidth="true" hidden="false" outlineLevel="0" max="11" min="11" style="0" width="14.56"/>
    <col collapsed="false" customWidth="true" hidden="false" outlineLevel="0" max="12" min="12" style="0" width="17.28"/>
  </cols>
  <sheetData>
    <row r="1" customFormat="false" ht="15.75" hidden="false" customHeight="false" outlineLevel="0" collapsed="false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1"/>
    </row>
    <row r="2" customFormat="false" ht="15.7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1"/>
    </row>
    <row r="3" customFormat="false" ht="15.75" hidden="false" customHeight="false" outlineLevel="0" collapsed="false">
      <c r="A3" s="339" t="s">
        <v>223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342"/>
      <c r="B4" s="342"/>
      <c r="C4" s="342"/>
      <c r="D4" s="342"/>
      <c r="E4" s="342"/>
      <c r="F4" s="342"/>
      <c r="G4" s="342"/>
      <c r="H4" s="342"/>
      <c r="I4" s="342"/>
      <c r="J4" s="341"/>
      <c r="K4" s="341"/>
      <c r="L4" s="341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224</v>
      </c>
      <c r="E6" s="385"/>
      <c r="F6" s="385" t="s">
        <v>139</v>
      </c>
      <c r="G6" s="385" t="s">
        <v>88</v>
      </c>
      <c r="H6" s="385" t="s">
        <v>30</v>
      </c>
      <c r="I6" s="386" t="s">
        <v>140</v>
      </c>
      <c r="J6" s="386"/>
      <c r="K6" s="386"/>
      <c r="L6" s="346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350"/>
    </row>
    <row r="8" customFormat="false" ht="12.75" hidden="false" customHeight="false" outlineLevel="0" collapsed="false">
      <c r="A8" s="387"/>
      <c r="B8" s="388"/>
      <c r="C8" s="388"/>
      <c r="D8" s="388" t="s">
        <v>225</v>
      </c>
      <c r="E8" s="388"/>
      <c r="F8" s="388"/>
      <c r="G8" s="388" t="s">
        <v>226</v>
      </c>
      <c r="H8" s="388" t="s">
        <v>16</v>
      </c>
      <c r="I8" s="388" t="s">
        <v>145</v>
      </c>
      <c r="J8" s="388" t="s">
        <v>145</v>
      </c>
      <c r="K8" s="389" t="s">
        <v>145</v>
      </c>
      <c r="L8" s="350"/>
    </row>
    <row r="9" customFormat="false" ht="12.75" hidden="false" customHeight="false" outlineLevel="0" collapsed="false">
      <c r="A9" s="390"/>
      <c r="B9" s="391"/>
      <c r="C9" s="391"/>
      <c r="D9" s="388" t="n">
        <v>-0.0225</v>
      </c>
      <c r="E9" s="391"/>
      <c r="F9" s="391"/>
      <c r="G9" s="393"/>
      <c r="H9" s="392"/>
      <c r="I9" s="392"/>
      <c r="J9" s="392"/>
      <c r="K9" s="394"/>
      <c r="L9" s="503" t="s">
        <v>146</v>
      </c>
    </row>
    <row r="10" customFormat="false" ht="12.75" hidden="false" customHeight="false" outlineLevel="0" collapsed="false">
      <c r="A10" s="504" t="n">
        <v>37043</v>
      </c>
      <c r="B10" s="359"/>
      <c r="C10" s="360" t="s">
        <v>224</v>
      </c>
      <c r="D10" s="361" t="n">
        <f aca="false">3.65+$D$9</f>
        <v>3.6275</v>
      </c>
      <c r="E10" s="361" t="n">
        <f aca="false">3.65-$D$9</f>
        <v>3.6725</v>
      </c>
      <c r="F10" s="362" t="n">
        <v>-10000</v>
      </c>
      <c r="G10" s="363"/>
      <c r="H10" s="363" t="n">
        <v>3.605</v>
      </c>
      <c r="I10" s="364" t="n">
        <f aca="false">SUM(D10-H10)*F10</f>
        <v>-225</v>
      </c>
      <c r="J10" s="365"/>
      <c r="K10" s="365" t="n">
        <f aca="false">+I10</f>
        <v>-225</v>
      </c>
      <c r="L10" s="366" t="n">
        <f aca="false">IF(K10=0,0,IF(A10&lt;([7]Summary!$C$3+365),K10,0))</f>
        <v>-225</v>
      </c>
    </row>
    <row r="11" customFormat="false" ht="12.75" hidden="false" customHeight="false" outlineLevel="0" collapsed="false">
      <c r="A11" s="504" t="n">
        <v>37044</v>
      </c>
      <c r="B11" s="359"/>
      <c r="C11" s="360" t="s">
        <v>224</v>
      </c>
      <c r="D11" s="361" t="n">
        <f aca="false">3.65+$D$9</f>
        <v>3.6275</v>
      </c>
      <c r="E11" s="359"/>
      <c r="F11" s="362" t="n">
        <v>-10000</v>
      </c>
      <c r="G11" s="363"/>
      <c r="H11" s="363" t="n">
        <v>3.545</v>
      </c>
      <c r="I11" s="364" t="n">
        <f aca="false">SUM(D11-H11)*F11</f>
        <v>-825</v>
      </c>
      <c r="J11" s="365"/>
      <c r="K11" s="365" t="n">
        <f aca="false">+I11</f>
        <v>-825</v>
      </c>
      <c r="L11" s="366" t="n">
        <f aca="false">IF(K11=0,0,IF(A11&lt;([7]Summary!$C$3+365),K11,0))</f>
        <v>-825</v>
      </c>
    </row>
    <row r="12" customFormat="false" ht="12.75" hidden="false" customHeight="false" outlineLevel="0" collapsed="false">
      <c r="A12" s="504" t="n">
        <v>37045</v>
      </c>
      <c r="B12" s="359"/>
      <c r="C12" s="360" t="s">
        <v>224</v>
      </c>
      <c r="D12" s="361" t="n">
        <f aca="false">3.65+$D$9</f>
        <v>3.6275</v>
      </c>
      <c r="E12" s="359"/>
      <c r="F12" s="362" t="n">
        <v>-10000</v>
      </c>
      <c r="G12" s="363"/>
      <c r="H12" s="363" t="n">
        <v>3.545</v>
      </c>
      <c r="I12" s="364" t="n">
        <f aca="false">SUM(D12-H12)*F12</f>
        <v>-825</v>
      </c>
      <c r="J12" s="365"/>
      <c r="K12" s="365" t="n">
        <f aca="false">+I12</f>
        <v>-825</v>
      </c>
      <c r="L12" s="366" t="n">
        <f aca="false">IF(K12=0,0,IF(A12&lt;([7]Summary!$C$3+365),K12,0))</f>
        <v>-825</v>
      </c>
    </row>
    <row r="13" customFormat="false" ht="12.75" hidden="false" customHeight="false" outlineLevel="0" collapsed="false">
      <c r="A13" s="504" t="n">
        <v>37046</v>
      </c>
      <c r="B13" s="359"/>
      <c r="C13" s="360" t="s">
        <v>224</v>
      </c>
      <c r="D13" s="361" t="n">
        <f aca="false">3.65+$D$9</f>
        <v>3.6275</v>
      </c>
      <c r="E13" s="359"/>
      <c r="F13" s="362" t="n">
        <v>-10000</v>
      </c>
      <c r="G13" s="363"/>
      <c r="H13" s="363" t="n">
        <v>3.545</v>
      </c>
      <c r="I13" s="364" t="n">
        <f aca="false">SUM(D13-H13)*F13</f>
        <v>-825</v>
      </c>
      <c r="J13" s="365"/>
      <c r="K13" s="365" t="n">
        <f aca="false">+I13</f>
        <v>-825</v>
      </c>
      <c r="L13" s="366" t="n">
        <f aca="false">IF(K13=0,0,IF(A13&lt;([7]Summary!$C$3+365),K13,0))</f>
        <v>-825</v>
      </c>
    </row>
    <row r="14" customFormat="false" ht="12.75" hidden="false" customHeight="false" outlineLevel="0" collapsed="false">
      <c r="A14" s="504" t="n">
        <v>37047</v>
      </c>
      <c r="B14" s="359"/>
      <c r="C14" s="360" t="s">
        <v>224</v>
      </c>
      <c r="D14" s="361" t="n">
        <f aca="false">3.65+$D$9</f>
        <v>3.6275</v>
      </c>
      <c r="E14" s="359"/>
      <c r="F14" s="362" t="n">
        <v>-10000</v>
      </c>
      <c r="G14" s="363"/>
      <c r="H14" s="363" t="n">
        <v>3.785</v>
      </c>
      <c r="I14" s="364" t="n">
        <f aca="false">SUM(D14-H14)*F14</f>
        <v>1575</v>
      </c>
      <c r="J14" s="365"/>
      <c r="K14" s="365" t="n">
        <f aca="false">+I14</f>
        <v>1575</v>
      </c>
      <c r="L14" s="366" t="n">
        <f aca="false">IF(K14=0,0,IF(A14&lt;([7]Summary!$C$3+365),K14,0))</f>
        <v>1575</v>
      </c>
    </row>
    <row r="15" customFormat="false" ht="12.75" hidden="false" customHeight="false" outlineLevel="0" collapsed="false">
      <c r="A15" s="504" t="n">
        <v>37048</v>
      </c>
      <c r="B15" s="359"/>
      <c r="C15" s="360" t="s">
        <v>224</v>
      </c>
      <c r="D15" s="361" t="n">
        <f aca="false">3.65+$D$9</f>
        <v>3.6275</v>
      </c>
      <c r="E15" s="359"/>
      <c r="F15" s="362" t="n">
        <v>-10000</v>
      </c>
      <c r="G15" s="363"/>
      <c r="H15" s="363" t="n">
        <v>3.89</v>
      </c>
      <c r="I15" s="364" t="n">
        <f aca="false">SUM(D15-H15)*F15</f>
        <v>2625</v>
      </c>
      <c r="J15" s="365"/>
      <c r="K15" s="365" t="n">
        <f aca="false">+I15</f>
        <v>2625</v>
      </c>
      <c r="L15" s="366" t="n">
        <f aca="false">IF(K15=0,0,IF(A15&lt;([7]Summary!$C$3+365),K15,0))</f>
        <v>2625</v>
      </c>
    </row>
    <row r="16" customFormat="false" ht="12.75" hidden="false" customHeight="false" outlineLevel="0" collapsed="false">
      <c r="A16" s="504" t="n">
        <v>37049</v>
      </c>
      <c r="B16" s="359"/>
      <c r="C16" s="360" t="s">
        <v>224</v>
      </c>
      <c r="D16" s="361" t="n">
        <f aca="false">3.65+$D$9</f>
        <v>3.6275</v>
      </c>
      <c r="E16" s="359"/>
      <c r="F16" s="362" t="n">
        <v>-10000</v>
      </c>
      <c r="G16" s="363"/>
      <c r="H16" s="363" t="n">
        <v>3.635</v>
      </c>
      <c r="I16" s="364" t="n">
        <f aca="false">SUM(D16-H16)*F16</f>
        <v>74.9999999999984</v>
      </c>
      <c r="J16" s="365"/>
      <c r="K16" s="365" t="n">
        <f aca="false">+I16</f>
        <v>74.9999999999984</v>
      </c>
      <c r="L16" s="366" t="n">
        <f aca="false">IF(K16=0,0,IF(A16&lt;([7]Summary!$C$3+365),K16,0))</f>
        <v>74.9999999999984</v>
      </c>
    </row>
    <row r="17" customFormat="false" ht="12.75" hidden="false" customHeight="false" outlineLevel="0" collapsed="false">
      <c r="A17" s="504" t="n">
        <v>37050</v>
      </c>
      <c r="B17" s="359"/>
      <c r="C17" s="360" t="s">
        <v>224</v>
      </c>
      <c r="D17" s="361" t="n">
        <f aca="false">3.65+$D$9</f>
        <v>3.6275</v>
      </c>
      <c r="E17" s="359"/>
      <c r="F17" s="362" t="n">
        <v>-10000</v>
      </c>
      <c r="G17" s="363"/>
      <c r="H17" s="363" t="n">
        <v>3.635</v>
      </c>
      <c r="I17" s="364" t="n">
        <f aca="false">SUM(D17-H17)*F17</f>
        <v>74.9999999999984</v>
      </c>
      <c r="J17" s="365"/>
      <c r="K17" s="365" t="n">
        <f aca="false">+I17</f>
        <v>74.9999999999984</v>
      </c>
      <c r="L17" s="366" t="n">
        <f aca="false">IF(K17=0,0,IF(A17&lt;([7]Summary!$C$3+365),K17,0))</f>
        <v>74.9999999999984</v>
      </c>
    </row>
    <row r="18" customFormat="false" ht="12.75" hidden="false" customHeight="false" outlineLevel="0" collapsed="false">
      <c r="A18" s="504" t="n">
        <v>37051</v>
      </c>
      <c r="B18" s="359"/>
      <c r="C18" s="360" t="s">
        <v>224</v>
      </c>
      <c r="D18" s="361" t="n">
        <f aca="false">3.65+$D$9</f>
        <v>3.6275</v>
      </c>
      <c r="E18" s="359"/>
      <c r="F18" s="362" t="n">
        <v>-10000</v>
      </c>
      <c r="G18" s="363"/>
      <c r="H18" s="363" t="n">
        <v>3.635</v>
      </c>
      <c r="I18" s="364" t="n">
        <f aca="false">SUM(D18-H18)*F18</f>
        <v>74.9999999999984</v>
      </c>
      <c r="J18" s="365"/>
      <c r="K18" s="365" t="n">
        <f aca="false">+I18</f>
        <v>74.9999999999984</v>
      </c>
      <c r="L18" s="366" t="n">
        <f aca="false">IF(K18=0,0,IF(A18&lt;([7]Summary!$C$3+365),K18,0))</f>
        <v>74.9999999999984</v>
      </c>
    </row>
    <row r="19" customFormat="false" ht="12.75" hidden="false" customHeight="false" outlineLevel="0" collapsed="false">
      <c r="A19" s="504" t="n">
        <v>37052</v>
      </c>
      <c r="B19" s="359"/>
      <c r="C19" s="360" t="s">
        <v>224</v>
      </c>
      <c r="D19" s="361" t="n">
        <f aca="false">3.65+$D$9</f>
        <v>3.6275</v>
      </c>
      <c r="E19" s="359"/>
      <c r="F19" s="362" t="n">
        <v>-10000</v>
      </c>
      <c r="G19" s="363"/>
      <c r="H19" s="363" t="n">
        <v>3.635</v>
      </c>
      <c r="I19" s="364" t="n">
        <f aca="false">SUM(D19-H19)*F19</f>
        <v>74.9999999999984</v>
      </c>
      <c r="J19" s="365"/>
      <c r="K19" s="365" t="n">
        <f aca="false">+I19</f>
        <v>74.9999999999984</v>
      </c>
      <c r="L19" s="366" t="n">
        <f aca="false">IF(K19=0,0,IF(A19&lt;([7]Summary!$C$3+365),K19,0))</f>
        <v>74.9999999999984</v>
      </c>
    </row>
    <row r="20" customFormat="false" ht="12.75" hidden="false" customHeight="false" outlineLevel="0" collapsed="false">
      <c r="A20" s="504" t="n">
        <v>37053</v>
      </c>
      <c r="B20" s="359"/>
      <c r="C20" s="360" t="s">
        <v>224</v>
      </c>
      <c r="D20" s="361" t="n">
        <f aca="false">3.65+$D$9</f>
        <v>3.6275</v>
      </c>
      <c r="E20" s="359"/>
      <c r="F20" s="362" t="n">
        <v>-10000</v>
      </c>
      <c r="G20" s="363"/>
      <c r="H20" s="363" t="n">
        <v>3.635</v>
      </c>
      <c r="I20" s="364" t="n">
        <f aca="false">SUM(D20-H20)*F20</f>
        <v>74.9999999999984</v>
      </c>
      <c r="J20" s="365"/>
      <c r="K20" s="365" t="n">
        <f aca="false">+I20</f>
        <v>74.9999999999984</v>
      </c>
      <c r="L20" s="366" t="n">
        <f aca="false">IF(K20=0,0,IF(A20&lt;([7]Summary!$C$3+365),K20,0))</f>
        <v>74.9999999999984</v>
      </c>
    </row>
    <row r="21" customFormat="false" ht="12.75" hidden="false" customHeight="false" outlineLevel="0" collapsed="false">
      <c r="A21" s="504" t="n">
        <v>37054</v>
      </c>
      <c r="B21" s="359"/>
      <c r="C21" s="360" t="s">
        <v>224</v>
      </c>
      <c r="D21" s="361" t="n">
        <f aca="false">3.65+$D$9</f>
        <v>3.6275</v>
      </c>
      <c r="E21" s="359"/>
      <c r="F21" s="362" t="n">
        <v>-10000</v>
      </c>
      <c r="G21" s="363"/>
      <c r="H21" s="363" t="n">
        <v>3.635</v>
      </c>
      <c r="I21" s="364" t="n">
        <f aca="false">SUM(D21-H21)*F21</f>
        <v>74.9999999999984</v>
      </c>
      <c r="J21" s="365"/>
      <c r="K21" s="365" t="n">
        <f aca="false">+I21</f>
        <v>74.9999999999984</v>
      </c>
      <c r="L21" s="366" t="n">
        <f aca="false">IF(K21=0,0,IF(A21&lt;([7]Summary!$C$3+365),K21,0))</f>
        <v>74.9999999999984</v>
      </c>
    </row>
    <row r="22" customFormat="false" ht="12.75" hidden="false" customHeight="false" outlineLevel="0" collapsed="false">
      <c r="A22" s="504" t="n">
        <v>37055</v>
      </c>
      <c r="B22" s="359"/>
      <c r="C22" s="360" t="s">
        <v>224</v>
      </c>
      <c r="D22" s="361" t="n">
        <f aca="false">3.65+$D$9</f>
        <v>3.6275</v>
      </c>
      <c r="E22" s="359"/>
      <c r="F22" s="362" t="n">
        <v>-10000</v>
      </c>
      <c r="G22" s="363"/>
      <c r="H22" s="363" t="n">
        <v>3.635</v>
      </c>
      <c r="I22" s="364" t="n">
        <f aca="false">SUM(D22-H22)*F22</f>
        <v>74.9999999999984</v>
      </c>
      <c r="J22" s="365"/>
      <c r="K22" s="365" t="n">
        <f aca="false">+I22</f>
        <v>74.9999999999984</v>
      </c>
      <c r="L22" s="366" t="n">
        <f aca="false">IF(K22=0,0,IF(A22&lt;([7]Summary!$C$3+365),K22,0))</f>
        <v>74.9999999999984</v>
      </c>
    </row>
    <row r="23" customFormat="false" ht="12.75" hidden="false" customHeight="false" outlineLevel="0" collapsed="false">
      <c r="A23" s="504" t="n">
        <v>37056</v>
      </c>
      <c r="B23" s="359"/>
      <c r="C23" s="360" t="s">
        <v>224</v>
      </c>
      <c r="D23" s="361" t="n">
        <f aca="false">3.65+$D$9</f>
        <v>3.6275</v>
      </c>
      <c r="E23" s="359"/>
      <c r="F23" s="362" t="n">
        <v>-10000</v>
      </c>
      <c r="G23" s="363"/>
      <c r="H23" s="363" t="n">
        <v>3.635</v>
      </c>
      <c r="I23" s="364" t="n">
        <f aca="false">SUM(D23-H23)*F23</f>
        <v>74.9999999999984</v>
      </c>
      <c r="J23" s="365"/>
      <c r="K23" s="365" t="n">
        <f aca="false">+I23</f>
        <v>74.9999999999984</v>
      </c>
      <c r="L23" s="366" t="n">
        <f aca="false">IF(K23=0,0,IF(A23&lt;([7]Summary!$C$3+365),K23,0))</f>
        <v>74.9999999999984</v>
      </c>
    </row>
    <row r="24" customFormat="false" ht="12.75" hidden="false" customHeight="false" outlineLevel="0" collapsed="false">
      <c r="A24" s="504" t="n">
        <v>37057</v>
      </c>
      <c r="B24" s="359"/>
      <c r="C24" s="360" t="s">
        <v>224</v>
      </c>
      <c r="D24" s="361" t="n">
        <f aca="false">3.65+$D$9</f>
        <v>3.6275</v>
      </c>
      <c r="E24" s="359"/>
      <c r="F24" s="362" t="n">
        <v>-10000</v>
      </c>
      <c r="G24" s="363"/>
      <c r="H24" s="363" t="n">
        <v>3.635</v>
      </c>
      <c r="I24" s="364" t="n">
        <f aca="false">SUM(D24-H24)*F24</f>
        <v>74.9999999999984</v>
      </c>
      <c r="J24" s="365"/>
      <c r="K24" s="365" t="n">
        <f aca="false">+I24</f>
        <v>74.9999999999984</v>
      </c>
      <c r="L24" s="366" t="n">
        <f aca="false">IF(K24=0,0,IF(A24&lt;([7]Summary!$C$3+365),K24,0))</f>
        <v>74.9999999999984</v>
      </c>
    </row>
    <row r="25" customFormat="false" ht="12.75" hidden="false" customHeight="false" outlineLevel="0" collapsed="false">
      <c r="A25" s="504" t="n">
        <v>37058</v>
      </c>
      <c r="B25" s="359"/>
      <c r="C25" s="360" t="s">
        <v>224</v>
      </c>
      <c r="D25" s="361" t="n">
        <f aca="false">3.65+$D$9</f>
        <v>3.6275</v>
      </c>
      <c r="E25" s="359"/>
      <c r="F25" s="362" t="n">
        <v>-10000</v>
      </c>
      <c r="G25" s="363"/>
      <c r="H25" s="363" t="n">
        <v>3.635</v>
      </c>
      <c r="I25" s="364" t="n">
        <f aca="false">SUM(D25-H25)*F25</f>
        <v>74.9999999999984</v>
      </c>
      <c r="J25" s="365"/>
      <c r="K25" s="365" t="n">
        <f aca="false">+I25</f>
        <v>74.9999999999984</v>
      </c>
      <c r="L25" s="366" t="n">
        <f aca="false">IF(K25=0,0,IF(A25&lt;([7]Summary!$C$3+365),K25,0))</f>
        <v>74.9999999999984</v>
      </c>
    </row>
    <row r="26" customFormat="false" ht="12.75" hidden="false" customHeight="false" outlineLevel="0" collapsed="false">
      <c r="A26" s="504" t="n">
        <v>37059</v>
      </c>
      <c r="B26" s="359"/>
      <c r="C26" s="360" t="s">
        <v>224</v>
      </c>
      <c r="D26" s="361" t="n">
        <f aca="false">3.65+$D$9</f>
        <v>3.6275</v>
      </c>
      <c r="E26" s="359"/>
      <c r="F26" s="362" t="n">
        <v>-10000</v>
      </c>
      <c r="G26" s="363"/>
      <c r="H26" s="363" t="n">
        <v>3.635</v>
      </c>
      <c r="I26" s="364" t="n">
        <f aca="false">SUM(D26-H26)*F26</f>
        <v>74.9999999999984</v>
      </c>
      <c r="J26" s="365"/>
      <c r="K26" s="365" t="n">
        <f aca="false">+I26</f>
        <v>74.9999999999984</v>
      </c>
      <c r="L26" s="366" t="n">
        <f aca="false">IF(K26=0,0,IF(A26&lt;([7]Summary!$C$3+365),K26,0))</f>
        <v>74.9999999999984</v>
      </c>
    </row>
    <row r="27" customFormat="false" ht="12.75" hidden="false" customHeight="false" outlineLevel="0" collapsed="false">
      <c r="A27" s="504" t="n">
        <v>37060</v>
      </c>
      <c r="B27" s="359"/>
      <c r="C27" s="360" t="s">
        <v>224</v>
      </c>
      <c r="D27" s="361" t="n">
        <f aca="false">3.65+$D$9</f>
        <v>3.6275</v>
      </c>
      <c r="E27" s="359"/>
      <c r="F27" s="362" t="n">
        <v>-10000</v>
      </c>
      <c r="G27" s="363"/>
      <c r="H27" s="363" t="n">
        <v>3.635</v>
      </c>
      <c r="I27" s="364" t="n">
        <f aca="false">SUM(D27-H27)*F27</f>
        <v>74.9999999999984</v>
      </c>
      <c r="J27" s="365"/>
      <c r="K27" s="365" t="n">
        <f aca="false">+I27</f>
        <v>74.9999999999984</v>
      </c>
      <c r="L27" s="366" t="n">
        <f aca="false">IF(K27=0,0,IF(A27&lt;([7]Summary!$C$3+365),K27,0))</f>
        <v>74.9999999999984</v>
      </c>
    </row>
    <row r="28" customFormat="false" ht="12.75" hidden="false" customHeight="false" outlineLevel="0" collapsed="false">
      <c r="A28" s="504" t="n">
        <v>37061</v>
      </c>
      <c r="B28" s="359"/>
      <c r="C28" s="360" t="s">
        <v>224</v>
      </c>
      <c r="D28" s="361" t="n">
        <f aca="false">3.65+$D$9</f>
        <v>3.6275</v>
      </c>
      <c r="E28" s="359"/>
      <c r="F28" s="362" t="n">
        <v>-10000</v>
      </c>
      <c r="G28" s="367"/>
      <c r="H28" s="363" t="n">
        <v>3.635</v>
      </c>
      <c r="I28" s="364" t="n">
        <f aca="false">SUM(D28-H28)*F28</f>
        <v>74.9999999999984</v>
      </c>
      <c r="J28" s="365"/>
      <c r="K28" s="365" t="n">
        <f aca="false">+I28</f>
        <v>74.9999999999984</v>
      </c>
      <c r="L28" s="366" t="n">
        <f aca="false">IF(K28=0,0,IF(A28&lt;([7]Summary!$C$3+365),K28,0))</f>
        <v>74.9999999999984</v>
      </c>
    </row>
    <row r="29" customFormat="false" ht="12.75" hidden="false" customHeight="false" outlineLevel="0" collapsed="false">
      <c r="A29" s="504" t="n">
        <v>37062</v>
      </c>
      <c r="B29" s="359"/>
      <c r="C29" s="360" t="s">
        <v>224</v>
      </c>
      <c r="D29" s="361" t="n">
        <f aca="false">3.65+$D$9</f>
        <v>3.6275</v>
      </c>
      <c r="E29" s="359"/>
      <c r="F29" s="362" t="n">
        <v>-10000</v>
      </c>
      <c r="G29" s="367"/>
      <c r="H29" s="363" t="n">
        <v>3.635</v>
      </c>
      <c r="I29" s="364" t="n">
        <f aca="false">SUM(D29-H29)*F29</f>
        <v>74.9999999999984</v>
      </c>
      <c r="J29" s="365"/>
      <c r="K29" s="365" t="n">
        <f aca="false">+I29</f>
        <v>74.9999999999984</v>
      </c>
      <c r="L29" s="366" t="n">
        <f aca="false">IF(K29=0,0,IF(A29&lt;([7]Summary!$C$3+365),K29,0))</f>
        <v>74.9999999999984</v>
      </c>
    </row>
    <row r="30" customFormat="false" ht="12.75" hidden="false" customHeight="false" outlineLevel="0" collapsed="false">
      <c r="A30" s="504" t="n">
        <v>37063</v>
      </c>
      <c r="B30" s="359"/>
      <c r="C30" s="360" t="s">
        <v>224</v>
      </c>
      <c r="D30" s="361" t="n">
        <f aca="false">3.65+$D$9</f>
        <v>3.6275</v>
      </c>
      <c r="E30" s="359"/>
      <c r="F30" s="362" t="n">
        <v>-10000</v>
      </c>
      <c r="G30" s="367"/>
      <c r="H30" s="363" t="n">
        <v>3.635</v>
      </c>
      <c r="I30" s="364" t="n">
        <f aca="false">SUM(D30-H30)*F30</f>
        <v>74.9999999999984</v>
      </c>
      <c r="J30" s="365"/>
      <c r="K30" s="365" t="n">
        <f aca="false">+I30</f>
        <v>74.9999999999984</v>
      </c>
      <c r="L30" s="366" t="n">
        <f aca="false">IF(K30=0,0,IF(A30&lt;([7]Summary!$C$3+365),K30,0))</f>
        <v>74.9999999999984</v>
      </c>
    </row>
    <row r="31" customFormat="false" ht="12.75" hidden="false" customHeight="false" outlineLevel="0" collapsed="false">
      <c r="A31" s="504" t="n">
        <v>37064</v>
      </c>
      <c r="B31" s="359"/>
      <c r="C31" s="360" t="s">
        <v>224</v>
      </c>
      <c r="D31" s="361" t="n">
        <f aca="false">3.65+$D$9</f>
        <v>3.6275</v>
      </c>
      <c r="E31" s="359"/>
      <c r="F31" s="362" t="n">
        <v>-10000</v>
      </c>
      <c r="G31" s="367"/>
      <c r="H31" s="363" t="n">
        <v>3.635</v>
      </c>
      <c r="I31" s="364" t="n">
        <f aca="false">SUM(D31-H31)*F31</f>
        <v>74.9999999999984</v>
      </c>
      <c r="J31" s="365"/>
      <c r="K31" s="365" t="n">
        <f aca="false">+I31</f>
        <v>74.9999999999984</v>
      </c>
      <c r="L31" s="366" t="n">
        <f aca="false">IF(K31=0,0,IF(A31&lt;([7]Summary!$C$3+365),K31,0))</f>
        <v>74.9999999999984</v>
      </c>
    </row>
    <row r="32" customFormat="false" ht="12.75" hidden="false" customHeight="false" outlineLevel="0" collapsed="false">
      <c r="A32" s="504" t="n">
        <v>37065</v>
      </c>
      <c r="B32" s="359"/>
      <c r="C32" s="360" t="s">
        <v>224</v>
      </c>
      <c r="D32" s="361" t="n">
        <f aca="false">3.65+$D$9</f>
        <v>3.6275</v>
      </c>
      <c r="E32" s="359"/>
      <c r="F32" s="362" t="n">
        <v>-10000</v>
      </c>
      <c r="G32" s="367"/>
      <c r="H32" s="363" t="n">
        <v>3.635</v>
      </c>
      <c r="I32" s="364" t="n">
        <f aca="false">SUM(D32-H32)*F32</f>
        <v>74.9999999999984</v>
      </c>
      <c r="J32" s="365"/>
      <c r="K32" s="365" t="n">
        <f aca="false">+I32</f>
        <v>74.9999999999984</v>
      </c>
      <c r="L32" s="366" t="n">
        <f aca="false">IF(K32=0,0,IF(A32&lt;([7]Summary!$C$3+365),K32,0))</f>
        <v>74.9999999999984</v>
      </c>
    </row>
    <row r="33" customFormat="false" ht="12.75" hidden="false" customHeight="false" outlineLevel="0" collapsed="false">
      <c r="A33" s="504" t="n">
        <v>37066</v>
      </c>
      <c r="B33" s="359"/>
      <c r="C33" s="360" t="s">
        <v>224</v>
      </c>
      <c r="D33" s="361" t="n">
        <f aca="false">3.65+$D$9</f>
        <v>3.6275</v>
      </c>
      <c r="E33" s="359"/>
      <c r="F33" s="362" t="n">
        <v>-10000</v>
      </c>
      <c r="G33" s="367"/>
      <c r="H33" s="363" t="n">
        <v>3.635</v>
      </c>
      <c r="I33" s="364" t="n">
        <f aca="false">SUM(D33-H33)*F33</f>
        <v>74.9999999999984</v>
      </c>
      <c r="J33" s="365"/>
      <c r="K33" s="365" t="n">
        <f aca="false">+I33</f>
        <v>74.9999999999984</v>
      </c>
      <c r="L33" s="366" t="n">
        <f aca="false">IF(K33=0,0,IF(A33&lt;([7]Summary!$C$3+365),K33,0))</f>
        <v>74.9999999999984</v>
      </c>
    </row>
    <row r="34" customFormat="false" ht="12.75" hidden="false" customHeight="false" outlineLevel="0" collapsed="false">
      <c r="A34" s="504" t="n">
        <v>37067</v>
      </c>
      <c r="B34" s="359"/>
      <c r="C34" s="360" t="s">
        <v>224</v>
      </c>
      <c r="D34" s="361" t="n">
        <f aca="false">3.65+$D$9</f>
        <v>3.6275</v>
      </c>
      <c r="E34" s="359"/>
      <c r="F34" s="362" t="n">
        <v>-10000</v>
      </c>
      <c r="G34" s="367"/>
      <c r="H34" s="363" t="n">
        <v>3.635</v>
      </c>
      <c r="I34" s="364" t="n">
        <f aca="false">SUM(D34-H34)*F34</f>
        <v>74.9999999999984</v>
      </c>
      <c r="J34" s="365"/>
      <c r="K34" s="365" t="n">
        <f aca="false">+I34</f>
        <v>74.9999999999984</v>
      </c>
      <c r="L34" s="366" t="n">
        <f aca="false">IF(K34=0,0,IF(A34&lt;([7]Summary!$C$3+365),K34,0))</f>
        <v>74.9999999999984</v>
      </c>
    </row>
    <row r="35" customFormat="false" ht="12.75" hidden="false" customHeight="false" outlineLevel="0" collapsed="false">
      <c r="A35" s="504" t="n">
        <v>37068</v>
      </c>
      <c r="B35" s="359"/>
      <c r="C35" s="360" t="s">
        <v>224</v>
      </c>
      <c r="D35" s="361" t="n">
        <f aca="false">3.65+$D$9</f>
        <v>3.6275</v>
      </c>
      <c r="E35" s="359"/>
      <c r="F35" s="362" t="n">
        <v>-10000</v>
      </c>
      <c r="G35" s="367"/>
      <c r="H35" s="363" t="n">
        <v>3.635</v>
      </c>
      <c r="I35" s="364" t="n">
        <f aca="false">SUM(D35-H35)*F35</f>
        <v>74.9999999999984</v>
      </c>
      <c r="J35" s="365"/>
      <c r="K35" s="365" t="n">
        <f aca="false">+I35</f>
        <v>74.9999999999984</v>
      </c>
      <c r="L35" s="366" t="n">
        <f aca="false">IF(K35=0,0,IF(A35&lt;([7]Summary!$C$3+365),K35,0))</f>
        <v>74.9999999999984</v>
      </c>
    </row>
    <row r="36" customFormat="false" ht="12.75" hidden="false" customHeight="false" outlineLevel="0" collapsed="false">
      <c r="A36" s="504" t="n">
        <v>37069</v>
      </c>
      <c r="B36" s="359"/>
      <c r="C36" s="360" t="s">
        <v>224</v>
      </c>
      <c r="D36" s="361" t="n">
        <f aca="false">3.65+$D$9</f>
        <v>3.6275</v>
      </c>
      <c r="E36" s="359"/>
      <c r="F36" s="362" t="n">
        <v>-10000</v>
      </c>
      <c r="G36" s="367"/>
      <c r="H36" s="363" t="n">
        <v>3.635</v>
      </c>
      <c r="I36" s="364" t="n">
        <f aca="false">SUM(D36-H36)*F36</f>
        <v>74.9999999999984</v>
      </c>
      <c r="J36" s="365"/>
      <c r="K36" s="365" t="n">
        <f aca="false">+I36</f>
        <v>74.9999999999984</v>
      </c>
      <c r="L36" s="366" t="n">
        <f aca="false">IF(K36=0,0,IF(A36&lt;([7]Summary!$C$3+365),K36,0))</f>
        <v>74.9999999999984</v>
      </c>
    </row>
    <row r="37" customFormat="false" ht="12.75" hidden="false" customHeight="false" outlineLevel="0" collapsed="false">
      <c r="A37" s="504" t="n">
        <v>37070</v>
      </c>
      <c r="B37" s="359"/>
      <c r="C37" s="360" t="s">
        <v>224</v>
      </c>
      <c r="D37" s="361" t="n">
        <f aca="false">3.65+$D$9</f>
        <v>3.6275</v>
      </c>
      <c r="E37" s="359"/>
      <c r="F37" s="362" t="n">
        <v>-10000</v>
      </c>
      <c r="G37" s="367"/>
      <c r="H37" s="363" t="n">
        <v>3.635</v>
      </c>
      <c r="I37" s="364" t="n">
        <f aca="false">SUM(D37-H37)*F37</f>
        <v>74.9999999999984</v>
      </c>
      <c r="J37" s="365"/>
      <c r="K37" s="365" t="n">
        <f aca="false">+I37</f>
        <v>74.9999999999984</v>
      </c>
      <c r="L37" s="366" t="n">
        <f aca="false">IF(K37=0,0,IF(A37&lt;([7]Summary!$C$3+365),K37,0))</f>
        <v>74.9999999999984</v>
      </c>
    </row>
    <row r="38" customFormat="false" ht="12.75" hidden="false" customHeight="false" outlineLevel="0" collapsed="false">
      <c r="A38" s="504" t="n">
        <v>37071</v>
      </c>
      <c r="B38" s="359"/>
      <c r="C38" s="360" t="s">
        <v>224</v>
      </c>
      <c r="D38" s="361" t="n">
        <f aca="false">3.65+$D$9</f>
        <v>3.6275</v>
      </c>
      <c r="E38" s="359"/>
      <c r="F38" s="362" t="n">
        <v>-10000</v>
      </c>
      <c r="G38" s="367"/>
      <c r="H38" s="363" t="n">
        <v>3.635</v>
      </c>
      <c r="I38" s="364" t="n">
        <f aca="false">SUM(D38-H38)*F38</f>
        <v>74.9999999999984</v>
      </c>
      <c r="J38" s="365"/>
      <c r="K38" s="365" t="n">
        <f aca="false">+I38</f>
        <v>74.9999999999984</v>
      </c>
      <c r="L38" s="366" t="n">
        <f aca="false">IF(K38=0,0,IF(A38&lt;([7]Summary!$C$3+365),K38,0))</f>
        <v>74.9999999999984</v>
      </c>
    </row>
    <row r="39" customFormat="false" ht="12.75" hidden="false" customHeight="false" outlineLevel="0" collapsed="false">
      <c r="A39" s="504" t="n">
        <v>37072</v>
      </c>
      <c r="B39" s="359"/>
      <c r="C39" s="360" t="s">
        <v>224</v>
      </c>
      <c r="D39" s="361" t="n">
        <f aca="false">3.65+$D$9</f>
        <v>3.6275</v>
      </c>
      <c r="E39" s="359"/>
      <c r="F39" s="362" t="n">
        <v>-10000</v>
      </c>
      <c r="G39" s="367"/>
      <c r="H39" s="363" t="n">
        <v>3.635</v>
      </c>
      <c r="I39" s="364" t="n">
        <f aca="false">SUM(D39-H39)*F39</f>
        <v>74.9999999999984</v>
      </c>
      <c r="J39" s="365"/>
      <c r="K39" s="365" t="n">
        <f aca="false">+I39</f>
        <v>74.9999999999984</v>
      </c>
      <c r="L39" s="366" t="n">
        <f aca="false">IF(K39=0,0,IF(A39&lt;([7]Summary!$C$3+365),K39,0))</f>
        <v>74.9999999999984</v>
      </c>
    </row>
    <row r="40" customFormat="false" ht="12.75" hidden="false" customHeight="false" outlineLevel="0" collapsed="false">
      <c r="A40" s="358"/>
      <c r="B40" s="359"/>
      <c r="C40" s="360"/>
      <c r="D40" s="418"/>
      <c r="E40" s="359"/>
      <c r="F40" s="362"/>
      <c r="G40" s="367"/>
      <c r="H40" s="434"/>
      <c r="I40" s="364"/>
      <c r="J40" s="368"/>
      <c r="K40" s="365"/>
      <c r="L40" s="365"/>
    </row>
    <row r="41" customFormat="false" ht="12.75" hidden="false" customHeight="false" outlineLevel="0" collapsed="false">
      <c r="A41" s="359"/>
      <c r="B41" s="359"/>
      <c r="C41" s="359"/>
      <c r="D41" s="403" t="n">
        <f aca="false">AVERAGE(D10:D39)</f>
        <v>3.6275</v>
      </c>
      <c r="E41" s="359"/>
      <c r="F41" s="369" t="n">
        <f aca="false">SUM(F10:F39)</f>
        <v>-300000</v>
      </c>
      <c r="G41" s="367"/>
      <c r="H41" s="370" t="n">
        <f aca="false">AVERAGE(H10:H39)</f>
        <v>3.6385</v>
      </c>
      <c r="I41" s="371" t="n">
        <f aca="false">SUM(I10:I39)</f>
        <v>3299.99999999997</v>
      </c>
      <c r="J41" s="371" t="n">
        <f aca="false">SUM(J10:J39)</f>
        <v>0</v>
      </c>
      <c r="K41" s="371" t="n">
        <f aca="false">SUM(K10:K39)</f>
        <v>3299.99999999997</v>
      </c>
      <c r="L41" s="371" t="n">
        <f aca="false">SUM(L10:L39)</f>
        <v>3299.99999999997</v>
      </c>
    </row>
    <row r="42" customFormat="false" ht="12.75" hidden="false" customHeight="false" outlineLevel="0" collapsed="false">
      <c r="A42" s="359"/>
      <c r="B42" s="359"/>
      <c r="C42" s="359"/>
      <c r="D42" s="361"/>
      <c r="E42" s="359"/>
      <c r="F42" s="399"/>
      <c r="G42" s="359"/>
      <c r="H42" s="359"/>
      <c r="I42" s="400"/>
      <c r="J42" s="401"/>
      <c r="K42" s="401"/>
      <c r="L42" s="401"/>
    </row>
    <row r="44" customFormat="false" ht="12.75" hidden="false" customHeight="false" outlineLevel="0" collapsed="false">
      <c r="G44" s="413"/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4" min="3" style="0" width="13.7"/>
    <col collapsed="false" customWidth="false" hidden="true" outlineLevel="0" max="5" min="5" style="0" width="9.06"/>
    <col collapsed="false" customWidth="true" hidden="false" outlineLevel="0" max="6" min="6" style="0" width="11.42"/>
    <col collapsed="false" customWidth="true" hidden="false" outlineLevel="0" max="7" min="7" style="0" width="22.99"/>
    <col collapsed="false" customWidth="true" hidden="false" outlineLevel="0" max="8" min="8" style="0" width="19.14"/>
    <col collapsed="false" customWidth="true" hidden="false" outlineLevel="0" max="11" min="9" style="0" width="15.7"/>
    <col collapsed="false" customWidth="true" hidden="false" outlineLevel="0" max="12" min="12" style="0" width="17.28"/>
  </cols>
  <sheetData>
    <row r="1" customFormat="false" ht="15.75" hidden="false" customHeight="false" outlineLevel="0" collapsed="false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1"/>
    </row>
    <row r="2" customFormat="false" ht="15.7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1"/>
    </row>
    <row r="3" customFormat="false" ht="15.75" hidden="false" customHeight="false" outlineLevel="0" collapsed="false">
      <c r="A3" s="339" t="s">
        <v>227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342"/>
      <c r="B4" s="342"/>
      <c r="C4" s="342"/>
      <c r="D4" s="342"/>
      <c r="E4" s="342"/>
      <c r="F4" s="342"/>
      <c r="G4" s="342"/>
      <c r="H4" s="342"/>
      <c r="I4" s="342"/>
      <c r="J4" s="341"/>
      <c r="K4" s="341"/>
      <c r="L4" s="341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30</v>
      </c>
      <c r="E6" s="385"/>
      <c r="F6" s="385" t="s">
        <v>139</v>
      </c>
      <c r="G6" s="385" t="s">
        <v>88</v>
      </c>
      <c r="H6" s="385" t="s">
        <v>224</v>
      </c>
      <c r="I6" s="386" t="s">
        <v>140</v>
      </c>
      <c r="J6" s="386"/>
      <c r="K6" s="386"/>
      <c r="L6" s="346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350"/>
    </row>
    <row r="8" customFormat="false" ht="12.75" hidden="false" customHeight="false" outlineLevel="0" collapsed="false">
      <c r="A8" s="387"/>
      <c r="B8" s="388"/>
      <c r="C8" s="388"/>
      <c r="D8" s="388" t="s">
        <v>228</v>
      </c>
      <c r="E8" s="388"/>
      <c r="F8" s="388"/>
      <c r="G8" s="388"/>
      <c r="H8" s="388" t="s">
        <v>16</v>
      </c>
      <c r="I8" s="388" t="s">
        <v>145</v>
      </c>
      <c r="J8" s="388" t="s">
        <v>145</v>
      </c>
      <c r="K8" s="389" t="s">
        <v>145</v>
      </c>
      <c r="L8" s="350"/>
    </row>
    <row r="9" customFormat="false" ht="12.75" hidden="false" customHeight="false" outlineLevel="0" collapsed="false">
      <c r="A9" s="390"/>
      <c r="B9" s="391"/>
      <c r="C9" s="391"/>
      <c r="D9" s="388" t="n">
        <v>-0.0175</v>
      </c>
      <c r="E9" s="391"/>
      <c r="F9" s="391"/>
      <c r="G9" s="388" t="s">
        <v>229</v>
      </c>
      <c r="H9" s="388" t="s">
        <v>229</v>
      </c>
      <c r="I9" s="392"/>
      <c r="J9" s="392"/>
      <c r="K9" s="394"/>
      <c r="L9" s="503" t="s">
        <v>146</v>
      </c>
    </row>
    <row r="10" customFormat="false" ht="12.75" hidden="false" customHeight="false" outlineLevel="0" collapsed="false">
      <c r="A10" s="504" t="n">
        <v>37043</v>
      </c>
      <c r="B10" s="359"/>
      <c r="C10" s="360" t="s">
        <v>224</v>
      </c>
      <c r="D10" s="361" t="n">
        <f aca="false">3.65+$D$9</f>
        <v>3.6325</v>
      </c>
      <c r="E10" s="359"/>
      <c r="F10" s="362" t="n">
        <v>10000</v>
      </c>
      <c r="G10" s="363"/>
      <c r="H10" s="363" t="n">
        <v>3.62</v>
      </c>
      <c r="I10" s="364" t="n">
        <f aca="false">SUM(D10-H10)*F10</f>
        <v>124.999999999997</v>
      </c>
      <c r="J10" s="365"/>
      <c r="K10" s="365" t="n">
        <f aca="false">+I10</f>
        <v>124.999999999997</v>
      </c>
      <c r="L10" s="366" t="n">
        <f aca="false">IF(K10=0,0,IF(A10&lt;([7]Summary!$C$3+365),K10,0))</f>
        <v>124.999999999997</v>
      </c>
    </row>
    <row r="11" customFormat="false" ht="12.75" hidden="false" customHeight="false" outlineLevel="0" collapsed="false">
      <c r="A11" s="504" t="n">
        <v>37044</v>
      </c>
      <c r="B11" s="359"/>
      <c r="C11" s="360" t="s">
        <v>224</v>
      </c>
      <c r="D11" s="361" t="n">
        <f aca="false">3.65+$D$9</f>
        <v>3.6325</v>
      </c>
      <c r="E11" s="359"/>
      <c r="F11" s="362" t="n">
        <v>10000</v>
      </c>
      <c r="G11" s="363"/>
      <c r="H11" s="363" t="n">
        <v>3.545</v>
      </c>
      <c r="I11" s="364" t="n">
        <f aca="false">SUM(D11-H11)*F11</f>
        <v>874.999999999999</v>
      </c>
      <c r="J11" s="365"/>
      <c r="K11" s="365" t="n">
        <f aca="false">+I11</f>
        <v>874.999999999999</v>
      </c>
      <c r="L11" s="366" t="n">
        <f aca="false">IF(K11=0,0,IF(A11&lt;([7]Summary!$C$3+365),K11,0))</f>
        <v>874.999999999999</v>
      </c>
    </row>
    <row r="12" customFormat="false" ht="12.75" hidden="false" customHeight="false" outlineLevel="0" collapsed="false">
      <c r="A12" s="504" t="n">
        <v>37045</v>
      </c>
      <c r="B12" s="359"/>
      <c r="C12" s="360" t="s">
        <v>224</v>
      </c>
      <c r="D12" s="361" t="n">
        <f aca="false">3.65+$D$9</f>
        <v>3.6325</v>
      </c>
      <c r="E12" s="359"/>
      <c r="F12" s="362" t="n">
        <v>10000</v>
      </c>
      <c r="G12" s="363"/>
      <c r="H12" s="363" t="n">
        <v>3.545</v>
      </c>
      <c r="I12" s="364" t="n">
        <f aca="false">SUM(D12-H12)*F12</f>
        <v>874.999999999999</v>
      </c>
      <c r="J12" s="365"/>
      <c r="K12" s="365" t="n">
        <f aca="false">+I12</f>
        <v>874.999999999999</v>
      </c>
      <c r="L12" s="366" t="n">
        <f aca="false">IF(K12=0,0,IF(A12&lt;([7]Summary!$C$3+365),K12,0))</f>
        <v>874.999999999999</v>
      </c>
    </row>
    <row r="13" customFormat="false" ht="12.75" hidden="false" customHeight="false" outlineLevel="0" collapsed="false">
      <c r="A13" s="504" t="n">
        <v>37046</v>
      </c>
      <c r="B13" s="359"/>
      <c r="C13" s="360" t="s">
        <v>224</v>
      </c>
      <c r="D13" s="361" t="n">
        <f aca="false">3.65+$D$9</f>
        <v>3.6325</v>
      </c>
      <c r="E13" s="359"/>
      <c r="F13" s="362" t="n">
        <v>10000</v>
      </c>
      <c r="G13" s="363"/>
      <c r="H13" s="363" t="n">
        <v>3.545</v>
      </c>
      <c r="I13" s="364" t="n">
        <f aca="false">SUM(D13-H13)*F13</f>
        <v>874.999999999999</v>
      </c>
      <c r="J13" s="365"/>
      <c r="K13" s="365" t="n">
        <f aca="false">+I13</f>
        <v>874.999999999999</v>
      </c>
      <c r="L13" s="366" t="n">
        <f aca="false">IF(K13=0,0,IF(A13&lt;([7]Summary!$C$3+365),K13,0))</f>
        <v>874.999999999999</v>
      </c>
    </row>
    <row r="14" customFormat="false" ht="12.75" hidden="false" customHeight="false" outlineLevel="0" collapsed="false">
      <c r="A14" s="504" t="n">
        <v>37047</v>
      </c>
      <c r="B14" s="359"/>
      <c r="C14" s="360" t="s">
        <v>224</v>
      </c>
      <c r="D14" s="361" t="n">
        <f aca="false">3.65+$D$9</f>
        <v>3.6325</v>
      </c>
      <c r="E14" s="359"/>
      <c r="F14" s="362" t="n">
        <v>10000</v>
      </c>
      <c r="G14" s="363"/>
      <c r="H14" s="363" t="n">
        <v>3.77</v>
      </c>
      <c r="I14" s="364" t="n">
        <f aca="false">SUM(D14-H14)*F14</f>
        <v>-1375</v>
      </c>
      <c r="J14" s="365"/>
      <c r="K14" s="365" t="n">
        <f aca="false">+I14</f>
        <v>-1375</v>
      </c>
      <c r="L14" s="366" t="n">
        <f aca="false">IF(K14=0,0,IF(A14&lt;([7]Summary!$C$3+365),K14,0))</f>
        <v>-1375</v>
      </c>
    </row>
    <row r="15" customFormat="false" ht="12.75" hidden="false" customHeight="false" outlineLevel="0" collapsed="false">
      <c r="A15" s="504" t="n">
        <v>37048</v>
      </c>
      <c r="B15" s="359"/>
      <c r="C15" s="360" t="s">
        <v>224</v>
      </c>
      <c r="D15" s="361" t="n">
        <f aca="false">3.65+$D$9</f>
        <v>3.6325</v>
      </c>
      <c r="E15" s="359"/>
      <c r="F15" s="362" t="n">
        <v>10000</v>
      </c>
      <c r="G15" s="363"/>
      <c r="H15" s="363" t="n">
        <v>3.85</v>
      </c>
      <c r="I15" s="364" t="n">
        <f aca="false">SUM(D15-H15)*F15</f>
        <v>-2175</v>
      </c>
      <c r="J15" s="365"/>
      <c r="K15" s="365" t="n">
        <f aca="false">+I15</f>
        <v>-2175</v>
      </c>
      <c r="L15" s="366" t="n">
        <f aca="false">IF(K15=0,0,IF(A15&lt;([7]Summary!$C$3+365),K15,0))</f>
        <v>-2175</v>
      </c>
    </row>
    <row r="16" customFormat="false" ht="12.75" hidden="false" customHeight="false" outlineLevel="0" collapsed="false">
      <c r="A16" s="504" t="n">
        <v>37049</v>
      </c>
      <c r="B16" s="359"/>
      <c r="C16" s="360" t="s">
        <v>224</v>
      </c>
      <c r="D16" s="361" t="n">
        <f aca="false">3.65+$D$9</f>
        <v>3.6325</v>
      </c>
      <c r="E16" s="359"/>
      <c r="F16" s="362" t="n">
        <v>10000</v>
      </c>
      <c r="G16" s="363"/>
      <c r="H16" s="363" t="n">
        <v>3.615</v>
      </c>
      <c r="I16" s="364" t="n">
        <f aca="false">SUM(D16-H16)*F16</f>
        <v>174.999999999996</v>
      </c>
      <c r="J16" s="365"/>
      <c r="K16" s="365" t="n">
        <f aca="false">+I16</f>
        <v>174.999999999996</v>
      </c>
      <c r="L16" s="366" t="n">
        <f aca="false">IF(K16=0,0,IF(A16&lt;([7]Summary!$C$3+365),K16,0))</f>
        <v>174.999999999996</v>
      </c>
    </row>
    <row r="17" customFormat="false" ht="12.75" hidden="false" customHeight="false" outlineLevel="0" collapsed="false">
      <c r="A17" s="504" t="n">
        <v>37050</v>
      </c>
      <c r="B17" s="359"/>
      <c r="C17" s="360" t="s">
        <v>224</v>
      </c>
      <c r="D17" s="361" t="n">
        <f aca="false">3.65+$D$9</f>
        <v>3.6325</v>
      </c>
      <c r="E17" s="359"/>
      <c r="F17" s="362" t="n">
        <v>10000</v>
      </c>
      <c r="G17" s="363"/>
      <c r="H17" s="363" t="n">
        <v>3.615</v>
      </c>
      <c r="I17" s="364" t="n">
        <f aca="false">SUM(D17-H17)*F17</f>
        <v>174.999999999996</v>
      </c>
      <c r="J17" s="365"/>
      <c r="K17" s="365" t="n">
        <f aca="false">+I17</f>
        <v>174.999999999996</v>
      </c>
      <c r="L17" s="366" t="n">
        <f aca="false">IF(K17=0,0,IF(A17&lt;([7]Summary!$C$3+365),K17,0))</f>
        <v>174.999999999996</v>
      </c>
    </row>
    <row r="18" customFormat="false" ht="12.75" hidden="false" customHeight="false" outlineLevel="0" collapsed="false">
      <c r="A18" s="504" t="n">
        <v>37051</v>
      </c>
      <c r="B18" s="359"/>
      <c r="C18" s="360" t="s">
        <v>224</v>
      </c>
      <c r="D18" s="361" t="n">
        <f aca="false">3.65+$D$9</f>
        <v>3.6325</v>
      </c>
      <c r="E18" s="359"/>
      <c r="F18" s="362" t="n">
        <v>10000</v>
      </c>
      <c r="G18" s="363"/>
      <c r="H18" s="363" t="n">
        <v>3.615</v>
      </c>
      <c r="I18" s="364" t="n">
        <f aca="false">SUM(D18-H18)*F18</f>
        <v>174.999999999996</v>
      </c>
      <c r="J18" s="365"/>
      <c r="K18" s="365" t="n">
        <f aca="false">+I18</f>
        <v>174.999999999996</v>
      </c>
      <c r="L18" s="366" t="n">
        <f aca="false">IF(K18=0,0,IF(A18&lt;([7]Summary!$C$3+365),K18,0))</f>
        <v>174.999999999996</v>
      </c>
    </row>
    <row r="19" customFormat="false" ht="12.75" hidden="false" customHeight="false" outlineLevel="0" collapsed="false">
      <c r="A19" s="504" t="n">
        <v>37052</v>
      </c>
      <c r="B19" s="359"/>
      <c r="C19" s="360" t="s">
        <v>224</v>
      </c>
      <c r="D19" s="361" t="n">
        <f aca="false">3.65+$D$9</f>
        <v>3.6325</v>
      </c>
      <c r="E19" s="359"/>
      <c r="F19" s="362" t="n">
        <v>10000</v>
      </c>
      <c r="G19" s="363"/>
      <c r="H19" s="363" t="n">
        <v>3.615</v>
      </c>
      <c r="I19" s="364" t="n">
        <f aca="false">SUM(D19-H19)*F19</f>
        <v>174.999999999996</v>
      </c>
      <c r="J19" s="365"/>
      <c r="K19" s="365" t="n">
        <f aca="false">+I19</f>
        <v>174.999999999996</v>
      </c>
      <c r="L19" s="366" t="n">
        <f aca="false">IF(K19=0,0,IF(A19&lt;([7]Summary!$C$3+365),K19,0))</f>
        <v>174.999999999996</v>
      </c>
    </row>
    <row r="20" customFormat="false" ht="12.75" hidden="false" customHeight="false" outlineLevel="0" collapsed="false">
      <c r="A20" s="504" t="n">
        <v>37053</v>
      </c>
      <c r="B20" s="359"/>
      <c r="C20" s="360" t="s">
        <v>224</v>
      </c>
      <c r="D20" s="361" t="n">
        <f aca="false">3.65+$D$9</f>
        <v>3.6325</v>
      </c>
      <c r="E20" s="359"/>
      <c r="F20" s="362" t="n">
        <v>10000</v>
      </c>
      <c r="G20" s="363"/>
      <c r="H20" s="363" t="n">
        <v>3.615</v>
      </c>
      <c r="I20" s="364" t="n">
        <f aca="false">SUM(D20-H20)*F20</f>
        <v>174.999999999996</v>
      </c>
      <c r="J20" s="365"/>
      <c r="K20" s="365" t="n">
        <f aca="false">+I20</f>
        <v>174.999999999996</v>
      </c>
      <c r="L20" s="366" t="n">
        <f aca="false">IF(K20=0,0,IF(A20&lt;([7]Summary!$C$3+365),K20,0))</f>
        <v>174.999999999996</v>
      </c>
    </row>
    <row r="21" customFormat="false" ht="12.75" hidden="false" customHeight="false" outlineLevel="0" collapsed="false">
      <c r="A21" s="504" t="n">
        <v>37054</v>
      </c>
      <c r="B21" s="359"/>
      <c r="C21" s="360" t="s">
        <v>224</v>
      </c>
      <c r="D21" s="361" t="n">
        <f aca="false">3.65+$D$9</f>
        <v>3.6325</v>
      </c>
      <c r="E21" s="359"/>
      <c r="F21" s="362" t="n">
        <v>10000</v>
      </c>
      <c r="G21" s="363"/>
      <c r="H21" s="363" t="n">
        <v>3.615</v>
      </c>
      <c r="I21" s="364" t="n">
        <f aca="false">SUM(D21-H21)*F21</f>
        <v>174.999999999996</v>
      </c>
      <c r="J21" s="365"/>
      <c r="K21" s="365" t="n">
        <f aca="false">+I21</f>
        <v>174.999999999996</v>
      </c>
      <c r="L21" s="366" t="n">
        <f aca="false">IF(K21=0,0,IF(A21&lt;([7]Summary!$C$3+365),K21,0))</f>
        <v>174.999999999996</v>
      </c>
    </row>
    <row r="22" customFormat="false" ht="12.75" hidden="false" customHeight="false" outlineLevel="0" collapsed="false">
      <c r="A22" s="504" t="n">
        <v>37055</v>
      </c>
      <c r="B22" s="359"/>
      <c r="C22" s="360" t="s">
        <v>224</v>
      </c>
      <c r="D22" s="361" t="n">
        <f aca="false">3.65+$D$9</f>
        <v>3.6325</v>
      </c>
      <c r="E22" s="359"/>
      <c r="F22" s="362" t="n">
        <v>10000</v>
      </c>
      <c r="G22" s="363"/>
      <c r="H22" s="363" t="n">
        <v>3.615</v>
      </c>
      <c r="I22" s="364" t="n">
        <f aca="false">SUM(D22-H22)*F22</f>
        <v>174.999999999996</v>
      </c>
      <c r="J22" s="365"/>
      <c r="K22" s="365" t="n">
        <f aca="false">+I22</f>
        <v>174.999999999996</v>
      </c>
      <c r="L22" s="366" t="n">
        <f aca="false">IF(K22=0,0,IF(A22&lt;([7]Summary!$C$3+365),K22,0))</f>
        <v>174.999999999996</v>
      </c>
    </row>
    <row r="23" customFormat="false" ht="12.75" hidden="false" customHeight="false" outlineLevel="0" collapsed="false">
      <c r="A23" s="504" t="n">
        <v>37056</v>
      </c>
      <c r="B23" s="359"/>
      <c r="C23" s="360" t="s">
        <v>224</v>
      </c>
      <c r="D23" s="361" t="n">
        <f aca="false">3.65+$D$9</f>
        <v>3.6325</v>
      </c>
      <c r="E23" s="359"/>
      <c r="F23" s="362" t="n">
        <v>10000</v>
      </c>
      <c r="G23" s="363"/>
      <c r="H23" s="363" t="n">
        <v>3.615</v>
      </c>
      <c r="I23" s="364" t="n">
        <f aca="false">SUM(D23-H23)*F23</f>
        <v>174.999999999996</v>
      </c>
      <c r="J23" s="365"/>
      <c r="K23" s="365" t="n">
        <f aca="false">+I23</f>
        <v>174.999999999996</v>
      </c>
      <c r="L23" s="366" t="n">
        <f aca="false">IF(K23=0,0,IF(A23&lt;([7]Summary!$C$3+365),K23,0))</f>
        <v>174.999999999996</v>
      </c>
    </row>
    <row r="24" customFormat="false" ht="12.75" hidden="false" customHeight="false" outlineLevel="0" collapsed="false">
      <c r="A24" s="504" t="n">
        <v>37057</v>
      </c>
      <c r="B24" s="359"/>
      <c r="C24" s="360" t="s">
        <v>224</v>
      </c>
      <c r="D24" s="361" t="n">
        <f aca="false">3.65+$D$9</f>
        <v>3.6325</v>
      </c>
      <c r="E24" s="359"/>
      <c r="F24" s="362" t="n">
        <v>10000</v>
      </c>
      <c r="G24" s="363"/>
      <c r="H24" s="363" t="n">
        <v>3.615</v>
      </c>
      <c r="I24" s="364" t="n">
        <f aca="false">SUM(D24-H24)*F24</f>
        <v>174.999999999996</v>
      </c>
      <c r="J24" s="365"/>
      <c r="K24" s="365" t="n">
        <f aca="false">+I24</f>
        <v>174.999999999996</v>
      </c>
      <c r="L24" s="366" t="n">
        <f aca="false">IF(K24=0,0,IF(A24&lt;([7]Summary!$C$3+365),K24,0))</f>
        <v>174.999999999996</v>
      </c>
    </row>
    <row r="25" customFormat="false" ht="12.75" hidden="false" customHeight="false" outlineLevel="0" collapsed="false">
      <c r="A25" s="504" t="n">
        <v>37058</v>
      </c>
      <c r="B25" s="359"/>
      <c r="C25" s="360" t="s">
        <v>224</v>
      </c>
      <c r="D25" s="361" t="n">
        <f aca="false">3.65+$D$9</f>
        <v>3.6325</v>
      </c>
      <c r="E25" s="359"/>
      <c r="F25" s="362" t="n">
        <v>10000</v>
      </c>
      <c r="G25" s="363"/>
      <c r="H25" s="363" t="n">
        <v>3.615</v>
      </c>
      <c r="I25" s="364" t="n">
        <f aca="false">SUM(D25-H25)*F25</f>
        <v>174.999999999996</v>
      </c>
      <c r="J25" s="365"/>
      <c r="K25" s="365" t="n">
        <f aca="false">+I25</f>
        <v>174.999999999996</v>
      </c>
      <c r="L25" s="366" t="n">
        <f aca="false">IF(K25=0,0,IF(A25&lt;([7]Summary!$C$3+365),K25,0))</f>
        <v>174.999999999996</v>
      </c>
    </row>
    <row r="26" customFormat="false" ht="12.75" hidden="false" customHeight="false" outlineLevel="0" collapsed="false">
      <c r="A26" s="504" t="n">
        <v>37059</v>
      </c>
      <c r="B26" s="359"/>
      <c r="C26" s="360" t="s">
        <v>224</v>
      </c>
      <c r="D26" s="361" t="n">
        <f aca="false">3.65+$D$9</f>
        <v>3.6325</v>
      </c>
      <c r="E26" s="359"/>
      <c r="F26" s="362" t="n">
        <v>10000</v>
      </c>
      <c r="G26" s="363"/>
      <c r="H26" s="363" t="n">
        <v>3.615</v>
      </c>
      <c r="I26" s="364" t="n">
        <f aca="false">SUM(D26-H26)*F26</f>
        <v>174.999999999996</v>
      </c>
      <c r="J26" s="365"/>
      <c r="K26" s="365" t="n">
        <f aca="false">+I26</f>
        <v>174.999999999996</v>
      </c>
      <c r="L26" s="366" t="n">
        <f aca="false">IF(K26=0,0,IF(A26&lt;([7]Summary!$C$3+365),K26,0))</f>
        <v>174.999999999996</v>
      </c>
    </row>
    <row r="27" customFormat="false" ht="12.75" hidden="false" customHeight="false" outlineLevel="0" collapsed="false">
      <c r="A27" s="504" t="n">
        <v>37060</v>
      </c>
      <c r="B27" s="359"/>
      <c r="C27" s="360" t="s">
        <v>224</v>
      </c>
      <c r="D27" s="361" t="n">
        <f aca="false">3.65+$D$9</f>
        <v>3.6325</v>
      </c>
      <c r="E27" s="359"/>
      <c r="F27" s="362" t="n">
        <v>10000</v>
      </c>
      <c r="G27" s="363"/>
      <c r="H27" s="363" t="n">
        <v>3.615</v>
      </c>
      <c r="I27" s="364" t="n">
        <f aca="false">SUM(D27-H27)*F27</f>
        <v>174.999999999996</v>
      </c>
      <c r="J27" s="365"/>
      <c r="K27" s="365" t="n">
        <f aca="false">+I27</f>
        <v>174.999999999996</v>
      </c>
      <c r="L27" s="366" t="n">
        <f aca="false">IF(K27=0,0,IF(A27&lt;([7]Summary!$C$3+365),K27,0))</f>
        <v>174.999999999996</v>
      </c>
    </row>
    <row r="28" customFormat="false" ht="12.75" hidden="false" customHeight="false" outlineLevel="0" collapsed="false">
      <c r="A28" s="504" t="n">
        <v>37061</v>
      </c>
      <c r="B28" s="359"/>
      <c r="C28" s="360" t="s">
        <v>224</v>
      </c>
      <c r="D28" s="361" t="n">
        <f aca="false">3.65+$D$9</f>
        <v>3.6325</v>
      </c>
      <c r="E28" s="359"/>
      <c r="F28" s="362" t="n">
        <v>10000</v>
      </c>
      <c r="G28" s="367"/>
      <c r="H28" s="363" t="n">
        <v>3.615</v>
      </c>
      <c r="I28" s="364" t="n">
        <f aca="false">SUM(D28-H28)*F28</f>
        <v>174.999999999996</v>
      </c>
      <c r="J28" s="365"/>
      <c r="K28" s="365" t="n">
        <f aca="false">+I28</f>
        <v>174.999999999996</v>
      </c>
      <c r="L28" s="366" t="n">
        <f aca="false">IF(K28=0,0,IF(A28&lt;([7]Summary!$C$3+365),K28,0))</f>
        <v>174.999999999996</v>
      </c>
    </row>
    <row r="29" customFormat="false" ht="12.75" hidden="false" customHeight="false" outlineLevel="0" collapsed="false">
      <c r="A29" s="504" t="n">
        <v>37062</v>
      </c>
      <c r="B29" s="359"/>
      <c r="C29" s="360" t="s">
        <v>224</v>
      </c>
      <c r="D29" s="361" t="n">
        <f aca="false">3.65+$D$9</f>
        <v>3.6325</v>
      </c>
      <c r="E29" s="359"/>
      <c r="F29" s="362" t="n">
        <v>10000</v>
      </c>
      <c r="G29" s="367"/>
      <c r="H29" s="363" t="n">
        <v>3.615</v>
      </c>
      <c r="I29" s="364" t="n">
        <f aca="false">SUM(D29-H29)*F29</f>
        <v>174.999999999996</v>
      </c>
      <c r="J29" s="365"/>
      <c r="K29" s="365" t="n">
        <f aca="false">+I29</f>
        <v>174.999999999996</v>
      </c>
      <c r="L29" s="366" t="n">
        <f aca="false">IF(K29=0,0,IF(A29&lt;([7]Summary!$C$3+365),K29,0))</f>
        <v>174.999999999996</v>
      </c>
    </row>
    <row r="30" customFormat="false" ht="12.75" hidden="false" customHeight="false" outlineLevel="0" collapsed="false">
      <c r="A30" s="504" t="n">
        <v>37063</v>
      </c>
      <c r="B30" s="359"/>
      <c r="C30" s="360" t="s">
        <v>224</v>
      </c>
      <c r="D30" s="361" t="n">
        <f aca="false">3.65+$D$9</f>
        <v>3.6325</v>
      </c>
      <c r="E30" s="359"/>
      <c r="F30" s="362" t="n">
        <v>10000</v>
      </c>
      <c r="G30" s="367"/>
      <c r="H30" s="363" t="n">
        <v>3.615</v>
      </c>
      <c r="I30" s="364" t="n">
        <f aca="false">SUM(D30-H30)*F30</f>
        <v>174.999999999996</v>
      </c>
      <c r="J30" s="365"/>
      <c r="K30" s="365" t="n">
        <f aca="false">+I30</f>
        <v>174.999999999996</v>
      </c>
      <c r="L30" s="366" t="n">
        <f aca="false">IF(K30=0,0,IF(A30&lt;([7]Summary!$C$3+365),K30,0))</f>
        <v>174.999999999996</v>
      </c>
    </row>
    <row r="31" customFormat="false" ht="12.75" hidden="false" customHeight="false" outlineLevel="0" collapsed="false">
      <c r="A31" s="504" t="n">
        <v>37064</v>
      </c>
      <c r="B31" s="359"/>
      <c r="C31" s="360" t="s">
        <v>224</v>
      </c>
      <c r="D31" s="361" t="n">
        <f aca="false">3.65+$D$9</f>
        <v>3.6325</v>
      </c>
      <c r="E31" s="359"/>
      <c r="F31" s="362" t="n">
        <v>10000</v>
      </c>
      <c r="G31" s="367"/>
      <c r="H31" s="363" t="n">
        <v>3.615</v>
      </c>
      <c r="I31" s="364" t="n">
        <f aca="false">SUM(D31-H31)*F31</f>
        <v>174.999999999996</v>
      </c>
      <c r="J31" s="365"/>
      <c r="K31" s="365" t="n">
        <f aca="false">+I31</f>
        <v>174.999999999996</v>
      </c>
      <c r="L31" s="366" t="n">
        <f aca="false">IF(K31=0,0,IF(A31&lt;([7]Summary!$C$3+365),K31,0))</f>
        <v>174.999999999996</v>
      </c>
    </row>
    <row r="32" customFormat="false" ht="12.75" hidden="false" customHeight="false" outlineLevel="0" collapsed="false">
      <c r="A32" s="504" t="n">
        <v>37065</v>
      </c>
      <c r="B32" s="359"/>
      <c r="C32" s="360" t="s">
        <v>224</v>
      </c>
      <c r="D32" s="361" t="n">
        <f aca="false">3.65+$D$9</f>
        <v>3.6325</v>
      </c>
      <c r="E32" s="359"/>
      <c r="F32" s="362" t="n">
        <v>10000</v>
      </c>
      <c r="G32" s="367"/>
      <c r="H32" s="363" t="n">
        <v>3.615</v>
      </c>
      <c r="I32" s="364" t="n">
        <f aca="false">SUM(D32-H32)*F32</f>
        <v>174.999999999996</v>
      </c>
      <c r="J32" s="365"/>
      <c r="K32" s="365" t="n">
        <f aca="false">+I32</f>
        <v>174.999999999996</v>
      </c>
      <c r="L32" s="366" t="n">
        <f aca="false">IF(K32=0,0,IF(A32&lt;([7]Summary!$C$3+365),K32,0))</f>
        <v>174.999999999996</v>
      </c>
    </row>
    <row r="33" customFormat="false" ht="12.75" hidden="false" customHeight="false" outlineLevel="0" collapsed="false">
      <c r="A33" s="504" t="n">
        <v>37066</v>
      </c>
      <c r="B33" s="359"/>
      <c r="C33" s="360" t="s">
        <v>224</v>
      </c>
      <c r="D33" s="361" t="n">
        <f aca="false">3.65+$D$9</f>
        <v>3.6325</v>
      </c>
      <c r="E33" s="359"/>
      <c r="F33" s="362" t="n">
        <v>10000</v>
      </c>
      <c r="G33" s="367"/>
      <c r="H33" s="363" t="n">
        <v>3.615</v>
      </c>
      <c r="I33" s="364" t="n">
        <f aca="false">SUM(D33-H33)*F33</f>
        <v>174.999999999996</v>
      </c>
      <c r="J33" s="365"/>
      <c r="K33" s="365" t="n">
        <f aca="false">+I33</f>
        <v>174.999999999996</v>
      </c>
      <c r="L33" s="366" t="n">
        <f aca="false">IF(K33=0,0,IF(A33&lt;([7]Summary!$C$3+365),K33,0))</f>
        <v>174.999999999996</v>
      </c>
    </row>
    <row r="34" customFormat="false" ht="12.75" hidden="false" customHeight="false" outlineLevel="0" collapsed="false">
      <c r="A34" s="504" t="n">
        <v>37067</v>
      </c>
      <c r="B34" s="359"/>
      <c r="C34" s="360" t="s">
        <v>224</v>
      </c>
      <c r="D34" s="361" t="n">
        <f aca="false">3.65+$D$9</f>
        <v>3.6325</v>
      </c>
      <c r="E34" s="359"/>
      <c r="F34" s="362" t="n">
        <v>10000</v>
      </c>
      <c r="G34" s="367"/>
      <c r="H34" s="363" t="n">
        <v>3.615</v>
      </c>
      <c r="I34" s="364" t="n">
        <f aca="false">SUM(D34-H34)*F34</f>
        <v>174.999999999996</v>
      </c>
      <c r="J34" s="365"/>
      <c r="K34" s="365" t="n">
        <f aca="false">+I34</f>
        <v>174.999999999996</v>
      </c>
      <c r="L34" s="366" t="n">
        <f aca="false">IF(K34=0,0,IF(A34&lt;([7]Summary!$C$3+365),K34,0))</f>
        <v>174.999999999996</v>
      </c>
    </row>
    <row r="35" customFormat="false" ht="12.75" hidden="false" customHeight="false" outlineLevel="0" collapsed="false">
      <c r="A35" s="504" t="n">
        <v>37068</v>
      </c>
      <c r="B35" s="359"/>
      <c r="C35" s="360" t="s">
        <v>224</v>
      </c>
      <c r="D35" s="361" t="n">
        <f aca="false">3.65+$D$9</f>
        <v>3.6325</v>
      </c>
      <c r="E35" s="359"/>
      <c r="F35" s="362" t="n">
        <v>10000</v>
      </c>
      <c r="G35" s="367"/>
      <c r="H35" s="363" t="n">
        <v>3.615</v>
      </c>
      <c r="I35" s="364" t="n">
        <f aca="false">SUM(D35-H35)*F35</f>
        <v>174.999999999996</v>
      </c>
      <c r="J35" s="365"/>
      <c r="K35" s="365" t="n">
        <f aca="false">+I35</f>
        <v>174.999999999996</v>
      </c>
      <c r="L35" s="366" t="n">
        <f aca="false">IF(K35=0,0,IF(A35&lt;([7]Summary!$C$3+365),K35,0))</f>
        <v>174.999999999996</v>
      </c>
    </row>
    <row r="36" customFormat="false" ht="12.75" hidden="false" customHeight="false" outlineLevel="0" collapsed="false">
      <c r="A36" s="504" t="n">
        <v>37069</v>
      </c>
      <c r="B36" s="359"/>
      <c r="C36" s="360" t="s">
        <v>224</v>
      </c>
      <c r="D36" s="361" t="n">
        <f aca="false">3.65+$D$9</f>
        <v>3.6325</v>
      </c>
      <c r="E36" s="359"/>
      <c r="F36" s="362" t="n">
        <v>10000</v>
      </c>
      <c r="G36" s="367"/>
      <c r="H36" s="363" t="n">
        <v>3.615</v>
      </c>
      <c r="I36" s="364" t="n">
        <f aca="false">SUM(D36-H36)*F36</f>
        <v>174.999999999996</v>
      </c>
      <c r="J36" s="365"/>
      <c r="K36" s="365" t="n">
        <f aca="false">+I36</f>
        <v>174.999999999996</v>
      </c>
      <c r="L36" s="366" t="n">
        <f aca="false">IF(K36=0,0,IF(A36&lt;([7]Summary!$C$3+365),K36,0))</f>
        <v>174.999999999996</v>
      </c>
    </row>
    <row r="37" customFormat="false" ht="12.75" hidden="false" customHeight="false" outlineLevel="0" collapsed="false">
      <c r="A37" s="504" t="n">
        <v>37070</v>
      </c>
      <c r="B37" s="359"/>
      <c r="C37" s="360" t="s">
        <v>224</v>
      </c>
      <c r="D37" s="361" t="n">
        <f aca="false">3.65+$D$9</f>
        <v>3.6325</v>
      </c>
      <c r="E37" s="359"/>
      <c r="F37" s="362" t="n">
        <v>10000</v>
      </c>
      <c r="G37" s="367"/>
      <c r="H37" s="363" t="n">
        <v>3.615</v>
      </c>
      <c r="I37" s="364" t="n">
        <f aca="false">SUM(D37-H37)*F37</f>
        <v>174.999999999996</v>
      </c>
      <c r="J37" s="365"/>
      <c r="K37" s="365" t="n">
        <f aca="false">+I37</f>
        <v>174.999999999996</v>
      </c>
      <c r="L37" s="366" t="n">
        <f aca="false">IF(K37=0,0,IF(A37&lt;([7]Summary!$C$3+365),K37,0))</f>
        <v>174.999999999996</v>
      </c>
    </row>
    <row r="38" customFormat="false" ht="12.75" hidden="false" customHeight="false" outlineLevel="0" collapsed="false">
      <c r="A38" s="504" t="n">
        <v>37071</v>
      </c>
      <c r="B38" s="359"/>
      <c r="C38" s="360" t="s">
        <v>224</v>
      </c>
      <c r="D38" s="361" t="n">
        <f aca="false">3.65+$D$9</f>
        <v>3.6325</v>
      </c>
      <c r="E38" s="359"/>
      <c r="F38" s="362" t="n">
        <v>10000</v>
      </c>
      <c r="G38" s="367"/>
      <c r="H38" s="363" t="n">
        <v>3.615</v>
      </c>
      <c r="I38" s="364" t="n">
        <f aca="false">SUM(D38-H38)*F38</f>
        <v>174.999999999996</v>
      </c>
      <c r="J38" s="365"/>
      <c r="K38" s="365" t="n">
        <f aca="false">+I38</f>
        <v>174.999999999996</v>
      </c>
      <c r="L38" s="366" t="n">
        <f aca="false">IF(K38=0,0,IF(A38&lt;([7]Summary!$C$3+365),K38,0))</f>
        <v>174.999999999996</v>
      </c>
    </row>
    <row r="39" customFormat="false" ht="12.75" hidden="false" customHeight="false" outlineLevel="0" collapsed="false">
      <c r="A39" s="504" t="n">
        <v>37072</v>
      </c>
      <c r="B39" s="359"/>
      <c r="C39" s="360" t="s">
        <v>224</v>
      </c>
      <c r="D39" s="361" t="n">
        <f aca="false">3.65+$D$9</f>
        <v>3.6325</v>
      </c>
      <c r="E39" s="359"/>
      <c r="F39" s="362" t="n">
        <v>10000</v>
      </c>
      <c r="G39" s="367"/>
      <c r="H39" s="363" t="n">
        <v>3.615</v>
      </c>
      <c r="I39" s="364" t="n">
        <f aca="false">SUM(D39-H39)*F39</f>
        <v>174.999999999996</v>
      </c>
      <c r="J39" s="365"/>
      <c r="K39" s="365" t="n">
        <f aca="false">+I39</f>
        <v>174.999999999996</v>
      </c>
      <c r="L39" s="366" t="n">
        <f aca="false">IF(K39=0,0,IF(A39&lt;([7]Summary!$C$3+365),K39,0))</f>
        <v>174.999999999996</v>
      </c>
    </row>
    <row r="40" customFormat="false" ht="12.75" hidden="false" customHeight="false" outlineLevel="0" collapsed="false">
      <c r="A40" s="358"/>
      <c r="B40" s="359"/>
      <c r="C40" s="360"/>
      <c r="D40" s="418"/>
      <c r="E40" s="359"/>
      <c r="F40" s="362"/>
      <c r="G40" s="367"/>
      <c r="H40" s="434"/>
      <c r="I40" s="364"/>
      <c r="J40" s="368"/>
      <c r="K40" s="365"/>
      <c r="L40" s="365"/>
    </row>
    <row r="41" customFormat="false" ht="12.75" hidden="false" customHeight="false" outlineLevel="0" collapsed="false">
      <c r="A41" s="359"/>
      <c r="B41" s="359"/>
      <c r="C41" s="359"/>
      <c r="D41" s="403" t="n">
        <f aca="false">AVERAGE(D10:D39)</f>
        <v>3.6325</v>
      </c>
      <c r="E41" s="359"/>
      <c r="F41" s="369" t="n">
        <f aca="false">SUM(F10:F39)</f>
        <v>300000</v>
      </c>
      <c r="G41" s="367"/>
      <c r="H41" s="370" t="n">
        <f aca="false">AVERAGE(H10:H39)</f>
        <v>3.62116666666667</v>
      </c>
      <c r="I41" s="371" t="n">
        <f aca="false">SUM(I10:I39)</f>
        <v>3399.9999999999</v>
      </c>
      <c r="J41" s="371" t="n">
        <f aca="false">SUM(J10:J39)</f>
        <v>0</v>
      </c>
      <c r="K41" s="371" t="n">
        <f aca="false">SUM(K10:K39)</f>
        <v>3399.9999999999</v>
      </c>
      <c r="L41" s="371" t="n">
        <f aca="false">SUM(L10:L39)</f>
        <v>3399.9999999999</v>
      </c>
    </row>
    <row r="42" customFormat="false" ht="12.75" hidden="false" customHeight="false" outlineLevel="0" collapsed="false">
      <c r="A42" s="359"/>
      <c r="B42" s="359"/>
      <c r="C42" s="359"/>
      <c r="D42" s="361"/>
      <c r="E42" s="359"/>
      <c r="F42" s="399"/>
      <c r="G42" s="359"/>
      <c r="H42" s="359"/>
      <c r="I42" s="400"/>
      <c r="J42" s="401"/>
      <c r="K42" s="401"/>
      <c r="L42" s="401"/>
    </row>
    <row r="43" customFormat="false" ht="12.75" hidden="false" customHeight="false" outlineLevel="0" collapsed="false">
      <c r="G43" s="413"/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2" activeCellId="0" sqref="H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0.28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4.99"/>
    <col collapsed="false" customWidth="true" hidden="false" outlineLevel="0" max="7" min="7" style="0" width="18.41"/>
    <col collapsed="false" customWidth="true" hidden="false" outlineLevel="0" max="8" min="8" style="0" width="11.56"/>
    <col collapsed="false" customWidth="true" hidden="false" outlineLevel="0" max="11" min="9" style="0" width="18.41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149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342"/>
      <c r="B4" s="342"/>
      <c r="C4" s="342"/>
      <c r="D4" s="342"/>
      <c r="E4" s="342"/>
      <c r="F4" s="342"/>
      <c r="G4" s="342"/>
      <c r="H4" s="342"/>
      <c r="I4" s="342"/>
      <c r="J4" s="341"/>
      <c r="K4" s="341"/>
      <c r="L4" s="341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150</v>
      </c>
      <c r="E6" s="385"/>
      <c r="F6" s="385" t="s">
        <v>139</v>
      </c>
      <c r="G6" s="385" t="s">
        <v>88</v>
      </c>
      <c r="H6" s="385" t="s">
        <v>31</v>
      </c>
      <c r="I6" s="386" t="s">
        <v>140</v>
      </c>
      <c r="J6" s="386"/>
      <c r="K6" s="386"/>
      <c r="L6" s="346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350"/>
    </row>
    <row r="8" customFormat="false" ht="12.75" hidden="false" customHeight="false" outlineLevel="0" collapsed="false">
      <c r="A8" s="390"/>
      <c r="B8" s="391"/>
      <c r="C8" s="391"/>
      <c r="D8" s="392" t="s">
        <v>16</v>
      </c>
      <c r="E8" s="391"/>
      <c r="F8" s="391"/>
      <c r="G8" s="393" t="s">
        <v>144</v>
      </c>
      <c r="H8" s="392" t="s">
        <v>16</v>
      </c>
      <c r="I8" s="392" t="s">
        <v>145</v>
      </c>
      <c r="J8" s="392" t="s">
        <v>145</v>
      </c>
      <c r="K8" s="394" t="s">
        <v>145</v>
      </c>
      <c r="L8" s="357" t="s">
        <v>146</v>
      </c>
    </row>
    <row r="9" customFormat="false" ht="12.75" hidden="false" customHeight="false" outlineLevel="0" collapsed="false">
      <c r="A9" s="358" t="n">
        <v>36892</v>
      </c>
      <c r="B9" s="359"/>
      <c r="C9" s="360" t="s">
        <v>52</v>
      </c>
      <c r="D9" s="361" t="n">
        <v>3.74</v>
      </c>
      <c r="E9" s="359"/>
      <c r="F9" s="395" t="n">
        <f aca="false">-5000*31</f>
        <v>-155000</v>
      </c>
      <c r="G9" s="361"/>
      <c r="H9" s="361" t="n">
        <v>9.81</v>
      </c>
      <c r="I9" s="396" t="n">
        <f aca="false">SUM(D9-H9)*F9</f>
        <v>940850</v>
      </c>
      <c r="J9" s="397" t="n">
        <f aca="false">+I9</f>
        <v>940850</v>
      </c>
      <c r="K9" s="397"/>
      <c r="L9" s="366" t="n">
        <f aca="false">IF(K9=0,0,IF(A9&lt;(Summary!$K$3+365),ENA_11!K9,0))</f>
        <v>0</v>
      </c>
    </row>
    <row r="10" customFormat="false" ht="12.75" hidden="false" customHeight="false" outlineLevel="0" collapsed="false">
      <c r="A10" s="358" t="n">
        <v>36923</v>
      </c>
      <c r="B10" s="359"/>
      <c r="C10" s="360" t="s">
        <v>52</v>
      </c>
      <c r="D10" s="361" t="n">
        <v>3.74</v>
      </c>
      <c r="E10" s="359"/>
      <c r="F10" s="395" t="n">
        <f aca="false">-5000*28</f>
        <v>-140000</v>
      </c>
      <c r="G10" s="361"/>
      <c r="H10" s="361" t="n">
        <v>6.65</v>
      </c>
      <c r="I10" s="396" t="n">
        <f aca="false">SUM(D10-H10)*F10</f>
        <v>407400</v>
      </c>
      <c r="J10" s="397" t="n">
        <f aca="false">+I10</f>
        <v>407400</v>
      </c>
      <c r="K10" s="397"/>
      <c r="L10" s="366" t="n">
        <f aca="false">IF(K10=0,0,IF(A10&lt;(Summary!$K$3+365),ENA_11!K10,0))</f>
        <v>0</v>
      </c>
    </row>
    <row r="11" customFormat="false" ht="12.75" hidden="false" customHeight="false" outlineLevel="0" collapsed="false">
      <c r="A11" s="358" t="n">
        <v>36951</v>
      </c>
      <c r="B11" s="359"/>
      <c r="C11" s="360" t="s">
        <v>52</v>
      </c>
      <c r="D11" s="361" t="n">
        <v>3.74</v>
      </c>
      <c r="E11" s="359"/>
      <c r="F11" s="395" t="n">
        <f aca="false">-5000*31</f>
        <v>-155000</v>
      </c>
      <c r="G11" s="361"/>
      <c r="H11" s="361" t="n">
        <v>5.12</v>
      </c>
      <c r="I11" s="396" t="n">
        <f aca="false">SUM(D11-H11)*F11</f>
        <v>213900</v>
      </c>
      <c r="J11" s="397" t="n">
        <f aca="false">+I11</f>
        <v>213900</v>
      </c>
      <c r="K11" s="397"/>
      <c r="L11" s="366" t="n">
        <f aca="false">IF(K11=0,0,IF(A11&lt;(Summary!$K$3+365),ENA_11!K11,0))</f>
        <v>0</v>
      </c>
    </row>
    <row r="12" customFormat="false" ht="12.75" hidden="false" customHeight="false" outlineLevel="0" collapsed="false">
      <c r="A12" s="358" t="n">
        <v>36982</v>
      </c>
      <c r="B12" s="359"/>
      <c r="C12" s="360" t="s">
        <v>52</v>
      </c>
      <c r="D12" s="361" t="n">
        <v>3.74</v>
      </c>
      <c r="E12" s="359"/>
      <c r="F12" s="395" t="n">
        <f aca="false">-5000*30</f>
        <v>-150000</v>
      </c>
      <c r="G12" s="361"/>
      <c r="H12" s="361" t="n">
        <v>5.31</v>
      </c>
      <c r="I12" s="396" t="n">
        <f aca="false">SUM(D12-H12)*F12</f>
        <v>235500</v>
      </c>
      <c r="J12" s="397" t="n">
        <f aca="false">+I12</f>
        <v>235500</v>
      </c>
      <c r="K12" s="397"/>
      <c r="L12" s="366" t="n">
        <f aca="false">IF(K12=0,0,IF(A12&lt;(Summary!$K$3+365),ENA_11!K12,0))</f>
        <v>0</v>
      </c>
    </row>
    <row r="13" customFormat="false" ht="12.75" hidden="false" customHeight="false" outlineLevel="0" collapsed="false">
      <c r="A13" s="358" t="n">
        <v>37012</v>
      </c>
      <c r="B13" s="359"/>
      <c r="C13" s="360" t="s">
        <v>52</v>
      </c>
      <c r="D13" s="361" t="n">
        <v>3.74</v>
      </c>
      <c r="E13" s="359"/>
      <c r="F13" s="395" t="n">
        <f aca="false">-5000*31</f>
        <v>-155000</v>
      </c>
      <c r="G13" s="359"/>
      <c r="H13" s="361" t="n">
        <v>4.91</v>
      </c>
      <c r="I13" s="396" t="n">
        <f aca="false">SUM(D13-H13)*F13</f>
        <v>181350</v>
      </c>
      <c r="J13" s="397" t="n">
        <f aca="false">+I13</f>
        <v>181350</v>
      </c>
      <c r="K13" s="397"/>
      <c r="L13" s="366" t="n">
        <f aca="false">IF(K13=0,0,IF(A13&lt;(Summary!$K$3+365),ENA_11!K13,0))</f>
        <v>0</v>
      </c>
    </row>
    <row r="14" customFormat="false" ht="12.75" hidden="false" customHeight="false" outlineLevel="0" collapsed="false">
      <c r="A14" s="358" t="n">
        <v>37043</v>
      </c>
      <c r="B14" s="359"/>
      <c r="C14" s="360" t="s">
        <v>52</v>
      </c>
      <c r="D14" s="361" t="n">
        <v>3.74</v>
      </c>
      <c r="E14" s="359"/>
      <c r="F14" s="395" t="n">
        <f aca="false">-5000*30</f>
        <v>-150000</v>
      </c>
      <c r="G14" s="359"/>
      <c r="H14" s="361" t="n">
        <v>3.82</v>
      </c>
      <c r="I14" s="396" t="n">
        <f aca="false">SUM(D14-H14)*F14</f>
        <v>11999.9999999999</v>
      </c>
      <c r="J14" s="398"/>
      <c r="K14" s="397" t="n">
        <f aca="false">+I14</f>
        <v>11999.9999999999</v>
      </c>
      <c r="L14" s="366" t="n">
        <f aca="false">IF(K14=0,0,IF(A14&lt;(Summary!$K$3+365),ENA_11!K14,0))</f>
        <v>11999.9999999999</v>
      </c>
    </row>
    <row r="15" customFormat="false" ht="12.75" hidden="false" customHeight="false" outlineLevel="0" collapsed="false">
      <c r="A15" s="358" t="n">
        <v>37073</v>
      </c>
      <c r="B15" s="359"/>
      <c r="C15" s="360" t="s">
        <v>52</v>
      </c>
      <c r="D15" s="361" t="n">
        <v>3.74</v>
      </c>
      <c r="E15" s="359"/>
      <c r="F15" s="395" t="n">
        <f aca="false">-5000*31</f>
        <v>-155000</v>
      </c>
      <c r="G15" s="359"/>
      <c r="H15" s="361" t="n">
        <f aca="false">+'[3]ELpaso SJ &amp; Prm'!$F49</f>
        <v>3.874</v>
      </c>
      <c r="I15" s="396" t="n">
        <f aca="false">SUM(D15-H15)*F15</f>
        <v>20770</v>
      </c>
      <c r="J15" s="398"/>
      <c r="K15" s="397" t="n">
        <f aca="false">+I15</f>
        <v>20770</v>
      </c>
      <c r="L15" s="366" t="n">
        <f aca="false">IF(K15=0,0,IF(A15&lt;(Summary!$K$3+365),ENA_11!K15,0))</f>
        <v>20770</v>
      </c>
    </row>
    <row r="16" customFormat="false" ht="12.75" hidden="false" customHeight="false" outlineLevel="0" collapsed="false">
      <c r="A16" s="358" t="n">
        <v>37104</v>
      </c>
      <c r="B16" s="359"/>
      <c r="C16" s="360" t="s">
        <v>52</v>
      </c>
      <c r="D16" s="361" t="n">
        <v>3.74</v>
      </c>
      <c r="E16" s="359"/>
      <c r="F16" s="395" t="n">
        <f aca="false">-5000*31</f>
        <v>-155000</v>
      </c>
      <c r="G16" s="359"/>
      <c r="H16" s="361" t="n">
        <f aca="false">+'[3]ELpaso SJ &amp; Prm'!$F50</f>
        <v>3.985</v>
      </c>
      <c r="I16" s="396" t="n">
        <f aca="false">SUM(D16-H16)*F16</f>
        <v>37975</v>
      </c>
      <c r="J16" s="398"/>
      <c r="K16" s="397" t="n">
        <f aca="false">+I16</f>
        <v>37975</v>
      </c>
      <c r="L16" s="366" t="n">
        <f aca="false">IF(K16=0,0,IF(A16&lt;(Summary!$K$3+365),ENA_11!K16,0))</f>
        <v>37975</v>
      </c>
    </row>
    <row r="17" customFormat="false" ht="12.75" hidden="false" customHeight="false" outlineLevel="0" collapsed="false">
      <c r="A17" s="358" t="n">
        <v>37135</v>
      </c>
      <c r="B17" s="359"/>
      <c r="C17" s="360" t="s">
        <v>52</v>
      </c>
      <c r="D17" s="361" t="n">
        <v>3.74</v>
      </c>
      <c r="E17" s="359"/>
      <c r="F17" s="395" t="n">
        <f aca="false">-5000*30</f>
        <v>-150000</v>
      </c>
      <c r="G17" s="359"/>
      <c r="H17" s="361" t="n">
        <f aca="false">+'[3]ELpaso SJ &amp; Prm'!$F51</f>
        <v>4.012</v>
      </c>
      <c r="I17" s="396" t="n">
        <f aca="false">SUM(D17-H17)*F17</f>
        <v>40800</v>
      </c>
      <c r="J17" s="398"/>
      <c r="K17" s="397" t="n">
        <f aca="false">+I17</f>
        <v>40800</v>
      </c>
      <c r="L17" s="366" t="n">
        <f aca="false">IF(K17=0,0,IF(A17&lt;(Summary!$K$3+365),ENA_11!K17,0))</f>
        <v>40800</v>
      </c>
    </row>
    <row r="18" customFormat="false" ht="12.75" hidden="false" customHeight="false" outlineLevel="0" collapsed="false">
      <c r="A18" s="358" t="n">
        <v>37165</v>
      </c>
      <c r="B18" s="359"/>
      <c r="C18" s="360" t="s">
        <v>52</v>
      </c>
      <c r="D18" s="361" t="n">
        <v>3.74</v>
      </c>
      <c r="E18" s="359"/>
      <c r="F18" s="395" t="n">
        <f aca="false">-5000*31</f>
        <v>-155000</v>
      </c>
      <c r="G18" s="359"/>
      <c r="H18" s="361" t="n">
        <f aca="false">+'[3]ELpaso SJ &amp; Prm'!$F52</f>
        <v>4.013</v>
      </c>
      <c r="I18" s="396" t="n">
        <f aca="false">SUM(D18-H18)*F18</f>
        <v>42315</v>
      </c>
      <c r="J18" s="398"/>
      <c r="K18" s="397" t="n">
        <f aca="false">+I18</f>
        <v>42315</v>
      </c>
      <c r="L18" s="366" t="n">
        <f aca="false">IF(K18=0,0,IF(A18&lt;(Summary!$K$3+365),ENA_11!K18,0))</f>
        <v>42315</v>
      </c>
    </row>
    <row r="19" customFormat="false" ht="12.75" hidden="false" customHeight="false" outlineLevel="0" collapsed="false">
      <c r="A19" s="358" t="n">
        <v>37196</v>
      </c>
      <c r="B19" s="359"/>
      <c r="C19" s="360" t="s">
        <v>52</v>
      </c>
      <c r="D19" s="361" t="n">
        <v>3.74</v>
      </c>
      <c r="E19" s="359"/>
      <c r="F19" s="395" t="n">
        <f aca="false">-5000*30</f>
        <v>-150000</v>
      </c>
      <c r="G19" s="359"/>
      <c r="H19" s="361" t="n">
        <f aca="false">+'[3]ELpaso SJ &amp; Prm'!$F53</f>
        <v>4.1975</v>
      </c>
      <c r="I19" s="396" t="n">
        <f aca="false">SUM(D19-H19)*F19</f>
        <v>68624.9999999999</v>
      </c>
      <c r="J19" s="398"/>
      <c r="K19" s="397" t="n">
        <f aca="false">+I19</f>
        <v>68624.9999999999</v>
      </c>
      <c r="L19" s="366" t="n">
        <f aca="false">IF(K19=0,0,IF(A19&lt;(Summary!$K$3+365),ENA_11!K19,0))</f>
        <v>68624.9999999999</v>
      </c>
    </row>
    <row r="20" customFormat="false" ht="12.75" hidden="false" customHeight="false" outlineLevel="0" collapsed="false">
      <c r="A20" s="358" t="n">
        <v>37226</v>
      </c>
      <c r="B20" s="359"/>
      <c r="C20" s="360" t="s">
        <v>52</v>
      </c>
      <c r="D20" s="361" t="n">
        <v>3.74</v>
      </c>
      <c r="E20" s="359"/>
      <c r="F20" s="395" t="n">
        <f aca="false">-5000*31</f>
        <v>-155000</v>
      </c>
      <c r="G20" s="359"/>
      <c r="H20" s="361" t="n">
        <f aca="false">+'[3]ELpaso SJ &amp; Prm'!$F54</f>
        <v>4.3605</v>
      </c>
      <c r="I20" s="396" t="n">
        <f aca="false">SUM(D20-H20)*F20</f>
        <v>96177.5</v>
      </c>
      <c r="J20" s="398"/>
      <c r="K20" s="397" t="n">
        <f aca="false">+I20</f>
        <v>96177.5</v>
      </c>
      <c r="L20" s="366" t="n">
        <f aca="false">IF(K20=0,0,IF(A20&lt;(Summary!$K$3+365),ENA_11!K20,0))</f>
        <v>96177.5</v>
      </c>
    </row>
    <row r="21" customFormat="false" ht="12.75" hidden="false" customHeight="false" outlineLevel="0" collapsed="false">
      <c r="A21" s="358"/>
      <c r="B21" s="359"/>
      <c r="C21" s="360"/>
      <c r="D21" s="361"/>
      <c r="E21" s="359"/>
      <c r="F21" s="395"/>
      <c r="G21" s="359"/>
      <c r="H21" s="361"/>
      <c r="I21" s="396"/>
      <c r="J21" s="398"/>
      <c r="K21" s="397"/>
      <c r="L21" s="359"/>
    </row>
    <row r="22" customFormat="false" ht="12.75" hidden="false" customHeight="false" outlineLevel="0" collapsed="false">
      <c r="A22" s="359"/>
      <c r="B22" s="359"/>
      <c r="C22" s="359"/>
      <c r="D22" s="359"/>
      <c r="E22" s="359"/>
      <c r="F22" s="369" t="n">
        <f aca="false">SUM(F9:F20)</f>
        <v>-1825000</v>
      </c>
      <c r="G22" s="367"/>
      <c r="H22" s="370" t="n">
        <f aca="false">AVERAGE(H9:H20)</f>
        <v>5.00516666666667</v>
      </c>
      <c r="I22" s="371" t="n">
        <f aca="false">SUM(I9:I20)</f>
        <v>2297662.5</v>
      </c>
      <c r="J22" s="371" t="n">
        <f aca="false">SUM(J9:J20)</f>
        <v>1979000</v>
      </c>
      <c r="K22" s="371" t="n">
        <f aca="false">SUM(K9:K20)</f>
        <v>318662.5</v>
      </c>
      <c r="L22" s="371" t="n">
        <f aca="false">SUM(L9:L20)</f>
        <v>318662.5</v>
      </c>
    </row>
    <row r="23" customFormat="false" ht="12.75" hidden="false" customHeight="false" outlineLevel="0" collapsed="false">
      <c r="A23" s="359"/>
      <c r="B23" s="359"/>
      <c r="C23" s="359"/>
      <c r="D23" s="359"/>
      <c r="E23" s="359"/>
      <c r="F23" s="399"/>
      <c r="G23" s="359"/>
      <c r="H23" s="359"/>
      <c r="I23" s="400"/>
      <c r="J23" s="401"/>
      <c r="K23" s="401"/>
      <c r="L23" s="359"/>
    </row>
    <row r="24" customFormat="false" ht="12.75" hidden="false" customHeight="false" outlineLevel="0" collapsed="false">
      <c r="A24" s="359"/>
      <c r="B24" s="359"/>
      <c r="C24" s="359"/>
      <c r="D24" s="359"/>
      <c r="E24" s="359"/>
      <c r="F24" s="359"/>
      <c r="G24" s="402" t="s">
        <v>144</v>
      </c>
      <c r="H24" s="403"/>
      <c r="I24" s="359"/>
      <c r="J24" s="398"/>
      <c r="K24" s="398"/>
      <c r="L24" s="359"/>
    </row>
    <row r="25" customFormat="false" ht="12.75" hidden="false" customHeight="false" outlineLevel="0" collapsed="false">
      <c r="A25" s="359"/>
      <c r="B25" s="359"/>
      <c r="C25" s="359"/>
      <c r="D25" s="361"/>
      <c r="E25" s="359"/>
      <c r="F25" s="359"/>
      <c r="G25" s="350"/>
      <c r="H25" s="403"/>
      <c r="I25" s="359"/>
      <c r="J25" s="398"/>
      <c r="K25" s="398"/>
      <c r="L25" s="359"/>
    </row>
    <row r="26" customFormat="false" ht="12.75" hidden="false" customHeight="false" outlineLevel="0" collapsed="false">
      <c r="A26" s="358" t="n">
        <v>36892</v>
      </c>
      <c r="B26" s="359"/>
      <c r="C26" s="360" t="s">
        <v>147</v>
      </c>
      <c r="D26" s="361" t="n">
        <v>3.74</v>
      </c>
      <c r="E26" s="359"/>
      <c r="F26" s="362" t="n">
        <f aca="false">5000*31</f>
        <v>155000</v>
      </c>
      <c r="G26" s="363"/>
      <c r="H26" s="363" t="n">
        <v>9.81</v>
      </c>
      <c r="I26" s="364" t="n">
        <f aca="false">(+D26-H26)*F26</f>
        <v>-940850</v>
      </c>
      <c r="J26" s="365" t="n">
        <f aca="false">+I26</f>
        <v>-940850</v>
      </c>
      <c r="K26" s="365"/>
      <c r="L26" s="404" t="n">
        <f aca="false">IF(K26=0,0,IF(A26&lt;(Summary!$K$3+365),ENA_11!K26,0))</f>
        <v>0</v>
      </c>
    </row>
    <row r="27" customFormat="false" ht="12.75" hidden="false" customHeight="false" outlineLevel="0" collapsed="false">
      <c r="A27" s="358" t="n">
        <v>36923</v>
      </c>
      <c r="B27" s="359"/>
      <c r="C27" s="360" t="s">
        <v>147</v>
      </c>
      <c r="D27" s="361" t="n">
        <v>3.74</v>
      </c>
      <c r="E27" s="359"/>
      <c r="F27" s="362" t="n">
        <f aca="false">5000*28</f>
        <v>140000</v>
      </c>
      <c r="G27" s="363"/>
      <c r="H27" s="363" t="n">
        <v>6.65</v>
      </c>
      <c r="I27" s="364" t="n">
        <f aca="false">(+D27-H27)*F27</f>
        <v>-407400</v>
      </c>
      <c r="J27" s="365" t="n">
        <f aca="false">+I27</f>
        <v>-407400</v>
      </c>
      <c r="K27" s="365"/>
      <c r="L27" s="404" t="n">
        <f aca="false">IF(K27=0,0,IF(A27&lt;(Summary!$K$3+365),ENA_11!K27,0))</f>
        <v>0</v>
      </c>
    </row>
    <row r="28" customFormat="false" ht="12.75" hidden="false" customHeight="false" outlineLevel="0" collapsed="false">
      <c r="A28" s="358" t="n">
        <v>36951</v>
      </c>
      <c r="B28" s="359"/>
      <c r="C28" s="360" t="s">
        <v>147</v>
      </c>
      <c r="D28" s="361" t="n">
        <v>3.74</v>
      </c>
      <c r="E28" s="359"/>
      <c r="F28" s="362" t="n">
        <f aca="false">5000*31</f>
        <v>155000</v>
      </c>
      <c r="G28" s="363"/>
      <c r="H28" s="363" t="n">
        <v>5.12</v>
      </c>
      <c r="I28" s="364" t="n">
        <f aca="false">(+D28-H28)*F28</f>
        <v>-213900</v>
      </c>
      <c r="J28" s="365" t="n">
        <f aca="false">+I28</f>
        <v>-213900</v>
      </c>
      <c r="K28" s="365"/>
      <c r="L28" s="404" t="n">
        <f aca="false">IF(K28=0,0,IF(A28&lt;(Summary!$K$3+365),ENA_11!K28,0))</f>
        <v>0</v>
      </c>
    </row>
    <row r="29" customFormat="false" ht="12.75" hidden="false" customHeight="false" outlineLevel="0" collapsed="false">
      <c r="A29" s="358" t="n">
        <v>36982</v>
      </c>
      <c r="B29" s="359"/>
      <c r="C29" s="360" t="s">
        <v>147</v>
      </c>
      <c r="D29" s="361" t="n">
        <v>3.74</v>
      </c>
      <c r="E29" s="359"/>
      <c r="F29" s="362" t="n">
        <f aca="false">5000*30</f>
        <v>150000</v>
      </c>
      <c r="G29" s="363"/>
      <c r="H29" s="363" t="n">
        <v>5.31</v>
      </c>
      <c r="I29" s="364" t="n">
        <f aca="false">(+D29-H29)*F29</f>
        <v>-235500</v>
      </c>
      <c r="J29" s="365" t="n">
        <f aca="false">+I29</f>
        <v>-235500</v>
      </c>
      <c r="K29" s="365"/>
      <c r="L29" s="404" t="n">
        <f aca="false">IF(K29=0,0,IF(A29&lt;(Summary!$K$3+365),ENA_11!K29,0))</f>
        <v>0</v>
      </c>
    </row>
    <row r="30" customFormat="false" ht="12.75" hidden="false" customHeight="false" outlineLevel="0" collapsed="false">
      <c r="A30" s="358" t="n">
        <v>37012</v>
      </c>
      <c r="B30" s="359"/>
      <c r="C30" s="360" t="s">
        <v>147</v>
      </c>
      <c r="D30" s="361" t="n">
        <v>3.74</v>
      </c>
      <c r="E30" s="359"/>
      <c r="F30" s="362" t="n">
        <f aca="false">5000*31</f>
        <v>155000</v>
      </c>
      <c r="G30" s="367"/>
      <c r="H30" s="363" t="n">
        <v>4.91</v>
      </c>
      <c r="I30" s="364" t="n">
        <f aca="false">(+D30-H30)*F30</f>
        <v>-181350</v>
      </c>
      <c r="J30" s="365" t="n">
        <f aca="false">+I30</f>
        <v>-181350</v>
      </c>
      <c r="K30" s="365"/>
      <c r="L30" s="404" t="n">
        <f aca="false">IF(K30=0,0,IF(A30&lt;(Summary!$K$3+365),ENA_11!K30,0))</f>
        <v>0</v>
      </c>
    </row>
    <row r="31" customFormat="false" ht="12.75" hidden="false" customHeight="false" outlineLevel="0" collapsed="false">
      <c r="A31" s="358" t="n">
        <v>37043</v>
      </c>
      <c r="B31" s="359"/>
      <c r="C31" s="360" t="s">
        <v>147</v>
      </c>
      <c r="D31" s="361" t="n">
        <v>3.74</v>
      </c>
      <c r="E31" s="359"/>
      <c r="F31" s="362" t="n">
        <f aca="false">5000*30</f>
        <v>150000</v>
      </c>
      <c r="G31" s="367"/>
      <c r="H31" s="363" t="n">
        <v>3.82</v>
      </c>
      <c r="I31" s="364" t="n">
        <f aca="false">(+D31-H31)*F31</f>
        <v>-11999.9999999999</v>
      </c>
      <c r="J31" s="368"/>
      <c r="K31" s="365" t="n">
        <f aca="false">+I31</f>
        <v>-11999.9999999999</v>
      </c>
      <c r="L31" s="404" t="n">
        <f aca="false">IF(K31=0,0,IF(A31&lt;(Summary!$K$3+365),ENA_11!K31,0))</f>
        <v>-11999.9999999999</v>
      </c>
    </row>
    <row r="32" customFormat="false" ht="12.75" hidden="false" customHeight="false" outlineLevel="0" collapsed="false">
      <c r="A32" s="358" t="n">
        <v>37073</v>
      </c>
      <c r="B32" s="359"/>
      <c r="C32" s="360" t="s">
        <v>147</v>
      </c>
      <c r="D32" s="361" t="n">
        <v>3.74</v>
      </c>
      <c r="E32" s="359"/>
      <c r="F32" s="362" t="n">
        <f aca="false">5000*31</f>
        <v>155000</v>
      </c>
      <c r="G32" s="367"/>
      <c r="H32" s="363" t="n">
        <f aca="false">+'[3]ELpaso SJ &amp; Prm'!$G49</f>
        <v>3.8815</v>
      </c>
      <c r="I32" s="364" t="n">
        <f aca="false">(+D32-H32)*F32</f>
        <v>-21932.5</v>
      </c>
      <c r="J32" s="368"/>
      <c r="K32" s="365" t="n">
        <f aca="false">+I32</f>
        <v>-21932.5</v>
      </c>
      <c r="L32" s="404" t="n">
        <f aca="false">IF(K32=0,0,IF(A32&lt;(Summary!$K$3+365),ENA_11!K32,0))</f>
        <v>-21932.5</v>
      </c>
    </row>
    <row r="33" customFormat="false" ht="12.75" hidden="false" customHeight="false" outlineLevel="0" collapsed="false">
      <c r="A33" s="358" t="n">
        <v>37104</v>
      </c>
      <c r="B33" s="359"/>
      <c r="C33" s="360" t="s">
        <v>147</v>
      </c>
      <c r="D33" s="361" t="n">
        <v>3.74</v>
      </c>
      <c r="E33" s="359"/>
      <c r="F33" s="362" t="n">
        <f aca="false">5000*31</f>
        <v>155000</v>
      </c>
      <c r="G33" s="367"/>
      <c r="H33" s="363" t="n">
        <f aca="false">+'[3]ELpaso SJ &amp; Prm'!$G50</f>
        <v>3.9925</v>
      </c>
      <c r="I33" s="364" t="n">
        <f aca="false">(+D33-H33)*F33</f>
        <v>-39137.5</v>
      </c>
      <c r="J33" s="368"/>
      <c r="K33" s="365" t="n">
        <f aca="false">+I33</f>
        <v>-39137.5</v>
      </c>
      <c r="L33" s="404" t="n">
        <f aca="false">IF(K33=0,0,IF(A33&lt;(Summary!$K$3+365),ENA_11!K33,0))</f>
        <v>-39137.5</v>
      </c>
    </row>
    <row r="34" customFormat="false" ht="12.75" hidden="false" customHeight="false" outlineLevel="0" collapsed="false">
      <c r="A34" s="358" t="n">
        <v>37135</v>
      </c>
      <c r="B34" s="359"/>
      <c r="C34" s="360" t="s">
        <v>147</v>
      </c>
      <c r="D34" s="361" t="n">
        <v>3.74</v>
      </c>
      <c r="E34" s="359"/>
      <c r="F34" s="362" t="n">
        <f aca="false">5000*30</f>
        <v>150000</v>
      </c>
      <c r="G34" s="367"/>
      <c r="H34" s="363" t="n">
        <f aca="false">+'[3]ELpaso SJ &amp; Prm'!$G51</f>
        <v>4.0195</v>
      </c>
      <c r="I34" s="364" t="n">
        <f aca="false">(+D34-H34)*F34</f>
        <v>-41925.0000000001</v>
      </c>
      <c r="J34" s="368"/>
      <c r="K34" s="365" t="n">
        <f aca="false">+I34</f>
        <v>-41925.0000000001</v>
      </c>
      <c r="L34" s="404" t="n">
        <f aca="false">IF(K34=0,0,IF(A34&lt;(Summary!$K$3+365),ENA_11!K34,0))</f>
        <v>-41925.0000000001</v>
      </c>
    </row>
    <row r="35" customFormat="false" ht="12.75" hidden="false" customHeight="false" outlineLevel="0" collapsed="false">
      <c r="A35" s="358" t="n">
        <v>37165</v>
      </c>
      <c r="B35" s="359"/>
      <c r="C35" s="360" t="s">
        <v>147</v>
      </c>
      <c r="D35" s="361" t="n">
        <v>3.74</v>
      </c>
      <c r="E35" s="359"/>
      <c r="F35" s="362" t="n">
        <f aca="false">5000*31</f>
        <v>155000</v>
      </c>
      <c r="G35" s="367"/>
      <c r="H35" s="363" t="n">
        <f aca="false">+'[3]ELpaso SJ &amp; Prm'!$G52</f>
        <v>4.0205</v>
      </c>
      <c r="I35" s="364" t="n">
        <f aca="false">(+D35-H35)*F35</f>
        <v>-43477.5</v>
      </c>
      <c r="J35" s="368"/>
      <c r="K35" s="365" t="n">
        <f aca="false">+I35</f>
        <v>-43477.5</v>
      </c>
      <c r="L35" s="404" t="n">
        <f aca="false">IF(K35=0,0,IF(A35&lt;(Summary!$K$3+365),ENA_11!K35,0))</f>
        <v>-43477.5</v>
      </c>
    </row>
    <row r="36" customFormat="false" ht="12.75" hidden="false" customHeight="false" outlineLevel="0" collapsed="false">
      <c r="A36" s="358" t="n">
        <v>37196</v>
      </c>
      <c r="B36" s="359"/>
      <c r="C36" s="360" t="s">
        <v>147</v>
      </c>
      <c r="D36" s="361" t="n">
        <v>3.74</v>
      </c>
      <c r="E36" s="359"/>
      <c r="F36" s="362" t="n">
        <f aca="false">5000*30</f>
        <v>150000</v>
      </c>
      <c r="G36" s="367"/>
      <c r="H36" s="363" t="n">
        <f aca="false">+'[3]ELpaso SJ &amp; Prm'!$G53</f>
        <v>4.2125</v>
      </c>
      <c r="I36" s="364" t="n">
        <f aca="false">(+D36-H36)*F36</f>
        <v>-70874.9999999999</v>
      </c>
      <c r="J36" s="368"/>
      <c r="K36" s="365" t="n">
        <f aca="false">+I36</f>
        <v>-70874.9999999999</v>
      </c>
      <c r="L36" s="404" t="n">
        <f aca="false">IF(K36=0,0,IF(A36&lt;(Summary!$K$3+365),ENA_11!K36,0))</f>
        <v>-70874.9999999999</v>
      </c>
    </row>
    <row r="37" customFormat="false" ht="12.75" hidden="false" customHeight="false" outlineLevel="0" collapsed="false">
      <c r="A37" s="358" t="n">
        <v>37226</v>
      </c>
      <c r="B37" s="359"/>
      <c r="C37" s="360" t="s">
        <v>147</v>
      </c>
      <c r="D37" s="361" t="n">
        <v>3.74</v>
      </c>
      <c r="E37" s="359"/>
      <c r="F37" s="362" t="n">
        <f aca="false">5000*31</f>
        <v>155000</v>
      </c>
      <c r="G37" s="367"/>
      <c r="H37" s="363" t="n">
        <f aca="false">+'[3]ELpaso SJ &amp; Prm'!$G54</f>
        <v>4.3755</v>
      </c>
      <c r="I37" s="364" t="n">
        <f aca="false">(+D37-H37)*F37</f>
        <v>-98502.4999999999</v>
      </c>
      <c r="J37" s="368"/>
      <c r="K37" s="365" t="n">
        <f aca="false">+I37</f>
        <v>-98502.4999999999</v>
      </c>
      <c r="L37" s="404" t="n">
        <f aca="false">IF(K37=0,0,IF(A37&lt;(Summary!$K$3+365),ENA_11!K37,0))</f>
        <v>-98502.4999999999</v>
      </c>
    </row>
    <row r="38" customFormat="false" ht="12.75" hidden="false" customHeight="false" outlineLevel="0" collapsed="false">
      <c r="A38" s="358"/>
      <c r="B38" s="359"/>
      <c r="C38" s="360"/>
      <c r="D38" s="361"/>
      <c r="E38" s="359"/>
      <c r="F38" s="362"/>
      <c r="G38" s="367"/>
      <c r="H38" s="363"/>
      <c r="I38" s="364"/>
      <c r="J38" s="368"/>
      <c r="K38" s="365"/>
      <c r="L38" s="365"/>
    </row>
    <row r="39" customFormat="false" ht="12.75" hidden="false" customHeight="false" outlineLevel="0" collapsed="false">
      <c r="A39" s="359"/>
      <c r="B39" s="359"/>
      <c r="C39" s="359"/>
      <c r="D39" s="359"/>
      <c r="E39" s="359"/>
      <c r="F39" s="369" t="n">
        <f aca="false">SUM(F26:F38)</f>
        <v>1825000</v>
      </c>
      <c r="G39" s="367"/>
      <c r="H39" s="370" t="n">
        <f aca="false">AVERAGE(H26:H37)</f>
        <v>5.01016666666667</v>
      </c>
      <c r="I39" s="377" t="n">
        <f aca="false">SUM(I26:I38)</f>
        <v>-2306850</v>
      </c>
      <c r="J39" s="377" t="n">
        <f aca="false">SUM(J26:J38)</f>
        <v>-1979000</v>
      </c>
      <c r="K39" s="377" t="n">
        <f aca="false">SUM(K26:K38)</f>
        <v>-327850</v>
      </c>
      <c r="L39" s="377" t="n">
        <f aca="false">SUM(L26:L38)</f>
        <v>-327850</v>
      </c>
    </row>
    <row r="40" customFormat="false" ht="12.75" hidden="false" customHeight="false" outlineLevel="0" collapsed="false">
      <c r="A40" s="359"/>
      <c r="B40" s="359"/>
      <c r="C40" s="359"/>
      <c r="D40" s="359"/>
      <c r="E40" s="359"/>
      <c r="F40" s="367"/>
      <c r="G40" s="367"/>
      <c r="H40" s="367"/>
      <c r="I40" s="367"/>
      <c r="J40" s="368"/>
      <c r="K40" s="368"/>
      <c r="L40" s="368"/>
    </row>
    <row r="41" customFormat="false" ht="13.5" hidden="false" customHeight="false" outlineLevel="0" collapsed="false">
      <c r="A41" s="359"/>
      <c r="B41" s="359"/>
      <c r="C41" s="359"/>
      <c r="D41" s="359"/>
      <c r="E41" s="359"/>
      <c r="F41" s="378" t="n">
        <f aca="false">+F39+F22</f>
        <v>0</v>
      </c>
      <c r="G41" s="367"/>
      <c r="H41" s="367"/>
      <c r="I41" s="379" t="n">
        <f aca="false">+I39+I22</f>
        <v>-9187.5</v>
      </c>
      <c r="J41" s="379" t="n">
        <f aca="false">+J39+J22</f>
        <v>0</v>
      </c>
      <c r="K41" s="379" t="n">
        <f aca="false">+K39+K22</f>
        <v>-9187.49999999988</v>
      </c>
      <c r="L41" s="379" t="n">
        <f aca="false">+L39+L22</f>
        <v>-9187.49999999988</v>
      </c>
    </row>
    <row r="42" customFormat="false" ht="13.5" hidden="false" customHeight="false" outlineLevel="0" collapsed="false">
      <c r="A42" s="380"/>
      <c r="B42" s="380"/>
      <c r="C42" s="380"/>
      <c r="D42" s="380"/>
      <c r="E42" s="380"/>
      <c r="F42" s="380"/>
      <c r="G42" s="380"/>
      <c r="H42" s="380"/>
      <c r="I42" s="380"/>
      <c r="J42" s="405"/>
      <c r="K42" s="405"/>
      <c r="L42" s="405"/>
    </row>
    <row r="44" customFormat="false" ht="12.75" hidden="false" customHeight="false" outlineLevel="0" collapsed="false">
      <c r="A44" s="8" t="s">
        <v>148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383" width="13.14"/>
    <col collapsed="false" customWidth="true" hidden="false" outlineLevel="0" max="7" min="7" style="383" width="16.56"/>
    <col collapsed="false" customWidth="true" hidden="false" outlineLevel="0" max="8" min="8" style="383" width="9.7"/>
    <col collapsed="false" customWidth="true" hidden="false" outlineLevel="0" max="11" min="9" style="383" width="17.28"/>
    <col collapsed="false" customWidth="true" hidden="false" outlineLevel="0" max="12" min="12" style="0" width="17.28"/>
  </cols>
  <sheetData>
    <row r="1" customFormat="false" ht="15.7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.7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152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342"/>
      <c r="B4" s="342"/>
      <c r="C4" s="342"/>
      <c r="D4" s="342"/>
      <c r="E4" s="342"/>
      <c r="F4" s="342"/>
      <c r="G4" s="342"/>
      <c r="H4" s="342"/>
      <c r="I4" s="342"/>
      <c r="J4" s="341"/>
      <c r="K4" s="341"/>
      <c r="L4" s="341"/>
    </row>
    <row r="6" customFormat="false" ht="12.75" hidden="false" customHeight="false" outlineLevel="0" collapsed="false">
      <c r="A6" s="343" t="s">
        <v>138</v>
      </c>
      <c r="B6" s="344" t="s">
        <v>5</v>
      </c>
      <c r="C6" s="344" t="s">
        <v>5</v>
      </c>
      <c r="D6" s="344" t="s">
        <v>52</v>
      </c>
      <c r="E6" s="344"/>
      <c r="F6" s="385" t="s">
        <v>139</v>
      </c>
      <c r="G6" s="385" t="s">
        <v>88</v>
      </c>
      <c r="H6" s="385" t="s">
        <v>31</v>
      </c>
      <c r="I6" s="386" t="s">
        <v>140</v>
      </c>
      <c r="J6" s="386"/>
      <c r="K6" s="386"/>
      <c r="L6" s="346"/>
    </row>
    <row r="7" customFormat="false" ht="12.75" hidden="false" customHeight="false" outlineLevel="0" collapsed="false">
      <c r="A7" s="347" t="s">
        <v>15</v>
      </c>
      <c r="B7" s="348" t="s">
        <v>12</v>
      </c>
      <c r="C7" s="348" t="s">
        <v>11</v>
      </c>
      <c r="D7" s="348" t="s">
        <v>141</v>
      </c>
      <c r="E7" s="34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350"/>
    </row>
    <row r="8" customFormat="false" ht="12.75" hidden="false" customHeight="false" outlineLevel="0" collapsed="false">
      <c r="A8" s="351"/>
      <c r="B8" s="352"/>
      <c r="C8" s="352"/>
      <c r="D8" s="353" t="s">
        <v>16</v>
      </c>
      <c r="E8" s="352"/>
      <c r="F8" s="391"/>
      <c r="G8" s="393" t="s">
        <v>144</v>
      </c>
      <c r="H8" s="392" t="s">
        <v>16</v>
      </c>
      <c r="I8" s="392" t="s">
        <v>145</v>
      </c>
      <c r="J8" s="392" t="s">
        <v>145</v>
      </c>
      <c r="K8" s="394" t="s">
        <v>145</v>
      </c>
      <c r="L8" s="357" t="s">
        <v>146</v>
      </c>
    </row>
    <row r="9" customFormat="false" ht="12.75" hidden="false" customHeight="false" outlineLevel="0" collapsed="false">
      <c r="A9" s="358" t="n">
        <v>36892</v>
      </c>
      <c r="B9" s="359"/>
      <c r="C9" s="360" t="s">
        <v>52</v>
      </c>
      <c r="D9" s="361" t="n">
        <v>3.63</v>
      </c>
      <c r="E9" s="359"/>
      <c r="F9" s="362" t="n">
        <f aca="false">-5000*31</f>
        <v>-155000</v>
      </c>
      <c r="G9" s="363"/>
      <c r="H9" s="363" t="n">
        <v>9.81</v>
      </c>
      <c r="I9" s="364" t="n">
        <f aca="false">SUM(D9-H9)*F9</f>
        <v>957900</v>
      </c>
      <c r="J9" s="365" t="n">
        <f aca="false">+I9</f>
        <v>957900</v>
      </c>
      <c r="K9" s="365"/>
      <c r="L9" s="366" t="n">
        <f aca="false">IF(K9=0,0,IF(A9&lt;(Summary!$K$3+365),ENA_12!K9,0))</f>
        <v>0</v>
      </c>
    </row>
    <row r="10" customFormat="false" ht="12.75" hidden="false" customHeight="false" outlineLevel="0" collapsed="false">
      <c r="A10" s="358" t="n">
        <v>36923</v>
      </c>
      <c r="B10" s="359"/>
      <c r="C10" s="360" t="s">
        <v>52</v>
      </c>
      <c r="D10" s="361" t="n">
        <v>3.63</v>
      </c>
      <c r="E10" s="359"/>
      <c r="F10" s="362" t="n">
        <f aca="false">-5000*28</f>
        <v>-140000</v>
      </c>
      <c r="G10" s="363"/>
      <c r="H10" s="363" t="n">
        <v>6.65</v>
      </c>
      <c r="I10" s="364" t="n">
        <f aca="false">SUM(D10-H10)*F10</f>
        <v>422800</v>
      </c>
      <c r="J10" s="365" t="n">
        <f aca="false">+I10</f>
        <v>422800</v>
      </c>
      <c r="K10" s="365"/>
      <c r="L10" s="366" t="n">
        <f aca="false">IF(K10=0,0,IF(A10&lt;(Summary!$K$3+365),ENA_12!K10,0))</f>
        <v>0</v>
      </c>
    </row>
    <row r="11" customFormat="false" ht="12.75" hidden="false" customHeight="false" outlineLevel="0" collapsed="false">
      <c r="A11" s="358" t="n">
        <v>36951</v>
      </c>
      <c r="B11" s="359"/>
      <c r="C11" s="360" t="s">
        <v>52</v>
      </c>
      <c r="D11" s="361" t="n">
        <v>3.63</v>
      </c>
      <c r="E11" s="359"/>
      <c r="F11" s="362" t="n">
        <f aca="false">-5000*31</f>
        <v>-155000</v>
      </c>
      <c r="G11" s="363"/>
      <c r="H11" s="363" t="n">
        <v>5.12</v>
      </c>
      <c r="I11" s="364" t="n">
        <f aca="false">SUM(D11-H11)*F11</f>
        <v>230950</v>
      </c>
      <c r="J11" s="365" t="n">
        <f aca="false">+I11</f>
        <v>230950</v>
      </c>
      <c r="K11" s="365"/>
      <c r="L11" s="366" t="n">
        <f aca="false">IF(K11=0,0,IF(A11&lt;(Summary!$K$3+365),ENA_12!K11,0))</f>
        <v>0</v>
      </c>
    </row>
    <row r="12" customFormat="false" ht="12.75" hidden="false" customHeight="false" outlineLevel="0" collapsed="false">
      <c r="A12" s="358" t="n">
        <v>36982</v>
      </c>
      <c r="B12" s="359"/>
      <c r="C12" s="360" t="s">
        <v>52</v>
      </c>
      <c r="D12" s="361" t="n">
        <v>3.63</v>
      </c>
      <c r="E12" s="359"/>
      <c r="F12" s="362" t="n">
        <f aca="false">-5000*30</f>
        <v>-150000</v>
      </c>
      <c r="G12" s="363"/>
      <c r="H12" s="363" t="n">
        <v>5.31</v>
      </c>
      <c r="I12" s="364" t="n">
        <f aca="false">SUM(D12-H12)*F12</f>
        <v>252000</v>
      </c>
      <c r="J12" s="365" t="n">
        <f aca="false">+I12</f>
        <v>252000</v>
      </c>
      <c r="K12" s="365"/>
      <c r="L12" s="366" t="n">
        <f aca="false">IF(K12=0,0,IF(A12&lt;(Summary!$K$3+365),ENA_12!K12,0))</f>
        <v>0</v>
      </c>
    </row>
    <row r="13" customFormat="false" ht="12.75" hidden="false" customHeight="false" outlineLevel="0" collapsed="false">
      <c r="A13" s="358" t="n">
        <v>37012</v>
      </c>
      <c r="B13" s="359"/>
      <c r="C13" s="360" t="s">
        <v>52</v>
      </c>
      <c r="D13" s="361" t="n">
        <v>3.63</v>
      </c>
      <c r="E13" s="359"/>
      <c r="F13" s="362" t="n">
        <f aca="false">-5000*31</f>
        <v>-155000</v>
      </c>
      <c r="G13" s="367"/>
      <c r="H13" s="363" t="n">
        <v>4.91</v>
      </c>
      <c r="I13" s="364" t="n">
        <f aca="false">SUM(D13-H13)*F13</f>
        <v>198400</v>
      </c>
      <c r="J13" s="365" t="n">
        <f aca="false">+I13</f>
        <v>198400</v>
      </c>
      <c r="K13" s="365"/>
      <c r="L13" s="366" t="n">
        <f aca="false">IF(K13=0,0,IF(A13&lt;(Summary!$K$3+365),ENA_12!K13,0))</f>
        <v>0</v>
      </c>
    </row>
    <row r="14" customFormat="false" ht="12.75" hidden="false" customHeight="false" outlineLevel="0" collapsed="false">
      <c r="A14" s="358" t="n">
        <v>37043</v>
      </c>
      <c r="B14" s="359"/>
      <c r="C14" s="360" t="s">
        <v>52</v>
      </c>
      <c r="D14" s="361" t="n">
        <v>3.63</v>
      </c>
      <c r="E14" s="359"/>
      <c r="F14" s="362" t="n">
        <f aca="false">-5000*30</f>
        <v>-150000</v>
      </c>
      <c r="G14" s="367"/>
      <c r="H14" s="363" t="n">
        <v>3.82</v>
      </c>
      <c r="I14" s="364" t="n">
        <f aca="false">SUM(D14-H14)*F14</f>
        <v>28500</v>
      </c>
      <c r="J14" s="368"/>
      <c r="K14" s="365" t="n">
        <f aca="false">+I14</f>
        <v>28500</v>
      </c>
      <c r="L14" s="366" t="n">
        <f aca="false">IF(K14=0,0,IF(A14&lt;(Summary!$K$3+365),ENA_12!K14,0))</f>
        <v>28500</v>
      </c>
    </row>
    <row r="15" customFormat="false" ht="12.75" hidden="false" customHeight="false" outlineLevel="0" collapsed="false">
      <c r="A15" s="358" t="n">
        <v>37073</v>
      </c>
      <c r="B15" s="359"/>
      <c r="C15" s="360" t="s">
        <v>52</v>
      </c>
      <c r="D15" s="361" t="n">
        <v>3.63</v>
      </c>
      <c r="E15" s="359"/>
      <c r="F15" s="362" t="n">
        <f aca="false">-5000*31</f>
        <v>-155000</v>
      </c>
      <c r="G15" s="367"/>
      <c r="H15" s="363" t="n">
        <f aca="false">+'[3]ELpaso SJ &amp; Prm'!$F49</f>
        <v>3.874</v>
      </c>
      <c r="I15" s="364" t="n">
        <f aca="false">SUM(D15-H15)*F15</f>
        <v>37820</v>
      </c>
      <c r="J15" s="368"/>
      <c r="K15" s="365" t="n">
        <f aca="false">+I15</f>
        <v>37820</v>
      </c>
      <c r="L15" s="366" t="n">
        <f aca="false">IF(K15=0,0,IF(A15&lt;(Summary!$K$3+365),ENA_12!K15,0))</f>
        <v>37820</v>
      </c>
    </row>
    <row r="16" customFormat="false" ht="12.75" hidden="false" customHeight="false" outlineLevel="0" collapsed="false">
      <c r="A16" s="358" t="n">
        <v>37104</v>
      </c>
      <c r="B16" s="359"/>
      <c r="C16" s="360" t="s">
        <v>52</v>
      </c>
      <c r="D16" s="361" t="n">
        <v>3.63</v>
      </c>
      <c r="E16" s="359"/>
      <c r="F16" s="362" t="n">
        <f aca="false">-5000*31</f>
        <v>-155000</v>
      </c>
      <c r="G16" s="367"/>
      <c r="H16" s="363" t="n">
        <f aca="false">+'[3]ELpaso SJ &amp; Prm'!$F50</f>
        <v>3.985</v>
      </c>
      <c r="I16" s="364" t="n">
        <f aca="false">SUM(D16-H16)*F16</f>
        <v>55025.0000000001</v>
      </c>
      <c r="J16" s="368"/>
      <c r="K16" s="365" t="n">
        <f aca="false">+I16</f>
        <v>55025.0000000001</v>
      </c>
      <c r="L16" s="366" t="n">
        <f aca="false">IF(K16=0,0,IF(A16&lt;(Summary!$K$3+365),ENA_12!K16,0))</f>
        <v>55025.0000000001</v>
      </c>
    </row>
    <row r="17" customFormat="false" ht="12.75" hidden="false" customHeight="false" outlineLevel="0" collapsed="false">
      <c r="A17" s="358" t="n">
        <v>37135</v>
      </c>
      <c r="B17" s="359"/>
      <c r="C17" s="360" t="s">
        <v>52</v>
      </c>
      <c r="D17" s="361" t="n">
        <v>3.63</v>
      </c>
      <c r="E17" s="359"/>
      <c r="F17" s="362" t="n">
        <f aca="false">-5000*30</f>
        <v>-150000</v>
      </c>
      <c r="G17" s="367"/>
      <c r="H17" s="363" t="n">
        <f aca="false">+'[3]ELpaso SJ &amp; Prm'!$F51</f>
        <v>4.012</v>
      </c>
      <c r="I17" s="364" t="n">
        <f aca="false">SUM(D17-H17)*F17</f>
        <v>57300.0000000001</v>
      </c>
      <c r="J17" s="368"/>
      <c r="K17" s="365" t="n">
        <f aca="false">+I17</f>
        <v>57300.0000000001</v>
      </c>
      <c r="L17" s="366" t="n">
        <f aca="false">IF(K17=0,0,IF(A17&lt;(Summary!$K$3+365),ENA_12!K17,0))</f>
        <v>57300.0000000001</v>
      </c>
    </row>
    <row r="18" customFormat="false" ht="12.75" hidden="false" customHeight="false" outlineLevel="0" collapsed="false">
      <c r="A18" s="358" t="n">
        <v>37165</v>
      </c>
      <c r="B18" s="359"/>
      <c r="C18" s="360" t="s">
        <v>52</v>
      </c>
      <c r="D18" s="361" t="n">
        <v>3.63</v>
      </c>
      <c r="E18" s="359"/>
      <c r="F18" s="362" t="n">
        <f aca="false">-5000*31</f>
        <v>-155000</v>
      </c>
      <c r="G18" s="367"/>
      <c r="H18" s="363" t="n">
        <f aca="false">+'[3]ELpaso SJ &amp; Prm'!$F52</f>
        <v>4.013</v>
      </c>
      <c r="I18" s="364" t="n">
        <f aca="false">SUM(D18-H18)*F18</f>
        <v>59365</v>
      </c>
      <c r="J18" s="368"/>
      <c r="K18" s="365" t="n">
        <f aca="false">+I18</f>
        <v>59365</v>
      </c>
      <c r="L18" s="366" t="n">
        <f aca="false">IF(K18=0,0,IF(A18&lt;(Summary!$K$3+365),ENA_12!K18,0))</f>
        <v>59365</v>
      </c>
    </row>
    <row r="19" customFormat="false" ht="12.75" hidden="false" customHeight="false" outlineLevel="0" collapsed="false">
      <c r="A19" s="358" t="n">
        <v>37196</v>
      </c>
      <c r="B19" s="359"/>
      <c r="C19" s="360" t="s">
        <v>52</v>
      </c>
      <c r="D19" s="361" t="n">
        <v>3.63</v>
      </c>
      <c r="E19" s="359"/>
      <c r="F19" s="362" t="n">
        <f aca="false">-5000*30</f>
        <v>-150000</v>
      </c>
      <c r="G19" s="367"/>
      <c r="H19" s="363" t="n">
        <f aca="false">+'[3]ELpaso SJ &amp; Prm'!$F53</f>
        <v>4.1975</v>
      </c>
      <c r="I19" s="364" t="n">
        <f aca="false">SUM(D19-H19)*F19</f>
        <v>85125</v>
      </c>
      <c r="J19" s="368"/>
      <c r="K19" s="365" t="n">
        <f aca="false">+I19</f>
        <v>85125</v>
      </c>
      <c r="L19" s="366" t="n">
        <f aca="false">IF(K19=0,0,IF(A19&lt;(Summary!$K$3+365),ENA_12!K19,0))</f>
        <v>85125</v>
      </c>
    </row>
    <row r="20" customFormat="false" ht="12.75" hidden="false" customHeight="false" outlineLevel="0" collapsed="false">
      <c r="A20" s="358" t="n">
        <v>37226</v>
      </c>
      <c r="B20" s="359"/>
      <c r="C20" s="360" t="s">
        <v>52</v>
      </c>
      <c r="D20" s="361" t="n">
        <v>3.63</v>
      </c>
      <c r="E20" s="359"/>
      <c r="F20" s="362" t="n">
        <f aca="false">-5000*31</f>
        <v>-155000</v>
      </c>
      <c r="G20" s="367"/>
      <c r="H20" s="363" t="n">
        <f aca="false">+'[3]ELpaso SJ &amp; Prm'!$F54</f>
        <v>4.3605</v>
      </c>
      <c r="I20" s="364" t="n">
        <f aca="false">SUM(D20-H20)*F20</f>
        <v>113227.5</v>
      </c>
      <c r="J20" s="368"/>
      <c r="K20" s="365" t="n">
        <f aca="false">+I20</f>
        <v>113227.5</v>
      </c>
      <c r="L20" s="366" t="n">
        <f aca="false">IF(K20=0,0,IF(A20&lt;(Summary!$K$3+365),ENA_12!K20,0))</f>
        <v>113227.5</v>
      </c>
    </row>
    <row r="21" customFormat="false" ht="12.75" hidden="false" customHeight="false" outlineLevel="0" collapsed="false">
      <c r="A21" s="358"/>
      <c r="B21" s="359"/>
      <c r="C21" s="360"/>
      <c r="D21" s="361"/>
      <c r="E21" s="359"/>
      <c r="F21" s="362"/>
      <c r="G21" s="367"/>
      <c r="H21" s="363"/>
      <c r="I21" s="364"/>
      <c r="J21" s="368"/>
      <c r="K21" s="365"/>
      <c r="L21" s="359"/>
    </row>
    <row r="22" customFormat="false" ht="12.75" hidden="false" customHeight="false" outlineLevel="0" collapsed="false">
      <c r="A22" s="359"/>
      <c r="B22" s="359"/>
      <c r="C22" s="359"/>
      <c r="D22" s="359"/>
      <c r="E22" s="359"/>
      <c r="F22" s="369" t="n">
        <f aca="false">SUM(F9:F20)</f>
        <v>-1825000</v>
      </c>
      <c r="G22" s="367"/>
      <c r="H22" s="370" t="n">
        <f aca="false">AVERAGE(H9:H20)</f>
        <v>5.00516666666667</v>
      </c>
      <c r="I22" s="371" t="n">
        <f aca="false">SUM(I9:I20)</f>
        <v>2498412.5</v>
      </c>
      <c r="J22" s="371" t="n">
        <f aca="false">SUM(J9:J20)</f>
        <v>2062050</v>
      </c>
      <c r="K22" s="371" t="n">
        <f aca="false">SUM(K9:K20)</f>
        <v>436362.5</v>
      </c>
      <c r="L22" s="371" t="n">
        <f aca="false">SUM(L9:L20)</f>
        <v>436362.5</v>
      </c>
    </row>
    <row r="23" customFormat="false" ht="12.75" hidden="false" customHeight="false" outlineLevel="0" collapsed="false">
      <c r="A23" s="359"/>
      <c r="B23" s="359"/>
      <c r="C23" s="359"/>
      <c r="D23" s="359"/>
      <c r="E23" s="359"/>
      <c r="F23" s="372"/>
      <c r="G23" s="367"/>
      <c r="H23" s="367"/>
      <c r="I23" s="373"/>
      <c r="J23" s="374"/>
      <c r="K23" s="374"/>
      <c r="L23" s="359"/>
    </row>
    <row r="24" customFormat="false" ht="12.75" hidden="false" customHeight="false" outlineLevel="0" collapsed="false">
      <c r="A24" s="359"/>
      <c r="B24" s="359"/>
      <c r="C24" s="359"/>
      <c r="D24" s="359"/>
      <c r="E24" s="359"/>
      <c r="F24" s="367"/>
      <c r="G24" s="375" t="s">
        <v>144</v>
      </c>
      <c r="H24" s="370"/>
      <c r="I24" s="367"/>
      <c r="J24" s="368"/>
      <c r="K24" s="368"/>
      <c r="L24" s="359"/>
    </row>
    <row r="25" customFormat="false" ht="12.75" hidden="false" customHeight="false" outlineLevel="0" collapsed="false">
      <c r="A25" s="359"/>
      <c r="B25" s="359"/>
      <c r="C25" s="359"/>
      <c r="D25" s="361"/>
      <c r="E25" s="359"/>
      <c r="F25" s="367"/>
      <c r="G25" s="376"/>
      <c r="H25" s="370"/>
      <c r="I25" s="367"/>
      <c r="J25" s="368"/>
      <c r="K25" s="368"/>
      <c r="L25" s="359"/>
    </row>
    <row r="26" customFormat="false" ht="12.75" hidden="false" customHeight="false" outlineLevel="0" collapsed="false">
      <c r="A26" s="358" t="n">
        <v>36892</v>
      </c>
      <c r="B26" s="359"/>
      <c r="C26" s="360" t="s">
        <v>147</v>
      </c>
      <c r="D26" s="361" t="n">
        <v>3.63</v>
      </c>
      <c r="E26" s="359"/>
      <c r="F26" s="362" t="n">
        <f aca="false">5000*31</f>
        <v>155000</v>
      </c>
      <c r="G26" s="363"/>
      <c r="H26" s="363" t="n">
        <v>9.81</v>
      </c>
      <c r="I26" s="364" t="n">
        <f aca="false">(+D26-H26)*F26</f>
        <v>-957900</v>
      </c>
      <c r="J26" s="365" t="n">
        <f aca="false">+I26</f>
        <v>-957900</v>
      </c>
      <c r="K26" s="365"/>
      <c r="L26" s="366" t="n">
        <f aca="false">IF(K26=0,0,IF(A26&lt;(Summary!$K$3+365),ENA_12!K26,0))</f>
        <v>0</v>
      </c>
    </row>
    <row r="27" customFormat="false" ht="12.75" hidden="false" customHeight="false" outlineLevel="0" collapsed="false">
      <c r="A27" s="358" t="n">
        <v>36923</v>
      </c>
      <c r="B27" s="359"/>
      <c r="C27" s="360" t="s">
        <v>147</v>
      </c>
      <c r="D27" s="361" t="n">
        <v>3.63</v>
      </c>
      <c r="E27" s="359"/>
      <c r="F27" s="362" t="n">
        <f aca="false">5000*28</f>
        <v>140000</v>
      </c>
      <c r="G27" s="363"/>
      <c r="H27" s="363" t="n">
        <v>6.65</v>
      </c>
      <c r="I27" s="364" t="n">
        <f aca="false">(+D27-H27)*F27</f>
        <v>-422800</v>
      </c>
      <c r="J27" s="365" t="n">
        <f aca="false">+I27</f>
        <v>-422800</v>
      </c>
      <c r="K27" s="365"/>
      <c r="L27" s="366" t="n">
        <f aca="false">IF(K27=0,0,IF(A27&lt;(Summary!$K$3+365),ENA_12!K27,0))</f>
        <v>0</v>
      </c>
    </row>
    <row r="28" customFormat="false" ht="12.75" hidden="false" customHeight="false" outlineLevel="0" collapsed="false">
      <c r="A28" s="358" t="n">
        <v>36951</v>
      </c>
      <c r="B28" s="359"/>
      <c r="C28" s="360" t="s">
        <v>147</v>
      </c>
      <c r="D28" s="361" t="n">
        <v>3.63</v>
      </c>
      <c r="E28" s="359"/>
      <c r="F28" s="362" t="n">
        <f aca="false">5000*31</f>
        <v>155000</v>
      </c>
      <c r="G28" s="363"/>
      <c r="H28" s="363" t="n">
        <v>5.12</v>
      </c>
      <c r="I28" s="364" t="n">
        <f aca="false">(+D28-H28)*F28</f>
        <v>-230950</v>
      </c>
      <c r="J28" s="365" t="n">
        <f aca="false">+I28</f>
        <v>-230950</v>
      </c>
      <c r="K28" s="365"/>
      <c r="L28" s="366" t="n">
        <f aca="false">IF(K28=0,0,IF(A28&lt;(Summary!$K$3+365),ENA_12!K28,0))</f>
        <v>0</v>
      </c>
    </row>
    <row r="29" customFormat="false" ht="12.75" hidden="false" customHeight="false" outlineLevel="0" collapsed="false">
      <c r="A29" s="358" t="n">
        <v>36982</v>
      </c>
      <c r="B29" s="359"/>
      <c r="C29" s="360" t="s">
        <v>147</v>
      </c>
      <c r="D29" s="361" t="n">
        <v>3.63</v>
      </c>
      <c r="E29" s="359"/>
      <c r="F29" s="362" t="n">
        <f aca="false">5000*30</f>
        <v>150000</v>
      </c>
      <c r="G29" s="363"/>
      <c r="H29" s="363" t="n">
        <v>5.31</v>
      </c>
      <c r="I29" s="364" t="n">
        <f aca="false">(+D29-H29)*F29</f>
        <v>-252000</v>
      </c>
      <c r="J29" s="365" t="n">
        <f aca="false">+I29</f>
        <v>-252000</v>
      </c>
      <c r="K29" s="365"/>
      <c r="L29" s="366" t="n">
        <f aca="false">IF(K29=0,0,IF(A29&lt;(Summary!$K$3+365),ENA_12!K29,0))</f>
        <v>0</v>
      </c>
    </row>
    <row r="30" customFormat="false" ht="12.75" hidden="false" customHeight="false" outlineLevel="0" collapsed="false">
      <c r="A30" s="358" t="n">
        <v>37012</v>
      </c>
      <c r="B30" s="359"/>
      <c r="C30" s="360" t="s">
        <v>147</v>
      </c>
      <c r="D30" s="361" t="n">
        <v>3.63</v>
      </c>
      <c r="E30" s="359"/>
      <c r="F30" s="362" t="n">
        <f aca="false">5000*31</f>
        <v>155000</v>
      </c>
      <c r="G30" s="367"/>
      <c r="H30" s="363" t="n">
        <v>4.91</v>
      </c>
      <c r="I30" s="364" t="n">
        <f aca="false">(+D30-H30)*F30</f>
        <v>-198400</v>
      </c>
      <c r="J30" s="365" t="n">
        <f aca="false">+I30</f>
        <v>-198400</v>
      </c>
      <c r="K30" s="365"/>
      <c r="L30" s="366" t="n">
        <f aca="false">IF(K30=0,0,IF(A30&lt;(Summary!$K$3+365),ENA_12!K30,0))</f>
        <v>0</v>
      </c>
    </row>
    <row r="31" customFormat="false" ht="12.75" hidden="false" customHeight="false" outlineLevel="0" collapsed="false">
      <c r="A31" s="358" t="n">
        <v>37043</v>
      </c>
      <c r="B31" s="359"/>
      <c r="C31" s="360" t="s">
        <v>147</v>
      </c>
      <c r="D31" s="361" t="n">
        <v>3.63</v>
      </c>
      <c r="E31" s="359"/>
      <c r="F31" s="362" t="n">
        <f aca="false">5000*30</f>
        <v>150000</v>
      </c>
      <c r="G31" s="367"/>
      <c r="H31" s="363" t="n">
        <v>3.82</v>
      </c>
      <c r="I31" s="364" t="n">
        <f aca="false">(+D31-H31)*F31</f>
        <v>-28500</v>
      </c>
      <c r="J31" s="368"/>
      <c r="K31" s="365" t="n">
        <f aca="false">+I31</f>
        <v>-28500</v>
      </c>
      <c r="L31" s="366" t="n">
        <f aca="false">IF(K31=0,0,IF(A31&lt;(Summary!$K$3+365),ENA_12!K31,0))</f>
        <v>-28500</v>
      </c>
    </row>
    <row r="32" customFormat="false" ht="12.75" hidden="false" customHeight="false" outlineLevel="0" collapsed="false">
      <c r="A32" s="358" t="n">
        <v>37073</v>
      </c>
      <c r="B32" s="359"/>
      <c r="C32" s="360" t="s">
        <v>147</v>
      </c>
      <c r="D32" s="361" t="n">
        <v>3.63</v>
      </c>
      <c r="E32" s="359"/>
      <c r="F32" s="362" t="n">
        <f aca="false">5000*31</f>
        <v>155000</v>
      </c>
      <c r="G32" s="367"/>
      <c r="H32" s="363" t="n">
        <f aca="false">+'[3]ELpaso SJ &amp; Prm'!$G49</f>
        <v>3.8815</v>
      </c>
      <c r="I32" s="364" t="n">
        <f aca="false">(+D32-H32)*F32</f>
        <v>-38982.5</v>
      </c>
      <c r="J32" s="368"/>
      <c r="K32" s="365" t="n">
        <f aca="false">+I32</f>
        <v>-38982.5</v>
      </c>
      <c r="L32" s="366" t="n">
        <f aca="false">IF(K32=0,0,IF(A32&lt;(Summary!$K$3+365),ENA_12!K32,0))</f>
        <v>-38982.5</v>
      </c>
    </row>
    <row r="33" customFormat="false" ht="12.75" hidden="false" customHeight="false" outlineLevel="0" collapsed="false">
      <c r="A33" s="358" t="n">
        <v>37104</v>
      </c>
      <c r="B33" s="359"/>
      <c r="C33" s="360" t="s">
        <v>147</v>
      </c>
      <c r="D33" s="361" t="n">
        <v>3.63</v>
      </c>
      <c r="E33" s="359"/>
      <c r="F33" s="362" t="n">
        <f aca="false">5000*31</f>
        <v>155000</v>
      </c>
      <c r="G33" s="367"/>
      <c r="H33" s="363" t="n">
        <f aca="false">+'[3]ELpaso SJ &amp; Prm'!$G50</f>
        <v>3.9925</v>
      </c>
      <c r="I33" s="364" t="n">
        <f aca="false">(+D33-H33)*F33</f>
        <v>-56187.5</v>
      </c>
      <c r="J33" s="368"/>
      <c r="K33" s="365" t="n">
        <f aca="false">+I33</f>
        <v>-56187.5</v>
      </c>
      <c r="L33" s="366" t="n">
        <f aca="false">IF(K33=0,0,IF(A33&lt;(Summary!$K$3+365),ENA_12!K33,0))</f>
        <v>-56187.5</v>
      </c>
    </row>
    <row r="34" customFormat="false" ht="12.75" hidden="false" customHeight="false" outlineLevel="0" collapsed="false">
      <c r="A34" s="358" t="n">
        <v>37135</v>
      </c>
      <c r="B34" s="359"/>
      <c r="C34" s="360" t="s">
        <v>147</v>
      </c>
      <c r="D34" s="361" t="n">
        <v>3.63</v>
      </c>
      <c r="E34" s="359"/>
      <c r="F34" s="362" t="n">
        <f aca="false">5000*30</f>
        <v>150000</v>
      </c>
      <c r="G34" s="367"/>
      <c r="H34" s="363" t="n">
        <f aca="false">+'[3]ELpaso SJ &amp; Prm'!$G51</f>
        <v>4.0195</v>
      </c>
      <c r="I34" s="364" t="n">
        <f aca="false">(+D34-H34)*F34</f>
        <v>-58425.0000000001</v>
      </c>
      <c r="J34" s="368"/>
      <c r="K34" s="365" t="n">
        <f aca="false">+I34</f>
        <v>-58425.0000000001</v>
      </c>
      <c r="L34" s="366" t="n">
        <f aca="false">IF(K34=0,0,IF(A34&lt;(Summary!$K$3+365),ENA_12!K34,0))</f>
        <v>-58425.0000000001</v>
      </c>
    </row>
    <row r="35" customFormat="false" ht="12.75" hidden="false" customHeight="false" outlineLevel="0" collapsed="false">
      <c r="A35" s="358" t="n">
        <v>37165</v>
      </c>
      <c r="B35" s="359"/>
      <c r="C35" s="360" t="s">
        <v>147</v>
      </c>
      <c r="D35" s="361" t="n">
        <v>3.63</v>
      </c>
      <c r="E35" s="359"/>
      <c r="F35" s="362" t="n">
        <f aca="false">5000*31</f>
        <v>155000</v>
      </c>
      <c r="G35" s="367"/>
      <c r="H35" s="363" t="n">
        <f aca="false">+'[3]ELpaso SJ &amp; Prm'!$G52</f>
        <v>4.0205</v>
      </c>
      <c r="I35" s="364" t="n">
        <f aca="false">(+D35-H35)*F35</f>
        <v>-60527.5</v>
      </c>
      <c r="J35" s="368"/>
      <c r="K35" s="365" t="n">
        <f aca="false">+I35</f>
        <v>-60527.5</v>
      </c>
      <c r="L35" s="366" t="n">
        <f aca="false">IF(K35=0,0,IF(A35&lt;(Summary!$K$3+365),ENA_12!K35,0))</f>
        <v>-60527.5</v>
      </c>
    </row>
    <row r="36" customFormat="false" ht="12.75" hidden="false" customHeight="false" outlineLevel="0" collapsed="false">
      <c r="A36" s="358" t="n">
        <v>37196</v>
      </c>
      <c r="B36" s="359"/>
      <c r="C36" s="360" t="s">
        <v>147</v>
      </c>
      <c r="D36" s="361" t="n">
        <v>3.63</v>
      </c>
      <c r="E36" s="359"/>
      <c r="F36" s="362" t="n">
        <f aca="false">5000*30</f>
        <v>150000</v>
      </c>
      <c r="G36" s="367"/>
      <c r="H36" s="363" t="n">
        <f aca="false">+'[3]ELpaso SJ &amp; Prm'!$G53</f>
        <v>4.2125</v>
      </c>
      <c r="I36" s="364" t="n">
        <f aca="false">(+D36-H36)*F36</f>
        <v>-87374.9999999999</v>
      </c>
      <c r="J36" s="368"/>
      <c r="K36" s="365" t="n">
        <f aca="false">+I36</f>
        <v>-87374.9999999999</v>
      </c>
      <c r="L36" s="366" t="n">
        <f aca="false">IF(K36=0,0,IF(A36&lt;(Summary!$K$3+365),ENA_12!K36,0))</f>
        <v>-87374.9999999999</v>
      </c>
    </row>
    <row r="37" customFormat="false" ht="12.75" hidden="false" customHeight="false" outlineLevel="0" collapsed="false">
      <c r="A37" s="358" t="n">
        <v>37226</v>
      </c>
      <c r="B37" s="359"/>
      <c r="C37" s="360" t="s">
        <v>147</v>
      </c>
      <c r="D37" s="361" t="n">
        <v>3.63</v>
      </c>
      <c r="E37" s="359"/>
      <c r="F37" s="362" t="n">
        <f aca="false">5000*31</f>
        <v>155000</v>
      </c>
      <c r="G37" s="367"/>
      <c r="H37" s="363" t="n">
        <f aca="false">+'[3]ELpaso SJ &amp; Prm'!$G54</f>
        <v>4.3755</v>
      </c>
      <c r="I37" s="364" t="n">
        <f aca="false">(+D37-H37)*F37</f>
        <v>-115552.5</v>
      </c>
      <c r="J37" s="368"/>
      <c r="K37" s="365" t="n">
        <f aca="false">+I37</f>
        <v>-115552.5</v>
      </c>
      <c r="L37" s="366" t="n">
        <f aca="false">IF(K37=0,0,IF(A37&lt;(Summary!$K$3+365),ENA_12!K37,0))</f>
        <v>-115552.5</v>
      </c>
    </row>
    <row r="38" customFormat="false" ht="12.75" hidden="false" customHeight="false" outlineLevel="0" collapsed="false">
      <c r="A38" s="358"/>
      <c r="B38" s="359"/>
      <c r="C38" s="360"/>
      <c r="D38" s="361"/>
      <c r="E38" s="359"/>
      <c r="F38" s="362"/>
      <c r="G38" s="367"/>
      <c r="H38" s="363"/>
      <c r="I38" s="364"/>
      <c r="J38" s="368"/>
      <c r="K38" s="365"/>
      <c r="L38" s="359"/>
    </row>
    <row r="39" customFormat="false" ht="12.75" hidden="false" customHeight="false" outlineLevel="0" collapsed="false">
      <c r="A39" s="359"/>
      <c r="B39" s="359"/>
      <c r="C39" s="359"/>
      <c r="D39" s="359"/>
      <c r="E39" s="359"/>
      <c r="F39" s="369" t="n">
        <f aca="false">SUM(F26:F38)</f>
        <v>1825000</v>
      </c>
      <c r="G39" s="367"/>
      <c r="H39" s="370" t="n">
        <f aca="false">AVERAGE(H26:H37)</f>
        <v>5.01016666666667</v>
      </c>
      <c r="I39" s="377" t="n">
        <f aca="false">SUM(I26:I38)</f>
        <v>-2507600</v>
      </c>
      <c r="J39" s="377" t="n">
        <f aca="false">SUM(J26:J38)</f>
        <v>-2062050</v>
      </c>
      <c r="K39" s="377" t="n">
        <f aca="false">SUM(K26:K38)</f>
        <v>-445550</v>
      </c>
      <c r="L39" s="377" t="n">
        <f aca="false">SUM(L26:L38)</f>
        <v>-445550</v>
      </c>
    </row>
    <row r="40" customFormat="false" ht="12.75" hidden="false" customHeight="false" outlineLevel="0" collapsed="false">
      <c r="A40" s="359"/>
      <c r="B40" s="359"/>
      <c r="C40" s="359"/>
      <c r="D40" s="359"/>
      <c r="E40" s="359"/>
      <c r="F40" s="367"/>
      <c r="G40" s="367"/>
      <c r="H40" s="367"/>
      <c r="I40" s="367"/>
      <c r="J40" s="368"/>
      <c r="K40" s="368"/>
      <c r="L40" s="368"/>
    </row>
    <row r="41" customFormat="false" ht="13.5" hidden="false" customHeight="false" outlineLevel="0" collapsed="false">
      <c r="A41" s="359"/>
      <c r="B41" s="359"/>
      <c r="C41" s="359"/>
      <c r="D41" s="359"/>
      <c r="E41" s="359"/>
      <c r="F41" s="378" t="n">
        <f aca="false">+F39+F22</f>
        <v>0</v>
      </c>
      <c r="G41" s="367"/>
      <c r="H41" s="367"/>
      <c r="I41" s="379" t="n">
        <f aca="false">+I39+I22</f>
        <v>-9187.5</v>
      </c>
      <c r="J41" s="379" t="n">
        <f aca="false">+J39+J22</f>
        <v>0</v>
      </c>
      <c r="K41" s="379" t="n">
        <f aca="false">+K39+K22</f>
        <v>-9187.49999999988</v>
      </c>
      <c r="L41" s="379" t="n">
        <f aca="false">+L39+L22</f>
        <v>-9187.49999999988</v>
      </c>
    </row>
    <row r="42" customFormat="false" ht="13.5" hidden="false" customHeight="false" outlineLevel="0" collapsed="false">
      <c r="A42" s="380"/>
      <c r="B42" s="380"/>
      <c r="C42" s="380"/>
      <c r="D42" s="380"/>
      <c r="E42" s="380"/>
      <c r="F42" s="381"/>
      <c r="G42" s="381"/>
      <c r="H42" s="381"/>
      <c r="I42" s="381"/>
      <c r="J42" s="382"/>
      <c r="K42" s="382"/>
      <c r="L42" s="382"/>
    </row>
    <row r="44" customFormat="false" ht="12.75" hidden="false" customHeight="false" outlineLevel="0" collapsed="false">
      <c r="A44" s="8" t="s">
        <v>148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0.71"/>
    <col collapsed="false" customWidth="true" hidden="false" outlineLevel="0" max="3" min="3" style="0" width="12.85"/>
    <col collapsed="false" customWidth="false" hidden="true" outlineLevel="0" max="5" min="5" style="0" width="9.06"/>
    <col collapsed="false" customWidth="true" hidden="false" outlineLevel="0" max="6" min="6" style="0" width="13.14"/>
    <col collapsed="false" customWidth="true" hidden="false" outlineLevel="0" max="7" min="7" style="0" width="18.41"/>
    <col collapsed="false" customWidth="true" hidden="false" outlineLevel="0" max="8" min="8" style="0" width="9.99"/>
    <col collapsed="false" customWidth="true" hidden="false" outlineLevel="0" max="9" min="9" style="0" width="17.7"/>
    <col collapsed="false" customWidth="true" hidden="false" outlineLevel="0" max="10" min="10" style="0" width="18.41"/>
    <col collapsed="false" customWidth="true" hidden="false" outlineLevel="0" max="11" min="11" style="0" width="16.99"/>
    <col collapsed="false" customWidth="true" hidden="false" outlineLevel="0" max="12" min="12" style="0" width="17.99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153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342"/>
      <c r="B4" s="342"/>
      <c r="C4" s="342"/>
      <c r="D4" s="342"/>
      <c r="E4" s="342"/>
      <c r="F4" s="342"/>
      <c r="G4" s="342"/>
      <c r="H4" s="342"/>
      <c r="I4" s="342"/>
      <c r="J4" s="341"/>
      <c r="K4" s="341"/>
      <c r="L4" s="341"/>
    </row>
    <row r="5" customFormat="false" ht="12.75" hidden="false" customHeight="false" outlineLevel="0" collapsed="false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150</v>
      </c>
      <c r="E6" s="385"/>
      <c r="F6" s="385" t="s">
        <v>139</v>
      </c>
      <c r="G6" s="385" t="s">
        <v>88</v>
      </c>
      <c r="H6" s="385" t="s">
        <v>31</v>
      </c>
      <c r="I6" s="386" t="s">
        <v>140</v>
      </c>
      <c r="J6" s="386"/>
      <c r="K6" s="386"/>
      <c r="L6" s="346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350"/>
    </row>
    <row r="8" customFormat="false" ht="12.75" hidden="false" customHeight="false" outlineLevel="0" collapsed="false">
      <c r="A8" s="390"/>
      <c r="B8" s="391"/>
      <c r="C8" s="391"/>
      <c r="D8" s="392" t="s">
        <v>16</v>
      </c>
      <c r="E8" s="391"/>
      <c r="F8" s="391"/>
      <c r="G8" s="393" t="s">
        <v>144</v>
      </c>
      <c r="H8" s="392" t="s">
        <v>16</v>
      </c>
      <c r="I8" s="392" t="s">
        <v>145</v>
      </c>
      <c r="J8" s="392" t="s">
        <v>145</v>
      </c>
      <c r="K8" s="394" t="s">
        <v>145</v>
      </c>
      <c r="L8" s="357" t="s">
        <v>146</v>
      </c>
    </row>
    <row r="9" customFormat="false" ht="12.75" hidden="false" customHeight="false" outlineLevel="0" collapsed="false">
      <c r="A9" s="358" t="n">
        <v>36892</v>
      </c>
      <c r="B9" s="359"/>
      <c r="C9" s="360" t="s">
        <v>52</v>
      </c>
      <c r="D9" s="361" t="n">
        <v>3.585</v>
      </c>
      <c r="E9" s="359"/>
      <c r="F9" s="395" t="n">
        <f aca="false">-5000*31</f>
        <v>-155000</v>
      </c>
      <c r="G9" s="361"/>
      <c r="H9" s="361" t="n">
        <v>9.81</v>
      </c>
      <c r="I9" s="396" t="n">
        <f aca="false">SUM(D9-H9)*F9</f>
        <v>964875</v>
      </c>
      <c r="J9" s="397" t="n">
        <f aca="false">+I9</f>
        <v>964875</v>
      </c>
      <c r="K9" s="397"/>
      <c r="L9" s="366" t="n">
        <f aca="false">IF(K9=0,0,IF(A9&lt;(Summary!$K$3+365),ENA_13!K9,0))</f>
        <v>0</v>
      </c>
    </row>
    <row r="10" customFormat="false" ht="12.75" hidden="false" customHeight="false" outlineLevel="0" collapsed="false">
      <c r="A10" s="358" t="n">
        <v>36923</v>
      </c>
      <c r="B10" s="359"/>
      <c r="C10" s="360" t="s">
        <v>52</v>
      </c>
      <c r="D10" s="361" t="n">
        <v>3.585</v>
      </c>
      <c r="E10" s="359"/>
      <c r="F10" s="362" t="n">
        <f aca="false">-5000*28</f>
        <v>-140000</v>
      </c>
      <c r="G10" s="363"/>
      <c r="H10" s="363" t="n">
        <v>6.65</v>
      </c>
      <c r="I10" s="364" t="n">
        <f aca="false">SUM(D10-H10)*F10</f>
        <v>429100</v>
      </c>
      <c r="J10" s="365" t="n">
        <f aca="false">+I10</f>
        <v>429100</v>
      </c>
      <c r="K10" s="365"/>
      <c r="L10" s="366" t="n">
        <f aca="false">IF(K10=0,0,IF(A10&lt;(Summary!$K$3+365),ENA_13!K10,0))</f>
        <v>0</v>
      </c>
    </row>
    <row r="11" customFormat="false" ht="12.75" hidden="false" customHeight="false" outlineLevel="0" collapsed="false">
      <c r="A11" s="358" t="n">
        <v>36951</v>
      </c>
      <c r="B11" s="359"/>
      <c r="C11" s="360" t="s">
        <v>52</v>
      </c>
      <c r="D11" s="361" t="n">
        <v>3.585</v>
      </c>
      <c r="E11" s="359"/>
      <c r="F11" s="362" t="n">
        <f aca="false">-5000*31</f>
        <v>-155000</v>
      </c>
      <c r="G11" s="363"/>
      <c r="H11" s="363" t="n">
        <v>5.12</v>
      </c>
      <c r="I11" s="364" t="n">
        <f aca="false">SUM(D11-H11)*F11</f>
        <v>237925</v>
      </c>
      <c r="J11" s="365" t="n">
        <f aca="false">+I11</f>
        <v>237925</v>
      </c>
      <c r="K11" s="365"/>
      <c r="L11" s="366" t="n">
        <f aca="false">IF(K11=0,0,IF(A11&lt;(Summary!$K$3+365),ENA_13!K11,0))</f>
        <v>0</v>
      </c>
    </row>
    <row r="12" customFormat="false" ht="12.75" hidden="false" customHeight="false" outlineLevel="0" collapsed="false">
      <c r="A12" s="358" t="n">
        <v>36982</v>
      </c>
      <c r="B12" s="359"/>
      <c r="C12" s="360" t="s">
        <v>52</v>
      </c>
      <c r="D12" s="361" t="n">
        <v>3.585</v>
      </c>
      <c r="E12" s="359"/>
      <c r="F12" s="362" t="n">
        <f aca="false">-5000*30</f>
        <v>-150000</v>
      </c>
      <c r="G12" s="363"/>
      <c r="H12" s="363" t="n">
        <v>5.31</v>
      </c>
      <c r="I12" s="364" t="n">
        <f aca="false">SUM(D12-H12)*F12</f>
        <v>258750</v>
      </c>
      <c r="J12" s="365" t="n">
        <f aca="false">+I12</f>
        <v>258750</v>
      </c>
      <c r="K12" s="365"/>
      <c r="L12" s="366" t="n">
        <f aca="false">IF(K12=0,0,IF(A12&lt;(Summary!$K$3+365),ENA_13!K12,0))</f>
        <v>0</v>
      </c>
    </row>
    <row r="13" customFormat="false" ht="12.75" hidden="false" customHeight="false" outlineLevel="0" collapsed="false">
      <c r="A13" s="358" t="n">
        <v>37012</v>
      </c>
      <c r="B13" s="359"/>
      <c r="C13" s="360" t="s">
        <v>52</v>
      </c>
      <c r="D13" s="361" t="n">
        <v>3.585</v>
      </c>
      <c r="E13" s="359"/>
      <c r="F13" s="362" t="n">
        <f aca="false">-5000*31</f>
        <v>-155000</v>
      </c>
      <c r="G13" s="367"/>
      <c r="H13" s="363" t="n">
        <v>4.91</v>
      </c>
      <c r="I13" s="364" t="n">
        <f aca="false">SUM(D13-H13)*F13</f>
        <v>205375</v>
      </c>
      <c r="J13" s="365" t="n">
        <f aca="false">+I13</f>
        <v>205375</v>
      </c>
      <c r="K13" s="365"/>
      <c r="L13" s="366" t="n">
        <f aca="false">IF(K13=0,0,IF(A13&lt;(Summary!$K$3+365),ENA_13!K13,0))</f>
        <v>0</v>
      </c>
    </row>
    <row r="14" customFormat="false" ht="12.75" hidden="false" customHeight="false" outlineLevel="0" collapsed="false">
      <c r="A14" s="358" t="n">
        <v>37043</v>
      </c>
      <c r="B14" s="359"/>
      <c r="C14" s="360" t="s">
        <v>52</v>
      </c>
      <c r="D14" s="361" t="n">
        <v>3.585</v>
      </c>
      <c r="E14" s="359"/>
      <c r="F14" s="362" t="n">
        <f aca="false">-5000*30</f>
        <v>-150000</v>
      </c>
      <c r="G14" s="367"/>
      <c r="H14" s="363" t="n">
        <v>3.82</v>
      </c>
      <c r="I14" s="364" t="n">
        <f aca="false">SUM(D14-H14)*F14</f>
        <v>35250</v>
      </c>
      <c r="J14" s="368"/>
      <c r="K14" s="365" t="n">
        <f aca="false">+I14</f>
        <v>35250</v>
      </c>
      <c r="L14" s="366" t="n">
        <f aca="false">IF(K14=0,0,IF(A14&lt;(Summary!$K$3+365),ENA_13!K14,0))</f>
        <v>35250</v>
      </c>
    </row>
    <row r="15" customFormat="false" ht="12.75" hidden="false" customHeight="false" outlineLevel="0" collapsed="false">
      <c r="A15" s="358" t="n">
        <v>37073</v>
      </c>
      <c r="B15" s="359"/>
      <c r="C15" s="360" t="s">
        <v>52</v>
      </c>
      <c r="D15" s="361" t="n">
        <v>3.585</v>
      </c>
      <c r="E15" s="359"/>
      <c r="F15" s="362" t="n">
        <f aca="false">-5000*31</f>
        <v>-155000</v>
      </c>
      <c r="G15" s="367"/>
      <c r="H15" s="363" t="n">
        <f aca="false">+'[3]ELpaso SJ &amp; Prm'!$F49</f>
        <v>3.874</v>
      </c>
      <c r="I15" s="364" t="n">
        <f aca="false">SUM(D15-H15)*F15</f>
        <v>44795</v>
      </c>
      <c r="J15" s="368"/>
      <c r="K15" s="365" t="n">
        <f aca="false">+I15</f>
        <v>44795</v>
      </c>
      <c r="L15" s="366" t="n">
        <f aca="false">IF(K15=0,0,IF(A15&lt;(Summary!$K$3+365),ENA_13!K15,0))</f>
        <v>44795</v>
      </c>
    </row>
    <row r="16" customFormat="false" ht="12.75" hidden="false" customHeight="false" outlineLevel="0" collapsed="false">
      <c r="A16" s="358" t="n">
        <v>37104</v>
      </c>
      <c r="B16" s="359"/>
      <c r="C16" s="360" t="s">
        <v>52</v>
      </c>
      <c r="D16" s="361" t="n">
        <v>3.585</v>
      </c>
      <c r="E16" s="359"/>
      <c r="F16" s="362" t="n">
        <f aca="false">-5000*31</f>
        <v>-155000</v>
      </c>
      <c r="G16" s="367"/>
      <c r="H16" s="363" t="n">
        <f aca="false">+'[3]ELpaso SJ &amp; Prm'!$F50</f>
        <v>3.985</v>
      </c>
      <c r="I16" s="364" t="n">
        <f aca="false">SUM(D16-H16)*F16</f>
        <v>62000.0000000001</v>
      </c>
      <c r="J16" s="368"/>
      <c r="K16" s="365" t="n">
        <f aca="false">+I16</f>
        <v>62000.0000000001</v>
      </c>
      <c r="L16" s="366" t="n">
        <f aca="false">IF(K16=0,0,IF(A16&lt;(Summary!$K$3+365),ENA_13!K16,0))</f>
        <v>62000.0000000001</v>
      </c>
    </row>
    <row r="17" customFormat="false" ht="12.75" hidden="false" customHeight="false" outlineLevel="0" collapsed="false">
      <c r="A17" s="358" t="n">
        <v>37135</v>
      </c>
      <c r="B17" s="359"/>
      <c r="C17" s="360" t="s">
        <v>52</v>
      </c>
      <c r="D17" s="361" t="n">
        <v>3.585</v>
      </c>
      <c r="E17" s="359"/>
      <c r="F17" s="362" t="n">
        <f aca="false">-5000*30</f>
        <v>-150000</v>
      </c>
      <c r="G17" s="367"/>
      <c r="H17" s="363" t="n">
        <f aca="false">+'[3]ELpaso SJ &amp; Prm'!$F51</f>
        <v>4.012</v>
      </c>
      <c r="I17" s="364" t="n">
        <f aca="false">SUM(D17-H17)*F17</f>
        <v>64050.0000000001</v>
      </c>
      <c r="J17" s="368"/>
      <c r="K17" s="365" t="n">
        <f aca="false">+I17</f>
        <v>64050.0000000001</v>
      </c>
      <c r="L17" s="366" t="n">
        <f aca="false">IF(K17=0,0,IF(A17&lt;(Summary!$K$3+365),ENA_13!K17,0))</f>
        <v>64050.0000000001</v>
      </c>
    </row>
    <row r="18" customFormat="false" ht="12.75" hidden="false" customHeight="false" outlineLevel="0" collapsed="false">
      <c r="A18" s="358" t="n">
        <v>37165</v>
      </c>
      <c r="B18" s="359"/>
      <c r="C18" s="360" t="s">
        <v>52</v>
      </c>
      <c r="D18" s="361" t="n">
        <v>3.585</v>
      </c>
      <c r="E18" s="359"/>
      <c r="F18" s="362" t="n">
        <f aca="false">-5000*31</f>
        <v>-155000</v>
      </c>
      <c r="G18" s="367"/>
      <c r="H18" s="363" t="n">
        <f aca="false">+'[3]ELpaso SJ &amp; Prm'!$F52</f>
        <v>4.013</v>
      </c>
      <c r="I18" s="364" t="n">
        <f aca="false">SUM(D18-H18)*F18</f>
        <v>66340</v>
      </c>
      <c r="J18" s="368"/>
      <c r="K18" s="365" t="n">
        <f aca="false">+I18</f>
        <v>66340</v>
      </c>
      <c r="L18" s="366" t="n">
        <f aca="false">IF(K18=0,0,IF(A18&lt;(Summary!$K$3+365),ENA_13!K18,0))</f>
        <v>66340</v>
      </c>
    </row>
    <row r="19" customFormat="false" ht="12.75" hidden="false" customHeight="false" outlineLevel="0" collapsed="false">
      <c r="A19" s="358" t="n">
        <v>37196</v>
      </c>
      <c r="B19" s="359"/>
      <c r="C19" s="360" t="s">
        <v>52</v>
      </c>
      <c r="D19" s="361" t="n">
        <v>3.585</v>
      </c>
      <c r="E19" s="359"/>
      <c r="F19" s="362" t="n">
        <f aca="false">-5000*30</f>
        <v>-150000</v>
      </c>
      <c r="G19" s="367"/>
      <c r="H19" s="363" t="n">
        <f aca="false">+'[3]ELpaso SJ &amp; Prm'!$F53</f>
        <v>4.1975</v>
      </c>
      <c r="I19" s="364" t="n">
        <f aca="false">SUM(D19-H19)*F19</f>
        <v>91875</v>
      </c>
      <c r="J19" s="368"/>
      <c r="K19" s="365" t="n">
        <f aca="false">+I19</f>
        <v>91875</v>
      </c>
      <c r="L19" s="366" t="n">
        <f aca="false">IF(K19=0,0,IF(A19&lt;(Summary!$K$3+365),ENA_13!K19,0))</f>
        <v>91875</v>
      </c>
    </row>
    <row r="20" customFormat="false" ht="12.75" hidden="false" customHeight="false" outlineLevel="0" collapsed="false">
      <c r="A20" s="358" t="n">
        <v>37226</v>
      </c>
      <c r="B20" s="359"/>
      <c r="C20" s="360" t="s">
        <v>52</v>
      </c>
      <c r="D20" s="361" t="n">
        <v>3.585</v>
      </c>
      <c r="E20" s="359"/>
      <c r="F20" s="362" t="n">
        <f aca="false">-5000*31</f>
        <v>-155000</v>
      </c>
      <c r="G20" s="367"/>
      <c r="H20" s="363" t="n">
        <f aca="false">+'[3]ELpaso SJ &amp; Prm'!$F54</f>
        <v>4.3605</v>
      </c>
      <c r="I20" s="364" t="n">
        <f aca="false">SUM(D20-H20)*F20</f>
        <v>120202.5</v>
      </c>
      <c r="J20" s="368"/>
      <c r="K20" s="365" t="n">
        <f aca="false">+I20</f>
        <v>120202.5</v>
      </c>
      <c r="L20" s="366" t="n">
        <f aca="false">IF(K20=0,0,IF(A20&lt;(Summary!$K$3+365),ENA_13!K20,0))</f>
        <v>120202.5</v>
      </c>
    </row>
    <row r="21" customFormat="false" ht="12.75" hidden="false" customHeight="false" outlineLevel="0" collapsed="false">
      <c r="A21" s="358"/>
      <c r="B21" s="359"/>
      <c r="C21" s="360"/>
      <c r="D21" s="361"/>
      <c r="E21" s="359"/>
      <c r="F21" s="362"/>
      <c r="G21" s="367"/>
      <c r="H21" s="363"/>
      <c r="I21" s="364"/>
      <c r="J21" s="368"/>
      <c r="K21" s="365"/>
      <c r="L21" s="359"/>
    </row>
    <row r="22" customFormat="false" ht="12.75" hidden="false" customHeight="false" outlineLevel="0" collapsed="false">
      <c r="A22" s="359"/>
      <c r="B22" s="359"/>
      <c r="C22" s="359"/>
      <c r="D22" s="359"/>
      <c r="E22" s="359"/>
      <c r="F22" s="369" t="n">
        <f aca="false">SUM(F9:F20)</f>
        <v>-1825000</v>
      </c>
      <c r="G22" s="367"/>
      <c r="H22" s="370" t="n">
        <f aca="false">AVERAGE(H9:H20)</f>
        <v>5.00516666666667</v>
      </c>
      <c r="I22" s="371" t="n">
        <f aca="false">SUM(I9:I20)</f>
        <v>2580537.5</v>
      </c>
      <c r="J22" s="371" t="n">
        <f aca="false">SUM(J9:J20)</f>
        <v>2096025</v>
      </c>
      <c r="K22" s="371" t="n">
        <f aca="false">SUM(K9:K20)</f>
        <v>484512.5</v>
      </c>
      <c r="L22" s="371" t="n">
        <f aca="false">SUM(L9:L20)</f>
        <v>484512.5</v>
      </c>
    </row>
    <row r="23" customFormat="false" ht="12.75" hidden="false" customHeight="false" outlineLevel="0" collapsed="false">
      <c r="A23" s="359"/>
      <c r="B23" s="359"/>
      <c r="C23" s="359"/>
      <c r="D23" s="359"/>
      <c r="E23" s="359"/>
      <c r="F23" s="372"/>
      <c r="G23" s="367"/>
      <c r="H23" s="367"/>
      <c r="I23" s="373"/>
      <c r="J23" s="374"/>
      <c r="K23" s="374"/>
      <c r="L23" s="359"/>
    </row>
    <row r="24" customFormat="false" ht="12.75" hidden="false" customHeight="false" outlineLevel="0" collapsed="false">
      <c r="A24" s="359"/>
      <c r="B24" s="359"/>
      <c r="C24" s="359"/>
      <c r="D24" s="359"/>
      <c r="E24" s="359"/>
      <c r="F24" s="367"/>
      <c r="G24" s="375" t="s">
        <v>144</v>
      </c>
      <c r="H24" s="370"/>
      <c r="I24" s="367"/>
      <c r="J24" s="368"/>
      <c r="K24" s="368"/>
      <c r="L24" s="359"/>
    </row>
    <row r="25" customFormat="false" ht="12.75" hidden="false" customHeight="false" outlineLevel="0" collapsed="false">
      <c r="A25" s="359"/>
      <c r="B25" s="359"/>
      <c r="C25" s="359"/>
      <c r="D25" s="361"/>
      <c r="E25" s="359"/>
      <c r="F25" s="367"/>
      <c r="G25" s="376"/>
      <c r="H25" s="370"/>
      <c r="I25" s="367"/>
      <c r="J25" s="368"/>
      <c r="K25" s="368"/>
      <c r="L25" s="359"/>
    </row>
    <row r="26" customFormat="false" ht="12.75" hidden="false" customHeight="false" outlineLevel="0" collapsed="false">
      <c r="A26" s="358" t="n">
        <v>36892</v>
      </c>
      <c r="B26" s="359"/>
      <c r="C26" s="360" t="s">
        <v>147</v>
      </c>
      <c r="D26" s="361" t="n">
        <v>3.585</v>
      </c>
      <c r="E26" s="359"/>
      <c r="F26" s="362" t="n">
        <f aca="false">5000*31</f>
        <v>155000</v>
      </c>
      <c r="G26" s="363"/>
      <c r="H26" s="363" t="n">
        <v>9.81</v>
      </c>
      <c r="I26" s="364" t="n">
        <f aca="false">(+D26-H26)*F26</f>
        <v>-964875</v>
      </c>
      <c r="J26" s="365" t="n">
        <f aca="false">+I26</f>
        <v>-964875</v>
      </c>
      <c r="K26" s="365"/>
      <c r="L26" s="366" t="n">
        <f aca="false">IF(K26=0,0,IF(A26&lt;(Summary!$K$3+365),ENA_13!K26,0))</f>
        <v>0</v>
      </c>
    </row>
    <row r="27" customFormat="false" ht="12.75" hidden="false" customHeight="false" outlineLevel="0" collapsed="false">
      <c r="A27" s="358" t="n">
        <v>36923</v>
      </c>
      <c r="B27" s="359"/>
      <c r="C27" s="360" t="s">
        <v>147</v>
      </c>
      <c r="D27" s="361" t="n">
        <v>3.585</v>
      </c>
      <c r="E27" s="359"/>
      <c r="F27" s="362" t="n">
        <f aca="false">5000*28</f>
        <v>140000</v>
      </c>
      <c r="G27" s="363"/>
      <c r="H27" s="363" t="n">
        <v>6.65</v>
      </c>
      <c r="I27" s="364" t="n">
        <f aca="false">(+D27-H27)*F27</f>
        <v>-429100</v>
      </c>
      <c r="J27" s="365" t="n">
        <f aca="false">+I27</f>
        <v>-429100</v>
      </c>
      <c r="K27" s="365"/>
      <c r="L27" s="366" t="n">
        <f aca="false">IF(K27=0,0,IF(A27&lt;(Summary!$K$3+365),ENA_13!K27,0))</f>
        <v>0</v>
      </c>
    </row>
    <row r="28" customFormat="false" ht="12.75" hidden="false" customHeight="false" outlineLevel="0" collapsed="false">
      <c r="A28" s="358" t="n">
        <v>36951</v>
      </c>
      <c r="B28" s="359"/>
      <c r="C28" s="360" t="s">
        <v>147</v>
      </c>
      <c r="D28" s="361" t="n">
        <v>3.585</v>
      </c>
      <c r="E28" s="359"/>
      <c r="F28" s="362" t="n">
        <f aca="false">5000*31</f>
        <v>155000</v>
      </c>
      <c r="G28" s="363"/>
      <c r="H28" s="363" t="n">
        <v>5.12</v>
      </c>
      <c r="I28" s="364" t="n">
        <f aca="false">(+D28-H28)*F28</f>
        <v>-237925</v>
      </c>
      <c r="J28" s="365" t="n">
        <f aca="false">+I28</f>
        <v>-237925</v>
      </c>
      <c r="K28" s="365"/>
      <c r="L28" s="366" t="n">
        <f aca="false">IF(K28=0,0,IF(A28&lt;(Summary!$K$3+365),ENA_13!K28,0))</f>
        <v>0</v>
      </c>
    </row>
    <row r="29" customFormat="false" ht="12.75" hidden="false" customHeight="false" outlineLevel="0" collapsed="false">
      <c r="A29" s="358" t="n">
        <v>36982</v>
      </c>
      <c r="B29" s="359"/>
      <c r="C29" s="360" t="s">
        <v>147</v>
      </c>
      <c r="D29" s="361" t="n">
        <v>3.585</v>
      </c>
      <c r="E29" s="359"/>
      <c r="F29" s="362" t="n">
        <f aca="false">5000*30</f>
        <v>150000</v>
      </c>
      <c r="G29" s="363"/>
      <c r="H29" s="363" t="n">
        <v>5.31</v>
      </c>
      <c r="I29" s="364" t="n">
        <f aca="false">(+D29-H29)*F29</f>
        <v>-258750</v>
      </c>
      <c r="J29" s="365" t="n">
        <f aca="false">+I29</f>
        <v>-258750</v>
      </c>
      <c r="K29" s="365"/>
      <c r="L29" s="366" t="n">
        <f aca="false">IF(K29=0,0,IF(A29&lt;(Summary!$K$3+365),ENA_13!K29,0))</f>
        <v>0</v>
      </c>
    </row>
    <row r="30" customFormat="false" ht="12.75" hidden="false" customHeight="false" outlineLevel="0" collapsed="false">
      <c r="A30" s="358" t="n">
        <v>37012</v>
      </c>
      <c r="B30" s="359"/>
      <c r="C30" s="360" t="s">
        <v>147</v>
      </c>
      <c r="D30" s="361" t="n">
        <v>3.585</v>
      </c>
      <c r="E30" s="359"/>
      <c r="F30" s="362" t="n">
        <f aca="false">5000*31</f>
        <v>155000</v>
      </c>
      <c r="G30" s="367"/>
      <c r="H30" s="363" t="n">
        <v>4.91</v>
      </c>
      <c r="I30" s="364" t="n">
        <f aca="false">(+D30-H30)*F30</f>
        <v>-205375</v>
      </c>
      <c r="J30" s="365" t="n">
        <f aca="false">+I30</f>
        <v>-205375</v>
      </c>
      <c r="K30" s="365"/>
      <c r="L30" s="366" t="n">
        <f aca="false">IF(K30=0,0,IF(A30&lt;(Summary!$K$3+365),ENA_13!K30,0))</f>
        <v>0</v>
      </c>
    </row>
    <row r="31" customFormat="false" ht="12.75" hidden="false" customHeight="false" outlineLevel="0" collapsed="false">
      <c r="A31" s="358" t="n">
        <v>37043</v>
      </c>
      <c r="B31" s="359"/>
      <c r="C31" s="360" t="s">
        <v>147</v>
      </c>
      <c r="D31" s="361" t="n">
        <v>3.585</v>
      </c>
      <c r="E31" s="359"/>
      <c r="F31" s="362" t="n">
        <f aca="false">5000*30</f>
        <v>150000</v>
      </c>
      <c r="G31" s="367"/>
      <c r="H31" s="363" t="n">
        <v>3.82</v>
      </c>
      <c r="I31" s="364" t="n">
        <f aca="false">(+D31-H31)*F31</f>
        <v>-35250</v>
      </c>
      <c r="J31" s="368"/>
      <c r="K31" s="365" t="n">
        <f aca="false">+I31</f>
        <v>-35250</v>
      </c>
      <c r="L31" s="366" t="n">
        <f aca="false">IF(K31=0,0,IF(A31&lt;(Summary!$K$3+365),ENA_13!K31,0))</f>
        <v>-35250</v>
      </c>
    </row>
    <row r="32" customFormat="false" ht="12.75" hidden="false" customHeight="false" outlineLevel="0" collapsed="false">
      <c r="A32" s="358" t="n">
        <v>37073</v>
      </c>
      <c r="B32" s="359"/>
      <c r="C32" s="360" t="s">
        <v>147</v>
      </c>
      <c r="D32" s="361" t="n">
        <v>3.585</v>
      </c>
      <c r="E32" s="359"/>
      <c r="F32" s="362" t="n">
        <f aca="false">5000*31</f>
        <v>155000</v>
      </c>
      <c r="G32" s="367"/>
      <c r="H32" s="363" t="n">
        <f aca="false">+'[3]ELpaso SJ &amp; Prm'!$G49</f>
        <v>3.8815</v>
      </c>
      <c r="I32" s="364" t="n">
        <f aca="false">(+D32-H32)*F32</f>
        <v>-45957.5</v>
      </c>
      <c r="J32" s="368"/>
      <c r="K32" s="365" t="n">
        <f aca="false">+I32</f>
        <v>-45957.5</v>
      </c>
      <c r="L32" s="366" t="n">
        <f aca="false">IF(K32=0,0,IF(A32&lt;(Summary!$K$3+365),ENA_13!K32,0))</f>
        <v>-45957.5</v>
      </c>
    </row>
    <row r="33" customFormat="false" ht="12.75" hidden="false" customHeight="false" outlineLevel="0" collapsed="false">
      <c r="A33" s="358" t="n">
        <v>37104</v>
      </c>
      <c r="B33" s="359"/>
      <c r="C33" s="360" t="s">
        <v>147</v>
      </c>
      <c r="D33" s="361" t="n">
        <v>3.585</v>
      </c>
      <c r="E33" s="359"/>
      <c r="F33" s="362" t="n">
        <f aca="false">5000*31</f>
        <v>155000</v>
      </c>
      <c r="G33" s="367"/>
      <c r="H33" s="363" t="n">
        <f aca="false">+'[3]ELpaso SJ &amp; Prm'!$G50</f>
        <v>3.9925</v>
      </c>
      <c r="I33" s="364" t="n">
        <f aca="false">(+D33-H33)*F33</f>
        <v>-63162.5</v>
      </c>
      <c r="J33" s="368"/>
      <c r="K33" s="365" t="n">
        <f aca="false">+I33</f>
        <v>-63162.5</v>
      </c>
      <c r="L33" s="366" t="n">
        <f aca="false">IF(K33=0,0,IF(A33&lt;(Summary!$K$3+365),ENA_13!K33,0))</f>
        <v>-63162.5</v>
      </c>
    </row>
    <row r="34" customFormat="false" ht="12.75" hidden="false" customHeight="false" outlineLevel="0" collapsed="false">
      <c r="A34" s="358" t="n">
        <v>37135</v>
      </c>
      <c r="B34" s="359"/>
      <c r="C34" s="360" t="s">
        <v>147</v>
      </c>
      <c r="D34" s="361" t="n">
        <v>3.585</v>
      </c>
      <c r="E34" s="359"/>
      <c r="F34" s="362" t="n">
        <f aca="false">5000*30</f>
        <v>150000</v>
      </c>
      <c r="G34" s="367"/>
      <c r="H34" s="363" t="n">
        <f aca="false">+'[3]ELpaso SJ &amp; Prm'!$G51</f>
        <v>4.0195</v>
      </c>
      <c r="I34" s="364" t="n">
        <f aca="false">(+D34-H34)*F34</f>
        <v>-65175.0000000001</v>
      </c>
      <c r="J34" s="368"/>
      <c r="K34" s="365" t="n">
        <f aca="false">+I34</f>
        <v>-65175.0000000001</v>
      </c>
      <c r="L34" s="366" t="n">
        <f aca="false">IF(K34=0,0,IF(A34&lt;(Summary!$K$3+365),ENA_13!K34,0))</f>
        <v>-65175.0000000001</v>
      </c>
    </row>
    <row r="35" customFormat="false" ht="12.75" hidden="false" customHeight="false" outlineLevel="0" collapsed="false">
      <c r="A35" s="358" t="n">
        <v>37165</v>
      </c>
      <c r="B35" s="359"/>
      <c r="C35" s="360" t="s">
        <v>147</v>
      </c>
      <c r="D35" s="361" t="n">
        <v>3.585</v>
      </c>
      <c r="E35" s="359"/>
      <c r="F35" s="362" t="n">
        <f aca="false">5000*31</f>
        <v>155000</v>
      </c>
      <c r="G35" s="367"/>
      <c r="H35" s="363" t="n">
        <f aca="false">+'[3]ELpaso SJ &amp; Prm'!$G52</f>
        <v>4.0205</v>
      </c>
      <c r="I35" s="364" t="n">
        <f aca="false">(+D35-H35)*F35</f>
        <v>-67502.5</v>
      </c>
      <c r="J35" s="368"/>
      <c r="K35" s="365" t="n">
        <f aca="false">+I35</f>
        <v>-67502.5</v>
      </c>
      <c r="L35" s="366" t="n">
        <f aca="false">IF(K35=0,0,IF(A35&lt;(Summary!$K$3+365),ENA_13!K35,0))</f>
        <v>-67502.5</v>
      </c>
    </row>
    <row r="36" customFormat="false" ht="12.75" hidden="false" customHeight="false" outlineLevel="0" collapsed="false">
      <c r="A36" s="358" t="n">
        <v>37196</v>
      </c>
      <c r="B36" s="359"/>
      <c r="C36" s="360" t="s">
        <v>147</v>
      </c>
      <c r="D36" s="361" t="n">
        <v>3.585</v>
      </c>
      <c r="E36" s="359"/>
      <c r="F36" s="362" t="n">
        <f aca="false">5000*30</f>
        <v>150000</v>
      </c>
      <c r="G36" s="367"/>
      <c r="H36" s="363" t="n">
        <f aca="false">+'[3]ELpaso SJ &amp; Prm'!$G53</f>
        <v>4.2125</v>
      </c>
      <c r="I36" s="364" t="n">
        <f aca="false">(+D36-H36)*F36</f>
        <v>-94124.9999999999</v>
      </c>
      <c r="J36" s="368"/>
      <c r="K36" s="365" t="n">
        <f aca="false">+I36</f>
        <v>-94124.9999999999</v>
      </c>
      <c r="L36" s="366" t="n">
        <f aca="false">IF(K36=0,0,IF(A36&lt;(Summary!$K$3+365),ENA_13!K36,0))</f>
        <v>-94124.9999999999</v>
      </c>
    </row>
    <row r="37" customFormat="false" ht="12.75" hidden="false" customHeight="false" outlineLevel="0" collapsed="false">
      <c r="A37" s="358" t="n">
        <v>37226</v>
      </c>
      <c r="B37" s="359"/>
      <c r="C37" s="360" t="s">
        <v>147</v>
      </c>
      <c r="D37" s="361" t="n">
        <v>3.585</v>
      </c>
      <c r="E37" s="359"/>
      <c r="F37" s="362" t="n">
        <f aca="false">5000*31</f>
        <v>155000</v>
      </c>
      <c r="G37" s="367"/>
      <c r="H37" s="363" t="n">
        <f aca="false">+'[3]ELpaso SJ &amp; Prm'!$G54</f>
        <v>4.3755</v>
      </c>
      <c r="I37" s="364" t="n">
        <f aca="false">(+D37-H37)*F37</f>
        <v>-122527.5</v>
      </c>
      <c r="J37" s="368"/>
      <c r="K37" s="365" t="n">
        <f aca="false">+I37</f>
        <v>-122527.5</v>
      </c>
      <c r="L37" s="366" t="n">
        <f aca="false">IF(K37=0,0,IF(A37&lt;(Summary!$K$3+365),ENA_13!K37,0))</f>
        <v>-122527.5</v>
      </c>
    </row>
    <row r="38" customFormat="false" ht="12.75" hidden="false" customHeight="false" outlineLevel="0" collapsed="false">
      <c r="A38" s="358"/>
      <c r="B38" s="359"/>
      <c r="C38" s="360"/>
      <c r="D38" s="361"/>
      <c r="E38" s="359"/>
      <c r="F38" s="362"/>
      <c r="G38" s="367"/>
      <c r="H38" s="363"/>
      <c r="I38" s="364"/>
      <c r="J38" s="368"/>
      <c r="K38" s="365"/>
      <c r="L38" s="406"/>
    </row>
    <row r="39" customFormat="false" ht="12.75" hidden="false" customHeight="false" outlineLevel="0" collapsed="false">
      <c r="A39" s="359"/>
      <c r="B39" s="359"/>
      <c r="C39" s="359"/>
      <c r="D39" s="359"/>
      <c r="E39" s="359"/>
      <c r="F39" s="369" t="n">
        <f aca="false">SUM(F26:F38)</f>
        <v>1825000</v>
      </c>
      <c r="G39" s="367"/>
      <c r="H39" s="370" t="n">
        <f aca="false">AVERAGE(H26:H37)</f>
        <v>5.01016666666667</v>
      </c>
      <c r="I39" s="377" t="n">
        <f aca="false">SUM(I26:I38)</f>
        <v>-2589725</v>
      </c>
      <c r="J39" s="377" t="n">
        <f aca="false">SUM(J26:J38)</f>
        <v>-2096025</v>
      </c>
      <c r="K39" s="377" t="n">
        <f aca="false">SUM(K26:K38)</f>
        <v>-493700</v>
      </c>
      <c r="L39" s="377" t="n">
        <f aca="false">SUM(L26:L38)</f>
        <v>-493700</v>
      </c>
    </row>
    <row r="40" customFormat="false" ht="12.75" hidden="false" customHeight="false" outlineLevel="0" collapsed="false">
      <c r="A40" s="359"/>
      <c r="B40" s="359"/>
      <c r="C40" s="359"/>
      <c r="D40" s="359"/>
      <c r="E40" s="359"/>
      <c r="F40" s="367"/>
      <c r="G40" s="367"/>
      <c r="H40" s="367"/>
      <c r="I40" s="367"/>
      <c r="J40" s="368"/>
      <c r="K40" s="368"/>
      <c r="L40" s="368"/>
    </row>
    <row r="41" customFormat="false" ht="13.5" hidden="false" customHeight="false" outlineLevel="0" collapsed="false">
      <c r="A41" s="359"/>
      <c r="B41" s="359"/>
      <c r="C41" s="359"/>
      <c r="D41" s="359"/>
      <c r="E41" s="359"/>
      <c r="F41" s="378" t="n">
        <f aca="false">+F39+F22</f>
        <v>0</v>
      </c>
      <c r="G41" s="367"/>
      <c r="H41" s="367"/>
      <c r="I41" s="379" t="n">
        <f aca="false">+I39+I22</f>
        <v>-9187.5</v>
      </c>
      <c r="J41" s="379" t="n">
        <f aca="false">+J39+J22</f>
        <v>0</v>
      </c>
      <c r="K41" s="379" t="n">
        <f aca="false">+K39+K22</f>
        <v>-9187.49999999988</v>
      </c>
      <c r="L41" s="379" t="n">
        <f aca="false">+L39+L22</f>
        <v>-9187.49999999988</v>
      </c>
    </row>
    <row r="42" customFormat="false" ht="13.5" hidden="false" customHeight="false" outlineLevel="0" collapsed="false">
      <c r="A42" s="380"/>
      <c r="B42" s="380"/>
      <c r="C42" s="380"/>
      <c r="D42" s="380"/>
      <c r="E42" s="380"/>
      <c r="F42" s="380"/>
      <c r="G42" s="380"/>
      <c r="H42" s="380"/>
      <c r="I42" s="380"/>
      <c r="J42" s="405"/>
      <c r="K42" s="405"/>
      <c r="L42" s="405"/>
    </row>
    <row r="44" customFormat="false" ht="12.75" hidden="false" customHeight="false" outlineLevel="0" collapsed="false">
      <c r="A44" s="8" t="s">
        <v>148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0.28"/>
    <col collapsed="false" customWidth="true" hidden="false" outlineLevel="0" max="3" min="3" style="0" width="20.41"/>
    <col collapsed="false" customWidth="true" hidden="false" outlineLevel="0" max="4" min="4" style="0" width="8.7"/>
    <col collapsed="false" customWidth="false" hidden="true" outlineLevel="0" max="5" min="5" style="0" width="9.06"/>
    <col collapsed="false" customWidth="true" hidden="false" outlineLevel="0" max="6" min="6" style="0" width="13.14"/>
    <col collapsed="false" customWidth="true" hidden="false" outlineLevel="0" max="7" min="7" style="0" width="16.56"/>
    <col collapsed="false" customWidth="true" hidden="false" outlineLevel="0" max="8" min="8" style="0" width="9.7"/>
    <col collapsed="false" customWidth="true" hidden="false" outlineLevel="0" max="9" min="9" style="0" width="16.7"/>
    <col collapsed="false" customWidth="true" hidden="false" outlineLevel="0" max="10" min="10" style="0" width="9.85"/>
    <col collapsed="false" customWidth="true" hidden="false" outlineLevel="0" max="11" min="11" style="0" width="16.7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154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342"/>
      <c r="B4" s="342"/>
      <c r="C4" s="342"/>
      <c r="D4" s="342"/>
      <c r="E4" s="342"/>
      <c r="F4" s="342"/>
      <c r="G4" s="342"/>
      <c r="H4" s="342"/>
      <c r="I4" s="342"/>
      <c r="J4" s="341"/>
      <c r="K4" s="341"/>
      <c r="L4" s="341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44</v>
      </c>
      <c r="E6" s="385"/>
      <c r="F6" s="385" t="s">
        <v>139</v>
      </c>
      <c r="G6" s="385" t="s">
        <v>88</v>
      </c>
      <c r="H6" s="385" t="s">
        <v>31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141</v>
      </c>
      <c r="E7" s="388"/>
      <c r="F7" s="388" t="s">
        <v>142</v>
      </c>
      <c r="G7" s="388" t="s">
        <v>16</v>
      </c>
      <c r="H7" s="388" t="s">
        <v>151</v>
      </c>
      <c r="I7" s="388" t="s">
        <v>23</v>
      </c>
      <c r="J7" s="388" t="s">
        <v>24</v>
      </c>
      <c r="K7" s="389" t="s">
        <v>25</v>
      </c>
      <c r="L7" s="407"/>
    </row>
    <row r="8" customFormat="false" ht="12.75" hidden="false" customHeight="false" outlineLevel="0" collapsed="false">
      <c r="A8" s="390"/>
      <c r="B8" s="391"/>
      <c r="C8" s="391"/>
      <c r="D8" s="392" t="s">
        <v>16</v>
      </c>
      <c r="E8" s="391"/>
      <c r="F8" s="391"/>
      <c r="G8" s="393" t="s">
        <v>144</v>
      </c>
      <c r="H8" s="392" t="s">
        <v>16</v>
      </c>
      <c r="I8" s="392" t="s">
        <v>145</v>
      </c>
      <c r="J8" s="392" t="s">
        <v>145</v>
      </c>
      <c r="K8" s="394" t="s">
        <v>145</v>
      </c>
      <c r="L8" s="408" t="s">
        <v>146</v>
      </c>
    </row>
    <row r="9" customFormat="false" ht="12.75" hidden="false" customHeight="false" outlineLevel="0" collapsed="false">
      <c r="A9" s="409" t="n">
        <v>37257</v>
      </c>
      <c r="B9" s="367"/>
      <c r="C9" s="410" t="s">
        <v>44</v>
      </c>
      <c r="D9" s="363" t="n">
        <v>5.05</v>
      </c>
      <c r="E9" s="367"/>
      <c r="F9" s="362" t="n">
        <f aca="false">-5000*31</f>
        <v>-155000</v>
      </c>
      <c r="G9" s="363"/>
      <c r="H9" s="363" t="n">
        <f aca="false">+'[3]ELpaso SJ &amp; Prm'!$F55</f>
        <v>4.4285</v>
      </c>
      <c r="I9" s="364" t="n">
        <f aca="false">SUM(D9-H9)*F9</f>
        <v>-96332.5</v>
      </c>
      <c r="J9" s="365"/>
      <c r="K9" s="365" t="n">
        <f aca="false">+I9</f>
        <v>-96332.5</v>
      </c>
      <c r="L9" s="366" t="n">
        <f aca="false">IF(K9=0,0,IF(A9&lt;(Summary!$K$3+365),K9,0))</f>
        <v>-96332.5</v>
      </c>
    </row>
    <row r="10" customFormat="false" ht="12.75" hidden="false" customHeight="false" outlineLevel="0" collapsed="false">
      <c r="A10" s="409" t="n">
        <v>37288</v>
      </c>
      <c r="B10" s="367"/>
      <c r="C10" s="410" t="s">
        <v>44</v>
      </c>
      <c r="D10" s="363" t="n">
        <v>5.05</v>
      </c>
      <c r="E10" s="367"/>
      <c r="F10" s="362" t="n">
        <f aca="false">-5000*28</f>
        <v>-140000</v>
      </c>
      <c r="G10" s="363"/>
      <c r="H10" s="363" t="n">
        <f aca="false">+'[3]ELpaso SJ &amp; Prm'!$F56</f>
        <v>4.3115</v>
      </c>
      <c r="I10" s="364" t="n">
        <f aca="false">SUM(D10-H10)*F10</f>
        <v>-103390</v>
      </c>
      <c r="J10" s="365"/>
      <c r="K10" s="365" t="n">
        <f aca="false">+I10</f>
        <v>-103390</v>
      </c>
      <c r="L10" s="366" t="n">
        <f aca="false">IF(K10=0,0,IF(A10&lt;(Summary!$K$3+365),K10,0))</f>
        <v>-103390</v>
      </c>
    </row>
    <row r="11" customFormat="false" ht="12.75" hidden="false" customHeight="false" outlineLevel="0" collapsed="false">
      <c r="A11" s="409" t="n">
        <v>37316</v>
      </c>
      <c r="B11" s="367"/>
      <c r="C11" s="410" t="s">
        <v>44</v>
      </c>
      <c r="D11" s="363" t="n">
        <v>5.05</v>
      </c>
      <c r="E11" s="367"/>
      <c r="F11" s="362" t="n">
        <f aca="false">-5000*31</f>
        <v>-155000</v>
      </c>
      <c r="G11" s="363"/>
      <c r="H11" s="363" t="n">
        <f aca="false">+'[3]ELpaso SJ &amp; Prm'!$F57</f>
        <v>4.1425</v>
      </c>
      <c r="I11" s="364" t="n">
        <f aca="false">SUM(D11-H11)*F11</f>
        <v>-140662.5</v>
      </c>
      <c r="J11" s="365"/>
      <c r="K11" s="365" t="n">
        <f aca="false">+I11</f>
        <v>-140662.5</v>
      </c>
      <c r="L11" s="366" t="n">
        <f aca="false">IF(K11=0,0,IF(A11&lt;(Summary!$K$3+365),K11,0))</f>
        <v>-140662.5</v>
      </c>
    </row>
    <row r="12" customFormat="false" ht="12.75" hidden="false" customHeight="false" outlineLevel="0" collapsed="false">
      <c r="A12" s="409" t="n">
        <v>37347</v>
      </c>
      <c r="B12" s="367"/>
      <c r="C12" s="410" t="s">
        <v>44</v>
      </c>
      <c r="D12" s="363" t="n">
        <v>5.05</v>
      </c>
      <c r="E12" s="367"/>
      <c r="F12" s="362" t="n">
        <f aca="false">-5000*30</f>
        <v>-150000</v>
      </c>
      <c r="G12" s="363"/>
      <c r="H12" s="363" t="n">
        <f aca="false">+'[3]ELpaso SJ &amp; Prm'!$F58</f>
        <v>3.8</v>
      </c>
      <c r="I12" s="364" t="n">
        <f aca="false">SUM(D12-H12)*F12</f>
        <v>-187500</v>
      </c>
      <c r="J12" s="365"/>
      <c r="K12" s="365" t="n">
        <f aca="false">+I12</f>
        <v>-187500</v>
      </c>
      <c r="L12" s="366" t="n">
        <f aca="false">IF(K12=0,0,IF(A12&lt;(Summary!$K$3+365),K12,0))</f>
        <v>-187500</v>
      </c>
    </row>
    <row r="13" customFormat="false" ht="12.75" hidden="false" customHeight="false" outlineLevel="0" collapsed="false">
      <c r="A13" s="409" t="n">
        <v>37377</v>
      </c>
      <c r="B13" s="367"/>
      <c r="C13" s="410" t="s">
        <v>44</v>
      </c>
      <c r="D13" s="363" t="n">
        <v>5.05</v>
      </c>
      <c r="E13" s="367"/>
      <c r="F13" s="362" t="n">
        <f aca="false">-5000*31</f>
        <v>-155000</v>
      </c>
      <c r="G13" s="367"/>
      <c r="H13" s="363" t="n">
        <f aca="false">+'[3]ELpaso SJ &amp; Prm'!$F59</f>
        <v>3.725</v>
      </c>
      <c r="I13" s="364" t="n">
        <f aca="false">SUM(D13-H13)*F13</f>
        <v>-205375</v>
      </c>
      <c r="J13" s="368"/>
      <c r="K13" s="365" t="n">
        <f aca="false">+I13</f>
        <v>-205375</v>
      </c>
      <c r="L13" s="366" t="n">
        <f aca="false">IF(K13=0,0,IF(A13&lt;(Summary!$K$3+365),K13,0))</f>
        <v>-205375</v>
      </c>
    </row>
    <row r="14" customFormat="false" ht="12.75" hidden="false" customHeight="false" outlineLevel="0" collapsed="false">
      <c r="A14" s="409" t="n">
        <v>37408</v>
      </c>
      <c r="B14" s="367"/>
      <c r="C14" s="410" t="s">
        <v>44</v>
      </c>
      <c r="D14" s="363" t="n">
        <v>5.05</v>
      </c>
      <c r="E14" s="367"/>
      <c r="F14" s="362" t="n">
        <f aca="false">-5000*30</f>
        <v>-150000</v>
      </c>
      <c r="G14" s="367"/>
      <c r="H14" s="363" t="n">
        <f aca="false">+'[3]ELpaso SJ &amp; Prm'!$F60</f>
        <v>3.77</v>
      </c>
      <c r="I14" s="364" t="n">
        <f aca="false">SUM(D14-H14)*F14</f>
        <v>-192000</v>
      </c>
      <c r="J14" s="368"/>
      <c r="K14" s="365" t="n">
        <f aca="false">+I14</f>
        <v>-192000</v>
      </c>
      <c r="L14" s="366" t="n">
        <f aca="false">IF(K14=0,0,IF(A14&lt;(Summary!$K$3+365),K14,0))</f>
        <v>0</v>
      </c>
    </row>
    <row r="15" customFormat="false" ht="12.75" hidden="false" customHeight="false" outlineLevel="0" collapsed="false">
      <c r="A15" s="409" t="n">
        <v>37438</v>
      </c>
      <c r="B15" s="367"/>
      <c r="C15" s="410" t="s">
        <v>44</v>
      </c>
      <c r="D15" s="363" t="n">
        <v>5.05</v>
      </c>
      <c r="E15" s="367"/>
      <c r="F15" s="362" t="n">
        <f aca="false">-5000*31</f>
        <v>-155000</v>
      </c>
      <c r="G15" s="367"/>
      <c r="H15" s="363" t="n">
        <f aca="false">+'[3]ELpaso SJ &amp; Prm'!$F61</f>
        <v>3.805</v>
      </c>
      <c r="I15" s="364" t="n">
        <f aca="false">SUM(D15-H15)*F15</f>
        <v>-192975</v>
      </c>
      <c r="J15" s="368"/>
      <c r="K15" s="365" t="n">
        <f aca="false">+I15</f>
        <v>-192975</v>
      </c>
      <c r="L15" s="366" t="n">
        <f aca="false">IF(K15=0,0,IF(A15&lt;(Summary!$K$3+365),K15,0))</f>
        <v>0</v>
      </c>
    </row>
    <row r="16" customFormat="false" ht="12.75" hidden="false" customHeight="false" outlineLevel="0" collapsed="false">
      <c r="A16" s="409" t="n">
        <v>37469</v>
      </c>
      <c r="B16" s="367"/>
      <c r="C16" s="410" t="s">
        <v>44</v>
      </c>
      <c r="D16" s="363" t="n">
        <v>5.05</v>
      </c>
      <c r="E16" s="367"/>
      <c r="F16" s="362" t="n">
        <f aca="false">-5000*31</f>
        <v>-155000</v>
      </c>
      <c r="G16" s="367"/>
      <c r="H16" s="363" t="n">
        <f aca="false">+'[3]ELpaso SJ &amp; Prm'!$F62</f>
        <v>3.825</v>
      </c>
      <c r="I16" s="364" t="n">
        <f aca="false">SUM(D16-H16)*F16</f>
        <v>-189875</v>
      </c>
      <c r="J16" s="368"/>
      <c r="K16" s="365" t="n">
        <f aca="false">+I16</f>
        <v>-189875</v>
      </c>
      <c r="L16" s="366" t="n">
        <f aca="false">IF(K16=0,0,IF(A16&lt;(Summary!$K$3+365),K16,0))</f>
        <v>0</v>
      </c>
    </row>
    <row r="17" customFormat="false" ht="12.75" hidden="false" customHeight="false" outlineLevel="0" collapsed="false">
      <c r="A17" s="409" t="n">
        <v>37500</v>
      </c>
      <c r="B17" s="367"/>
      <c r="C17" s="410" t="s">
        <v>44</v>
      </c>
      <c r="D17" s="363" t="n">
        <v>5.05</v>
      </c>
      <c r="E17" s="367"/>
      <c r="F17" s="362" t="n">
        <f aca="false">-5000*30</f>
        <v>-150000</v>
      </c>
      <c r="G17" s="367"/>
      <c r="H17" s="363" t="n">
        <f aca="false">+'[3]ELpaso SJ &amp; Prm'!$F63</f>
        <v>3.842</v>
      </c>
      <c r="I17" s="364" t="n">
        <f aca="false">SUM(D17-H17)*F17</f>
        <v>-181200</v>
      </c>
      <c r="J17" s="368"/>
      <c r="K17" s="365" t="n">
        <f aca="false">+I17</f>
        <v>-181200</v>
      </c>
      <c r="L17" s="366" t="n">
        <f aca="false">IF(K17=0,0,IF(A17&lt;(Summary!$K$3+365),K17,0))</f>
        <v>0</v>
      </c>
    </row>
    <row r="18" customFormat="false" ht="12.75" hidden="false" customHeight="false" outlineLevel="0" collapsed="false">
      <c r="A18" s="409" t="n">
        <v>37530</v>
      </c>
      <c r="B18" s="367"/>
      <c r="C18" s="410" t="s">
        <v>44</v>
      </c>
      <c r="D18" s="363" t="n">
        <v>5.05</v>
      </c>
      <c r="E18" s="367"/>
      <c r="F18" s="362" t="n">
        <f aca="false">-5000*31</f>
        <v>-155000</v>
      </c>
      <c r="G18" s="367"/>
      <c r="H18" s="363" t="n">
        <f aca="false">+'[3]ELpaso SJ &amp; Prm'!$F64</f>
        <v>3.859</v>
      </c>
      <c r="I18" s="364" t="n">
        <f aca="false">SUM(D18-H18)*F18</f>
        <v>-184605</v>
      </c>
      <c r="J18" s="368"/>
      <c r="K18" s="365" t="n">
        <f aca="false">+I18</f>
        <v>-184605</v>
      </c>
      <c r="L18" s="366" t="n">
        <f aca="false">IF(K18=0,0,IF(A18&lt;(Summary!$K$3+365),K18,0))</f>
        <v>0</v>
      </c>
    </row>
    <row r="19" customFormat="false" ht="12.75" hidden="false" customHeight="false" outlineLevel="0" collapsed="false">
      <c r="A19" s="409" t="n">
        <v>37561</v>
      </c>
      <c r="B19" s="367"/>
      <c r="C19" s="410" t="s">
        <v>44</v>
      </c>
      <c r="D19" s="363" t="n">
        <v>5.05</v>
      </c>
      <c r="E19" s="367"/>
      <c r="F19" s="362" t="n">
        <f aca="false">-5000*30</f>
        <v>-150000</v>
      </c>
      <c r="G19" s="367"/>
      <c r="H19" s="363" t="n">
        <f aca="false">+'[3]ELpaso SJ &amp; Prm'!$F65</f>
        <v>3.994</v>
      </c>
      <c r="I19" s="364" t="n">
        <f aca="false">SUM(D19-H19)*F19</f>
        <v>-158400</v>
      </c>
      <c r="J19" s="368"/>
      <c r="K19" s="365" t="n">
        <f aca="false">+I19</f>
        <v>-158400</v>
      </c>
      <c r="L19" s="366" t="n">
        <f aca="false">IF(K19=0,0,IF(A19&lt;(Summary!$K$3+365),K19,0))</f>
        <v>0</v>
      </c>
    </row>
    <row r="20" customFormat="false" ht="12.75" hidden="false" customHeight="false" outlineLevel="0" collapsed="false">
      <c r="A20" s="409" t="n">
        <v>37591</v>
      </c>
      <c r="B20" s="367"/>
      <c r="C20" s="410" t="s">
        <v>44</v>
      </c>
      <c r="D20" s="363" t="n">
        <v>5.05</v>
      </c>
      <c r="E20" s="367"/>
      <c r="F20" s="362" t="n">
        <f aca="false">-5000*31</f>
        <v>-155000</v>
      </c>
      <c r="G20" s="367"/>
      <c r="H20" s="363" t="n">
        <f aca="false">+'[3]ELpaso SJ &amp; Prm'!$F66</f>
        <v>4.124</v>
      </c>
      <c r="I20" s="364" t="n">
        <f aca="false">SUM(D20-H20)*F20</f>
        <v>-143530</v>
      </c>
      <c r="J20" s="368"/>
      <c r="K20" s="365" t="n">
        <f aca="false">+I20</f>
        <v>-143530</v>
      </c>
      <c r="L20" s="366" t="n">
        <f aca="false">IF(K20=0,0,IF(A20&lt;(Summary!$K$3+365),K20,0))</f>
        <v>0</v>
      </c>
    </row>
    <row r="21" customFormat="false" ht="12.75" hidden="false" customHeight="false" outlineLevel="0" collapsed="false">
      <c r="A21" s="409"/>
      <c r="B21" s="367"/>
      <c r="C21" s="410"/>
      <c r="D21" s="363"/>
      <c r="E21" s="367"/>
      <c r="F21" s="362"/>
      <c r="G21" s="367"/>
      <c r="H21" s="363"/>
      <c r="I21" s="364"/>
      <c r="J21" s="368"/>
      <c r="K21" s="365"/>
      <c r="L21" s="359"/>
    </row>
    <row r="22" customFormat="false" ht="12.75" hidden="false" customHeight="false" outlineLevel="0" collapsed="false">
      <c r="A22" s="367"/>
      <c r="B22" s="367"/>
      <c r="C22" s="367"/>
      <c r="D22" s="370" t="n">
        <f aca="false">AVERAGE(D9:D20)</f>
        <v>5.05</v>
      </c>
      <c r="E22" s="367"/>
      <c r="F22" s="369" t="n">
        <f aca="false">SUM(F9:F20)</f>
        <v>-1825000</v>
      </c>
      <c r="G22" s="367"/>
      <c r="H22" s="370" t="n">
        <f aca="false">AVERAGE(H9:H20)</f>
        <v>3.968875</v>
      </c>
      <c r="I22" s="371" t="n">
        <f aca="false">SUM(I9:I20)</f>
        <v>-1975845</v>
      </c>
      <c r="J22" s="371" t="n">
        <f aca="false">SUM(J9:J20)</f>
        <v>0</v>
      </c>
      <c r="K22" s="371" t="n">
        <f aca="false">SUM(K9:K20)</f>
        <v>-1975845</v>
      </c>
      <c r="L22" s="371" t="n">
        <f aca="false">SUM(L9:L20)</f>
        <v>-733260</v>
      </c>
    </row>
    <row r="23" customFormat="false" ht="12.75" hidden="false" customHeight="false" outlineLevel="0" collapsed="false">
      <c r="A23" s="367"/>
      <c r="B23" s="367"/>
      <c r="C23" s="367"/>
      <c r="D23" s="367"/>
      <c r="E23" s="367"/>
      <c r="F23" s="372"/>
      <c r="G23" s="367"/>
      <c r="H23" s="367"/>
      <c r="I23" s="373"/>
      <c r="J23" s="374"/>
      <c r="K23" s="374"/>
      <c r="L23" s="359"/>
    </row>
    <row r="24" customFormat="false" ht="12.75" hidden="false" customHeight="false" outlineLevel="0" collapsed="false">
      <c r="A24" s="367"/>
      <c r="B24" s="367"/>
      <c r="C24" s="367"/>
      <c r="D24" s="367"/>
      <c r="E24" s="367"/>
      <c r="F24" s="367"/>
      <c r="G24" s="375" t="s">
        <v>144</v>
      </c>
      <c r="H24" s="370"/>
      <c r="I24" s="367"/>
      <c r="J24" s="368"/>
      <c r="K24" s="368"/>
      <c r="L24" s="359"/>
    </row>
    <row r="25" customFormat="false" ht="12.75" hidden="false" customHeight="false" outlineLevel="0" collapsed="false">
      <c r="A25" s="367"/>
      <c r="B25" s="367"/>
      <c r="C25" s="367"/>
      <c r="D25" s="363"/>
      <c r="E25" s="367"/>
      <c r="F25" s="367"/>
      <c r="G25" s="376"/>
      <c r="H25" s="370"/>
      <c r="I25" s="367"/>
      <c r="J25" s="368"/>
      <c r="K25" s="368"/>
      <c r="L25" s="359"/>
    </row>
    <row r="26" customFormat="false" ht="12.75" hidden="false" customHeight="false" outlineLevel="0" collapsed="false">
      <c r="A26" s="409" t="n">
        <v>37257</v>
      </c>
      <c r="B26" s="367" t="n">
        <v>22948</v>
      </c>
      <c r="C26" s="411" t="s">
        <v>62</v>
      </c>
      <c r="D26" s="363" t="n">
        <v>5.05</v>
      </c>
      <c r="E26" s="367"/>
      <c r="F26" s="362" t="n">
        <f aca="false">5000*31</f>
        <v>155000</v>
      </c>
      <c r="G26" s="363"/>
      <c r="H26" s="363" t="n">
        <f aca="false">+'[3]ELpaso SJ &amp; Prm'!$G55</f>
        <v>4.4435</v>
      </c>
      <c r="I26" s="364" t="n">
        <f aca="false">(+D26-H26)*F26</f>
        <v>94007.5000000001</v>
      </c>
      <c r="J26" s="365"/>
      <c r="K26" s="365" t="n">
        <f aca="false">+I26</f>
        <v>94007.5000000001</v>
      </c>
      <c r="L26" s="366" t="n">
        <f aca="false">IF(K26=0,0,IF(A26&lt;(Summary!$K$3+365),K26,0))</f>
        <v>94007.5000000001</v>
      </c>
    </row>
    <row r="27" customFormat="false" ht="12.75" hidden="false" customHeight="false" outlineLevel="0" collapsed="false">
      <c r="A27" s="409" t="n">
        <v>37288</v>
      </c>
      <c r="B27" s="367" t="n">
        <v>22948</v>
      </c>
      <c r="C27" s="411" t="s">
        <v>62</v>
      </c>
      <c r="D27" s="363" t="n">
        <v>5.05</v>
      </c>
      <c r="E27" s="367"/>
      <c r="F27" s="362" t="n">
        <f aca="false">5000*28</f>
        <v>140000</v>
      </c>
      <c r="G27" s="363"/>
      <c r="H27" s="363" t="n">
        <f aca="false">+'[3]ELpaso SJ &amp; Prm'!$G56</f>
        <v>4.3265</v>
      </c>
      <c r="I27" s="364" t="n">
        <f aca="false">(+D27-H27)*F27</f>
        <v>101290</v>
      </c>
      <c r="J27" s="365"/>
      <c r="K27" s="365" t="n">
        <f aca="false">+I27</f>
        <v>101290</v>
      </c>
      <c r="L27" s="366" t="n">
        <f aca="false">IF(K27=0,0,IF(A27&lt;(Summary!$K$3+365),K27,0))</f>
        <v>101290</v>
      </c>
    </row>
    <row r="28" customFormat="false" ht="12.75" hidden="false" customHeight="false" outlineLevel="0" collapsed="false">
      <c r="A28" s="409" t="n">
        <v>37316</v>
      </c>
      <c r="B28" s="367" t="n">
        <v>22948</v>
      </c>
      <c r="C28" s="411" t="s">
        <v>62</v>
      </c>
      <c r="D28" s="363" t="n">
        <v>5.05</v>
      </c>
      <c r="E28" s="367"/>
      <c r="F28" s="362" t="n">
        <f aca="false">5000*31</f>
        <v>155000</v>
      </c>
      <c r="G28" s="363"/>
      <c r="H28" s="363" t="n">
        <f aca="false">+'[3]ELpaso SJ &amp; Prm'!$G57</f>
        <v>4.1575</v>
      </c>
      <c r="I28" s="364" t="n">
        <f aca="false">(+D28-H28)*F28</f>
        <v>138337.5</v>
      </c>
      <c r="J28" s="365"/>
      <c r="K28" s="365" t="n">
        <f aca="false">+I28</f>
        <v>138337.5</v>
      </c>
      <c r="L28" s="366" t="n">
        <f aca="false">IF(K28=0,0,IF(A28&lt;(Summary!$K$3+365),K28,0))</f>
        <v>138337.5</v>
      </c>
    </row>
    <row r="29" customFormat="false" ht="12.75" hidden="false" customHeight="false" outlineLevel="0" collapsed="false">
      <c r="A29" s="409" t="n">
        <v>37347</v>
      </c>
      <c r="B29" s="367" t="n">
        <v>22948</v>
      </c>
      <c r="C29" s="411" t="s">
        <v>62</v>
      </c>
      <c r="D29" s="363" t="n">
        <v>5.05</v>
      </c>
      <c r="E29" s="367"/>
      <c r="F29" s="362" t="n">
        <f aca="false">5000*30</f>
        <v>150000</v>
      </c>
      <c r="G29" s="363"/>
      <c r="H29" s="363" t="n">
        <f aca="false">+'[3]ELpaso SJ &amp; Prm'!$G58</f>
        <v>3.81</v>
      </c>
      <c r="I29" s="364" t="n">
        <f aca="false">(+D29-H29)*F29</f>
        <v>186000</v>
      </c>
      <c r="J29" s="365"/>
      <c r="K29" s="365" t="n">
        <f aca="false">+I29</f>
        <v>186000</v>
      </c>
      <c r="L29" s="366" t="n">
        <f aca="false">IF(K29=0,0,IF(A29&lt;(Summary!$K$3+365),K29,0))</f>
        <v>186000</v>
      </c>
    </row>
    <row r="30" customFormat="false" ht="12.75" hidden="false" customHeight="false" outlineLevel="0" collapsed="false">
      <c r="A30" s="409" t="n">
        <v>37377</v>
      </c>
      <c r="B30" s="367" t="n">
        <v>22948</v>
      </c>
      <c r="C30" s="411" t="s">
        <v>62</v>
      </c>
      <c r="D30" s="363" t="n">
        <v>5.05</v>
      </c>
      <c r="E30" s="367"/>
      <c r="F30" s="362" t="n">
        <f aca="false">5000*31</f>
        <v>155000</v>
      </c>
      <c r="G30" s="363"/>
      <c r="H30" s="363" t="n">
        <f aca="false">+'[3]ELpaso SJ &amp; Prm'!$G59</f>
        <v>3.735</v>
      </c>
      <c r="I30" s="364" t="n">
        <f aca="false">(+D30-H30)*F30</f>
        <v>203825</v>
      </c>
      <c r="J30" s="368"/>
      <c r="K30" s="365" t="n">
        <f aca="false">+I30</f>
        <v>203825</v>
      </c>
      <c r="L30" s="366" t="n">
        <f aca="false">IF(K30=0,0,IF(A30&lt;(Summary!$K$3+365),K30,0))</f>
        <v>203825</v>
      </c>
    </row>
    <row r="31" customFormat="false" ht="12.75" hidden="false" customHeight="false" outlineLevel="0" collapsed="false">
      <c r="A31" s="409" t="n">
        <v>37408</v>
      </c>
      <c r="B31" s="367" t="n">
        <v>22948</v>
      </c>
      <c r="C31" s="411" t="s">
        <v>62</v>
      </c>
      <c r="D31" s="363" t="n">
        <v>5.05</v>
      </c>
      <c r="E31" s="367"/>
      <c r="F31" s="362" t="n">
        <f aca="false">5000*30</f>
        <v>150000</v>
      </c>
      <c r="G31" s="363"/>
      <c r="H31" s="363" t="n">
        <f aca="false">+'[3]ELpaso SJ &amp; Prm'!$G60</f>
        <v>3.78</v>
      </c>
      <c r="I31" s="364" t="n">
        <f aca="false">(+D31-H31)*F31</f>
        <v>190500</v>
      </c>
      <c r="J31" s="368"/>
      <c r="K31" s="365" t="n">
        <f aca="false">+I31</f>
        <v>190500</v>
      </c>
      <c r="L31" s="366" t="n">
        <f aca="false">IF(K31=0,0,IF(A31&lt;(Summary!$K$3+365),K31,0))</f>
        <v>0</v>
      </c>
    </row>
    <row r="32" customFormat="false" ht="12.75" hidden="false" customHeight="false" outlineLevel="0" collapsed="false">
      <c r="A32" s="409" t="n">
        <v>37438</v>
      </c>
      <c r="B32" s="367" t="n">
        <v>22948</v>
      </c>
      <c r="C32" s="411" t="s">
        <v>62</v>
      </c>
      <c r="D32" s="363" t="n">
        <v>5.05</v>
      </c>
      <c r="E32" s="367"/>
      <c r="F32" s="362" t="n">
        <f aca="false">5000*31</f>
        <v>155000</v>
      </c>
      <c r="G32" s="363"/>
      <c r="H32" s="363" t="n">
        <f aca="false">+'[3]ELpaso SJ &amp; Prm'!$G61</f>
        <v>3.815</v>
      </c>
      <c r="I32" s="364" t="n">
        <f aca="false">(+D32-H32)*F32</f>
        <v>191425</v>
      </c>
      <c r="J32" s="368"/>
      <c r="K32" s="365" t="n">
        <f aca="false">+I32</f>
        <v>191425</v>
      </c>
      <c r="L32" s="366" t="n">
        <f aca="false">IF(K32=0,0,IF(A32&lt;(Summary!$K$3+365),K32,0))</f>
        <v>0</v>
      </c>
    </row>
    <row r="33" customFormat="false" ht="12.75" hidden="false" customHeight="false" outlineLevel="0" collapsed="false">
      <c r="A33" s="409" t="n">
        <v>37469</v>
      </c>
      <c r="B33" s="367" t="n">
        <v>22948</v>
      </c>
      <c r="C33" s="411" t="s">
        <v>62</v>
      </c>
      <c r="D33" s="363" t="n">
        <v>5.05</v>
      </c>
      <c r="E33" s="367"/>
      <c r="F33" s="362" t="n">
        <f aca="false">5000*31</f>
        <v>155000</v>
      </c>
      <c r="G33" s="363"/>
      <c r="H33" s="363" t="n">
        <f aca="false">+'[3]ELpaso SJ &amp; Prm'!$G62</f>
        <v>3.835</v>
      </c>
      <c r="I33" s="364" t="n">
        <f aca="false">(+D33-H33)*F33</f>
        <v>188325</v>
      </c>
      <c r="J33" s="368"/>
      <c r="K33" s="365" t="n">
        <f aca="false">+I33</f>
        <v>188325</v>
      </c>
      <c r="L33" s="366" t="n">
        <f aca="false">IF(K33=0,0,IF(A33&lt;(Summary!$K$3+365),K33,0))</f>
        <v>0</v>
      </c>
    </row>
    <row r="34" customFormat="false" ht="12.75" hidden="false" customHeight="false" outlineLevel="0" collapsed="false">
      <c r="A34" s="409" t="n">
        <v>37500</v>
      </c>
      <c r="B34" s="367" t="n">
        <v>22948</v>
      </c>
      <c r="C34" s="411" t="s">
        <v>62</v>
      </c>
      <c r="D34" s="363" t="n">
        <v>5.05</v>
      </c>
      <c r="E34" s="367"/>
      <c r="F34" s="362" t="n">
        <f aca="false">5000*30</f>
        <v>150000</v>
      </c>
      <c r="G34" s="363"/>
      <c r="H34" s="363" t="n">
        <f aca="false">+'[3]ELpaso SJ &amp; Prm'!$G63</f>
        <v>3.852</v>
      </c>
      <c r="I34" s="364" t="n">
        <f aca="false">(+D34-H34)*F34</f>
        <v>179700</v>
      </c>
      <c r="J34" s="368"/>
      <c r="K34" s="365" t="n">
        <f aca="false">+I34</f>
        <v>179700</v>
      </c>
      <c r="L34" s="366" t="n">
        <f aca="false">IF(K34=0,0,IF(A34&lt;(Summary!$K$3+365),K34,0))</f>
        <v>0</v>
      </c>
    </row>
    <row r="35" customFormat="false" ht="12.75" hidden="false" customHeight="false" outlineLevel="0" collapsed="false">
      <c r="A35" s="409" t="n">
        <v>37530</v>
      </c>
      <c r="B35" s="367" t="n">
        <v>22948</v>
      </c>
      <c r="C35" s="411" t="s">
        <v>62</v>
      </c>
      <c r="D35" s="363" t="n">
        <v>5.05</v>
      </c>
      <c r="E35" s="367"/>
      <c r="F35" s="362" t="n">
        <f aca="false">5000*31</f>
        <v>155000</v>
      </c>
      <c r="G35" s="363"/>
      <c r="H35" s="363" t="n">
        <f aca="false">+'[3]ELpaso SJ &amp; Prm'!$G64</f>
        <v>3.869</v>
      </c>
      <c r="I35" s="364" t="n">
        <f aca="false">(+D35-H35)*F35</f>
        <v>183055</v>
      </c>
      <c r="J35" s="368"/>
      <c r="K35" s="365" t="n">
        <f aca="false">+I35</f>
        <v>183055</v>
      </c>
      <c r="L35" s="366" t="n">
        <f aca="false">IF(K35=0,0,IF(A35&lt;(Summary!$K$3+365),K35,0))</f>
        <v>0</v>
      </c>
    </row>
    <row r="36" customFormat="false" ht="12.75" hidden="false" customHeight="false" outlineLevel="0" collapsed="false">
      <c r="A36" s="409" t="n">
        <v>37561</v>
      </c>
      <c r="B36" s="367" t="n">
        <v>22948</v>
      </c>
      <c r="C36" s="411" t="s">
        <v>62</v>
      </c>
      <c r="D36" s="363" t="n">
        <v>5.05</v>
      </c>
      <c r="E36" s="367"/>
      <c r="F36" s="362" t="n">
        <f aca="false">5000*30</f>
        <v>150000</v>
      </c>
      <c r="G36" s="363"/>
      <c r="H36" s="363" t="n">
        <f aca="false">+'[3]ELpaso SJ &amp; Prm'!$G65</f>
        <v>4.009</v>
      </c>
      <c r="I36" s="364" t="n">
        <f aca="false">(+D36-H36)*F36</f>
        <v>156150</v>
      </c>
      <c r="J36" s="368"/>
      <c r="K36" s="365" t="n">
        <f aca="false">+I36</f>
        <v>156150</v>
      </c>
      <c r="L36" s="366" t="n">
        <f aca="false">IF(K36=0,0,IF(A36&lt;(Summary!$K$3+365),K36,0))</f>
        <v>0</v>
      </c>
    </row>
    <row r="37" customFormat="false" ht="12.75" hidden="false" customHeight="false" outlineLevel="0" collapsed="false">
      <c r="A37" s="409" t="n">
        <v>37591</v>
      </c>
      <c r="B37" s="367" t="n">
        <v>22948</v>
      </c>
      <c r="C37" s="411" t="s">
        <v>62</v>
      </c>
      <c r="D37" s="363" t="n">
        <v>5.05</v>
      </c>
      <c r="E37" s="367"/>
      <c r="F37" s="362" t="n">
        <f aca="false">5000*31</f>
        <v>155000</v>
      </c>
      <c r="G37" s="363"/>
      <c r="H37" s="363" t="n">
        <f aca="false">+'[3]ELpaso SJ &amp; Prm'!$G66</f>
        <v>4.139</v>
      </c>
      <c r="I37" s="364" t="n">
        <f aca="false">(+D37-H37)*F37</f>
        <v>141205</v>
      </c>
      <c r="J37" s="368"/>
      <c r="K37" s="365" t="n">
        <f aca="false">+I37</f>
        <v>141205</v>
      </c>
      <c r="L37" s="366" t="n">
        <f aca="false">IF(K37=0,0,IF(A37&lt;(Summary!$K$3+365),K37,0))</f>
        <v>0</v>
      </c>
    </row>
    <row r="38" customFormat="false" ht="12.75" hidden="false" customHeight="false" outlineLevel="0" collapsed="false">
      <c r="A38" s="409"/>
      <c r="B38" s="367"/>
      <c r="C38" s="410"/>
      <c r="D38" s="363"/>
      <c r="E38" s="367"/>
      <c r="F38" s="362"/>
      <c r="G38" s="367"/>
      <c r="H38" s="363"/>
      <c r="I38" s="364"/>
      <c r="J38" s="368"/>
      <c r="K38" s="365"/>
      <c r="L38" s="359"/>
    </row>
    <row r="39" customFormat="false" ht="12.75" hidden="false" customHeight="false" outlineLevel="0" collapsed="false">
      <c r="A39" s="367"/>
      <c r="B39" s="367"/>
      <c r="C39" s="367"/>
      <c r="D39" s="370" t="n">
        <f aca="false">AVERAGE(D26:D37)</f>
        <v>5.05</v>
      </c>
      <c r="E39" s="367"/>
      <c r="F39" s="369" t="n">
        <f aca="false">SUM(F26:F38)</f>
        <v>1825000</v>
      </c>
      <c r="G39" s="367"/>
      <c r="H39" s="370" t="n">
        <f aca="false">AVERAGE(H26:H37)</f>
        <v>3.98095833333333</v>
      </c>
      <c r="I39" s="377" t="n">
        <f aca="false">SUM(I26:I38)</f>
        <v>1953820</v>
      </c>
      <c r="J39" s="377" t="n">
        <f aca="false">SUM(J26:J38)</f>
        <v>0</v>
      </c>
      <c r="K39" s="377" t="n">
        <f aca="false">SUM(K26:K38)</f>
        <v>1953820</v>
      </c>
      <c r="L39" s="371" t="n">
        <f aca="false">SUM(L26:L37)</f>
        <v>723460</v>
      </c>
    </row>
    <row r="40" customFormat="false" ht="12.75" hidden="false" customHeight="false" outlineLevel="0" collapsed="false">
      <c r="A40" s="359"/>
      <c r="B40" s="359"/>
      <c r="C40" s="359"/>
      <c r="D40" s="359"/>
      <c r="E40" s="359"/>
      <c r="F40" s="367"/>
      <c r="G40" s="367"/>
      <c r="H40" s="367"/>
      <c r="I40" s="367"/>
      <c r="J40" s="368"/>
      <c r="K40" s="368"/>
      <c r="L40" s="359"/>
    </row>
    <row r="41" customFormat="false" ht="13.5" hidden="false" customHeight="false" outlineLevel="0" collapsed="false">
      <c r="A41" s="359"/>
      <c r="B41" s="359"/>
      <c r="C41" s="359"/>
      <c r="D41" s="359"/>
      <c r="E41" s="359"/>
      <c r="F41" s="378" t="n">
        <f aca="false">+F39+F22</f>
        <v>0</v>
      </c>
      <c r="G41" s="367"/>
      <c r="H41" s="367"/>
      <c r="I41" s="379" t="n">
        <f aca="false">+I39+I22</f>
        <v>-22024.9999999998</v>
      </c>
      <c r="J41" s="379" t="n">
        <f aca="false">+J39+J22</f>
        <v>0</v>
      </c>
      <c r="K41" s="379" t="n">
        <f aca="false">+K39+K22</f>
        <v>-22024.9999999998</v>
      </c>
      <c r="L41" s="359"/>
    </row>
    <row r="42" customFormat="false" ht="13.5" hidden="false" customHeight="false" outlineLevel="0" collapsed="false">
      <c r="A42" s="380"/>
      <c r="B42" s="380"/>
      <c r="C42" s="380"/>
      <c r="D42" s="380"/>
      <c r="E42" s="380"/>
      <c r="F42" s="380"/>
      <c r="G42" s="380"/>
      <c r="H42" s="380"/>
      <c r="I42" s="380"/>
      <c r="J42" s="405"/>
      <c r="K42" s="405"/>
      <c r="L42" s="380"/>
    </row>
    <row r="44" customFormat="false" ht="12.75" hidden="false" customHeight="false" outlineLevel="0" collapsed="false">
      <c r="A44" s="8" t="s">
        <v>148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0.28"/>
    <col collapsed="false" customWidth="true" hidden="false" outlineLevel="0" max="4" min="4" style="0" width="12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1.7"/>
    <col collapsed="false" customWidth="true" hidden="false" outlineLevel="0" max="9" min="9" style="0" width="11.85"/>
    <col collapsed="false" customWidth="true" hidden="false" outlineLevel="0" max="10" min="10" style="0" width="13.41"/>
    <col collapsed="false" customWidth="true" hidden="false" outlineLevel="0" max="11" min="11" style="0" width="11.85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156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G5" s="413"/>
      <c r="H5" s="413"/>
    </row>
    <row r="6" customFormat="false" ht="12.75" hidden="false" customHeight="false" outlineLevel="0" collapsed="false">
      <c r="A6" s="384" t="s">
        <v>138</v>
      </c>
      <c r="B6" s="385" t="s">
        <v>5</v>
      </c>
      <c r="C6" s="385" t="s">
        <v>5</v>
      </c>
      <c r="D6" s="385" t="s">
        <v>31</v>
      </c>
      <c r="E6" s="385"/>
      <c r="F6" s="385"/>
      <c r="G6" s="385"/>
      <c r="H6" s="385" t="s">
        <v>63</v>
      </c>
      <c r="I6" s="386" t="s">
        <v>140</v>
      </c>
      <c r="J6" s="386"/>
      <c r="K6" s="386"/>
      <c r="L6" s="346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158</v>
      </c>
      <c r="I7" s="388" t="s">
        <v>23</v>
      </c>
      <c r="J7" s="388" t="s">
        <v>24</v>
      </c>
      <c r="K7" s="389" t="s">
        <v>25</v>
      </c>
      <c r="L7" s="350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 t="s">
        <v>160</v>
      </c>
      <c r="I8" s="388" t="s">
        <v>145</v>
      </c>
      <c r="J8" s="388" t="s">
        <v>145</v>
      </c>
      <c r="K8" s="389" t="s">
        <v>145</v>
      </c>
      <c r="L8" s="359"/>
    </row>
    <row r="9" customFormat="false" ht="12.75" hidden="false" customHeight="false" outlineLevel="0" collapsed="false">
      <c r="A9" s="390"/>
      <c r="B9" s="391"/>
      <c r="C9" s="391"/>
      <c r="D9" s="417" t="n">
        <v>-0.21</v>
      </c>
      <c r="E9" s="391"/>
      <c r="F9" s="391"/>
      <c r="G9" s="393"/>
      <c r="H9" s="392"/>
      <c r="I9" s="392"/>
      <c r="J9" s="392"/>
      <c r="K9" s="394"/>
      <c r="L9" s="357" t="s">
        <v>146</v>
      </c>
    </row>
    <row r="10" customFormat="false" ht="12.75" hidden="false" customHeight="false" outlineLevel="0" collapsed="false">
      <c r="A10" s="358" t="n">
        <v>37226</v>
      </c>
      <c r="B10" s="359"/>
      <c r="C10" s="360" t="s">
        <v>44</v>
      </c>
      <c r="D10" s="361" t="n">
        <f aca="false">[3]NYMEX!$C$14+$D$9</f>
        <v>4.163</v>
      </c>
      <c r="E10" s="359"/>
      <c r="F10" s="395" t="n">
        <f aca="false">-13500*31</f>
        <v>-418500</v>
      </c>
      <c r="G10" s="395" t="n">
        <f aca="false">+F10/31</f>
        <v>-13500</v>
      </c>
      <c r="H10" s="361" t="n">
        <f aca="false">+'[3]ELpaso SJ &amp; Prm'!$F$15</f>
        <v>4.133</v>
      </c>
      <c r="I10" s="396" t="n">
        <f aca="false">SUM(-D10+H10)*F10</f>
        <v>12555.0000000001</v>
      </c>
      <c r="J10" s="397"/>
      <c r="K10" s="397" t="n">
        <f aca="false">+I10</f>
        <v>12555.0000000001</v>
      </c>
      <c r="L10" s="366" t="n">
        <f aca="false">IF(K10=0,0,IF(A10&lt;(Summary!$K$3+365),K10,0))</f>
        <v>12555.0000000001</v>
      </c>
    </row>
    <row r="11" customFormat="false" ht="12.75" hidden="false" customHeight="false" outlineLevel="0" collapsed="false">
      <c r="A11" s="358"/>
      <c r="B11" s="359"/>
      <c r="C11" s="360"/>
      <c r="D11" s="418"/>
      <c r="E11" s="359"/>
      <c r="F11" s="419"/>
      <c r="G11" s="395"/>
      <c r="H11" s="418"/>
      <c r="I11" s="420"/>
      <c r="J11" s="420"/>
      <c r="K11" s="421"/>
      <c r="L11" s="359"/>
    </row>
    <row r="12" customFormat="false" ht="12.75" hidden="false" customHeight="false" outlineLevel="0" collapsed="false">
      <c r="A12" s="358"/>
      <c r="B12" s="359"/>
      <c r="C12" s="360"/>
      <c r="D12" s="361"/>
      <c r="E12" s="359"/>
      <c r="F12" s="395" t="n">
        <f aca="false">SUM(F10:F11)</f>
        <v>-418500</v>
      </c>
      <c r="G12" s="359"/>
      <c r="H12" s="361"/>
      <c r="I12" s="396" t="n">
        <f aca="false">SUM(I10:I11)</f>
        <v>12555.0000000001</v>
      </c>
      <c r="J12" s="396" t="n">
        <f aca="false">SUM(J10:J11)</f>
        <v>0</v>
      </c>
      <c r="K12" s="396" t="n">
        <f aca="false">SUM(K10:K11)</f>
        <v>12555.0000000001</v>
      </c>
      <c r="L12" s="396" t="n">
        <f aca="false">SUM(L10:L11)</f>
        <v>12555.0000000001</v>
      </c>
    </row>
    <row r="13" customFormat="false" ht="12.75" hidden="false" customHeight="false" outlineLevel="0" collapsed="false">
      <c r="A13" s="358"/>
      <c r="B13" s="359"/>
      <c r="C13" s="360"/>
      <c r="D13" s="361"/>
      <c r="E13" s="359"/>
      <c r="F13" s="395"/>
      <c r="G13" s="422"/>
      <c r="H13" s="361"/>
      <c r="I13" s="396"/>
      <c r="J13" s="398"/>
      <c r="K13" s="423"/>
      <c r="L13" s="423"/>
    </row>
    <row r="14" customFormat="false" ht="12.75" hidden="false" customHeight="false" outlineLevel="0" collapsed="false">
      <c r="A14" s="358"/>
      <c r="B14" s="359"/>
      <c r="C14" s="360"/>
      <c r="D14" s="361"/>
      <c r="E14" s="359"/>
      <c r="F14" s="395"/>
      <c r="G14" s="359"/>
      <c r="H14" s="361"/>
      <c r="I14" s="396"/>
      <c r="J14" s="398"/>
      <c r="K14" s="423"/>
      <c r="L14" s="423"/>
    </row>
    <row r="15" customFormat="false" ht="13.5" hidden="false" customHeight="false" outlineLevel="0" collapsed="false">
      <c r="A15" s="358"/>
      <c r="B15" s="359"/>
      <c r="C15" s="360"/>
      <c r="D15" s="361"/>
      <c r="E15" s="359"/>
      <c r="F15" s="424" t="n">
        <f aca="false">+F12</f>
        <v>-418500</v>
      </c>
      <c r="G15" s="359"/>
      <c r="H15" s="359"/>
      <c r="I15" s="425" t="n">
        <f aca="false">+I12</f>
        <v>12555.0000000001</v>
      </c>
      <c r="J15" s="425" t="n">
        <f aca="false">+J12</f>
        <v>0</v>
      </c>
      <c r="K15" s="425" t="n">
        <f aca="false">+K12</f>
        <v>12555.0000000001</v>
      </c>
      <c r="L15" s="425" t="n">
        <f aca="false">+L12</f>
        <v>12555.0000000001</v>
      </c>
    </row>
    <row r="16" customFormat="false" ht="13.5" hidden="false" customHeight="false" outlineLevel="0" collapsed="false">
      <c r="A16" s="380"/>
      <c r="B16" s="380"/>
      <c r="C16" s="380"/>
      <c r="D16" s="380"/>
      <c r="E16" s="380"/>
      <c r="F16" s="380"/>
      <c r="G16" s="380"/>
      <c r="H16" s="380"/>
      <c r="I16" s="380"/>
      <c r="J16" s="405"/>
      <c r="K16" s="405"/>
      <c r="L16" s="380"/>
    </row>
    <row r="18" customFormat="false" ht="12.75" hidden="false" customHeight="false" outlineLevel="0" collapsed="false">
      <c r="A18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8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4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56"/>
    <col collapsed="false" customWidth="true" hidden="false" outlineLevel="0" max="8" min="8" style="0" width="16.7"/>
    <col collapsed="false" customWidth="true" hidden="false" outlineLevel="0" max="9" min="9" style="0" width="19.28"/>
    <col collapsed="false" customWidth="true" hidden="false" outlineLevel="0" max="10" min="10" style="0" width="11.7"/>
    <col collapsed="false" customWidth="true" hidden="false" outlineLevel="0" max="11" min="11" style="0" width="13.99"/>
    <col collapsed="false" customWidth="true" hidden="false" outlineLevel="0" max="12" min="12" style="0" width="17.28"/>
  </cols>
  <sheetData>
    <row r="1" customFormat="false" ht="15" hidden="false" customHeight="false" outlineLevel="0" collapsed="false">
      <c r="A1" s="339" t="s">
        <v>135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customFormat="false" ht="15" hidden="false" customHeight="false" outlineLevel="0" collapsed="false">
      <c r="A2" s="339" t="s">
        <v>155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</row>
    <row r="3" customFormat="false" ht="15.75" hidden="false" customHeight="false" outlineLevel="0" collapsed="false">
      <c r="A3" s="339" t="s">
        <v>161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1"/>
    </row>
    <row r="4" customFormat="false" ht="15.75" hidden="false" customHeight="false" outlineLevel="0" collapsed="false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341"/>
    </row>
    <row r="5" customFormat="false" ht="12.75" hidden="false" customHeight="false" outlineLevel="0" collapsed="false">
      <c r="A5" s="383"/>
      <c r="B5" s="383"/>
      <c r="C5" s="383"/>
      <c r="D5" s="383"/>
      <c r="E5" s="383"/>
      <c r="F5" s="383"/>
      <c r="G5" s="426"/>
      <c r="H5" s="426"/>
      <c r="I5" s="383"/>
      <c r="J5" s="383"/>
      <c r="K5" s="383"/>
    </row>
    <row r="6" customFormat="false" ht="12.75" hidden="false" customHeight="false" outlineLevel="0" collapsed="false">
      <c r="A6" s="387" t="s">
        <v>138</v>
      </c>
      <c r="B6" s="385" t="s">
        <v>5</v>
      </c>
      <c r="C6" s="385" t="s">
        <v>5</v>
      </c>
      <c r="D6" s="385" t="s">
        <v>44</v>
      </c>
      <c r="E6" s="385"/>
      <c r="F6" s="385"/>
      <c r="G6" s="385"/>
      <c r="H6" s="385" t="s">
        <v>31</v>
      </c>
      <c r="I6" s="386" t="s">
        <v>140</v>
      </c>
      <c r="J6" s="386"/>
      <c r="K6" s="386"/>
      <c r="L6" s="407"/>
    </row>
    <row r="7" customFormat="false" ht="12.75" hidden="false" customHeight="false" outlineLevel="0" collapsed="false">
      <c r="A7" s="387" t="s">
        <v>15</v>
      </c>
      <c r="B7" s="388" t="s">
        <v>12</v>
      </c>
      <c r="C7" s="388" t="s">
        <v>11</v>
      </c>
      <c r="D7" s="388" t="s">
        <v>157</v>
      </c>
      <c r="E7" s="388"/>
      <c r="F7" s="388"/>
      <c r="G7" s="388"/>
      <c r="H7" s="388" t="s">
        <v>162</v>
      </c>
      <c r="I7" s="388" t="s">
        <v>23</v>
      </c>
      <c r="J7" s="388" t="s">
        <v>24</v>
      </c>
      <c r="K7" s="388" t="s">
        <v>25</v>
      </c>
      <c r="L7" s="427"/>
    </row>
    <row r="8" customFormat="false" ht="12.75" hidden="false" customHeight="false" outlineLevel="0" collapsed="false">
      <c r="A8" s="414"/>
      <c r="B8" s="415"/>
      <c r="C8" s="415"/>
      <c r="D8" s="388" t="s">
        <v>159</v>
      </c>
      <c r="E8" s="415"/>
      <c r="F8" s="415"/>
      <c r="G8" s="416"/>
      <c r="H8" s="388" t="s">
        <v>163</v>
      </c>
      <c r="I8" s="388" t="s">
        <v>145</v>
      </c>
      <c r="J8" s="388" t="s">
        <v>145</v>
      </c>
      <c r="K8" s="388" t="s">
        <v>145</v>
      </c>
      <c r="L8" s="427"/>
    </row>
    <row r="9" customFormat="false" ht="12.75" hidden="false" customHeight="false" outlineLevel="0" collapsed="false">
      <c r="A9" s="351"/>
      <c r="B9" s="352"/>
      <c r="C9" s="352"/>
      <c r="D9" s="417" t="n">
        <v>0.9</v>
      </c>
      <c r="E9" s="352"/>
      <c r="F9" s="352"/>
      <c r="G9" s="354"/>
      <c r="H9" s="355"/>
      <c r="I9" s="355"/>
      <c r="J9" s="355"/>
      <c r="K9" s="356"/>
      <c r="L9" s="428" t="s">
        <v>146</v>
      </c>
    </row>
    <row r="10" customFormat="false" ht="12.75" hidden="false" customHeight="false" outlineLevel="0" collapsed="false">
      <c r="A10" s="358" t="n">
        <v>37226</v>
      </c>
      <c r="B10" s="359"/>
      <c r="C10" s="360" t="s">
        <v>44</v>
      </c>
      <c r="D10" s="361" t="n">
        <f aca="false">[3]NYMEX!$C14+$D$9</f>
        <v>5.273</v>
      </c>
      <c r="E10" s="359"/>
      <c r="F10" s="395" t="n">
        <f aca="false">13500*31</f>
        <v>418500</v>
      </c>
      <c r="G10" s="395" t="n">
        <f aca="false">+F10/31</f>
        <v>13500</v>
      </c>
      <c r="H10" s="361" t="n">
        <f aca="false">+'[3]NGI Socal'!$E9</f>
        <v>7.923</v>
      </c>
      <c r="I10" s="396" t="n">
        <f aca="false">SUM(-D10+H10)*F10</f>
        <v>1109025</v>
      </c>
      <c r="J10" s="397"/>
      <c r="K10" s="397" t="n">
        <f aca="false">+I10</f>
        <v>1109025</v>
      </c>
      <c r="L10" s="366" t="n">
        <f aca="false">IF(K10=0,0,IF(A10&lt;(Summary!$K$3+365),K10,0))</f>
        <v>1109025</v>
      </c>
    </row>
    <row r="11" customFormat="false" ht="12.75" hidden="false" customHeight="false" outlineLevel="0" collapsed="false">
      <c r="A11" s="358"/>
      <c r="B11" s="359"/>
      <c r="C11" s="360"/>
      <c r="D11" s="418"/>
      <c r="E11" s="359"/>
      <c r="F11" s="419"/>
      <c r="G11" s="395"/>
      <c r="H11" s="418"/>
      <c r="I11" s="420"/>
      <c r="J11" s="420"/>
      <c r="K11" s="421"/>
      <c r="L11" s="359"/>
    </row>
    <row r="12" customFormat="false" ht="12.75" hidden="false" customHeight="false" outlineLevel="0" collapsed="false">
      <c r="A12" s="358"/>
      <c r="B12" s="359"/>
      <c r="C12" s="360"/>
      <c r="D12" s="361"/>
      <c r="E12" s="359"/>
      <c r="F12" s="395" t="n">
        <f aca="false">SUM(F10:F11)</f>
        <v>418500</v>
      </c>
      <c r="G12" s="359"/>
      <c r="H12" s="361"/>
      <c r="I12" s="396" t="n">
        <f aca="false">SUM(I10:I11)</f>
        <v>1109025</v>
      </c>
      <c r="J12" s="396" t="n">
        <f aca="false">SUM(J10:J11)</f>
        <v>0</v>
      </c>
      <c r="K12" s="396" t="n">
        <f aca="false">SUM(K10:K11)</f>
        <v>1109025</v>
      </c>
      <c r="L12" s="396" t="n">
        <f aca="false">SUM(L10:L11)</f>
        <v>1109025</v>
      </c>
    </row>
    <row r="13" customFormat="false" ht="12.75" hidden="false" customHeight="false" outlineLevel="0" collapsed="false">
      <c r="A13" s="358"/>
      <c r="B13" s="359"/>
      <c r="C13" s="360"/>
      <c r="D13" s="361"/>
      <c r="E13" s="359"/>
      <c r="F13" s="395"/>
      <c r="G13" s="422"/>
      <c r="H13" s="361"/>
      <c r="I13" s="396"/>
      <c r="J13" s="398"/>
      <c r="K13" s="423"/>
      <c r="L13" s="423"/>
    </row>
    <row r="14" customFormat="false" ht="12.75" hidden="false" customHeight="false" outlineLevel="0" collapsed="false">
      <c r="A14" s="358"/>
      <c r="B14" s="359"/>
      <c r="C14" s="360"/>
      <c r="D14" s="361"/>
      <c r="E14" s="359"/>
      <c r="F14" s="395"/>
      <c r="G14" s="359"/>
      <c r="H14" s="359"/>
      <c r="I14" s="396"/>
      <c r="J14" s="398"/>
      <c r="K14" s="423"/>
      <c r="L14" s="423"/>
    </row>
    <row r="15" customFormat="false" ht="13.5" hidden="false" customHeight="false" outlineLevel="0" collapsed="false">
      <c r="A15" s="358"/>
      <c r="B15" s="359"/>
      <c r="C15" s="360"/>
      <c r="D15" s="361"/>
      <c r="E15" s="359"/>
      <c r="F15" s="424" t="n">
        <f aca="false">+F12</f>
        <v>418500</v>
      </c>
      <c r="G15" s="359"/>
      <c r="H15" s="359"/>
      <c r="I15" s="425" t="n">
        <f aca="false">+I12</f>
        <v>1109025</v>
      </c>
      <c r="J15" s="425" t="n">
        <f aca="false">+J12</f>
        <v>0</v>
      </c>
      <c r="K15" s="425" t="n">
        <f aca="false">+K12</f>
        <v>1109025</v>
      </c>
      <c r="L15" s="425" t="n">
        <f aca="false">+L12</f>
        <v>1109025</v>
      </c>
    </row>
    <row r="16" customFormat="false" ht="13.5" hidden="false" customHeight="false" outlineLevel="0" collapsed="false">
      <c r="A16" s="380"/>
      <c r="B16" s="380"/>
      <c r="C16" s="380"/>
      <c r="D16" s="380"/>
      <c r="E16" s="380"/>
      <c r="F16" s="380"/>
      <c r="G16" s="380"/>
      <c r="H16" s="380"/>
      <c r="I16" s="380"/>
      <c r="J16" s="405"/>
      <c r="K16" s="405"/>
      <c r="L16" s="405"/>
    </row>
    <row r="18" customFormat="false" ht="12.75" hidden="false" customHeight="false" outlineLevel="0" collapsed="false">
      <c r="A18" s="8" t="s">
        <v>148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1999-02-26T11:35:48Z</dcterms:created>
  <dc:creator> </dc:creator>
  <dc:description/>
  <dc:language>en-US</dc:language>
  <cp:lastModifiedBy>vstrohme</cp:lastModifiedBy>
  <cp:lastPrinted>2001-06-08T11:46:17Z</cp:lastPrinted>
  <dcterms:modified xsi:type="dcterms:W3CDTF">2001-06-08T12:07:52Z</dcterms:modified>
  <cp:revision>0</cp:revision>
  <dc:subject/>
  <dc:title/>
</cp:coreProperties>
</file>