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ENA_9" sheetId="2" state="visible" r:id="rId4"/>
    <sheet name="ENA_11" sheetId="3" state="visible" r:id="rId5"/>
    <sheet name="ENA_12" sheetId="4" state="visible" r:id="rId6"/>
    <sheet name="ENA_13" sheetId="5" state="visible" r:id="rId7"/>
    <sheet name="Elpaso_6" sheetId="6" state="visible" r:id="rId8"/>
    <sheet name="TC #HJN1001" sheetId="7" state="visible" r:id="rId9"/>
    <sheet name="TC #HJN1002" sheetId="8" state="visible" r:id="rId10"/>
    <sheet name="ENA #QH8057.1" sheetId="9" state="visible" r:id="rId11"/>
    <sheet name="ENA #QF8229.1" sheetId="10" state="visible" r:id="rId12"/>
    <sheet name="ENA #QF1003.1" sheetId="11" state="visible" r:id="rId13"/>
    <sheet name="ENA #QF0992.1" sheetId="12" state="visible" r:id="rId14"/>
    <sheet name="M337849" sheetId="13" state="visible" r:id="rId15"/>
    <sheet name="QK7503.1" sheetId="14" state="visible" r:id="rId16"/>
    <sheet name="12007624" sheetId="15" state="visible" r:id="rId17"/>
    <sheet name="SW17" sheetId="16" state="visible" r:id="rId18"/>
    <sheet name="SW18" sheetId="17" state="visible" r:id="rId19"/>
    <sheet name="HJN1003" sheetId="18" state="visible" r:id="rId20"/>
    <sheet name="HJN1004" sheetId="19" state="visible" r:id="rId21"/>
    <sheet name="QL2915.1" sheetId="20" state="visible" r:id="rId22"/>
    <sheet name="QL2918.1" sheetId="21" state="visible" r:id="rId23"/>
    <sheet name="1129080" sheetId="22" state="visible" r:id="rId24"/>
    <sheet name="ENA #QN5116.1" sheetId="23" state="visible" r:id="rId25"/>
    <sheet name="Cal 02.a" sheetId="24" state="visible" r:id="rId26"/>
    <sheet name="Cal 02.b" sheetId="25" state="visible" r:id="rId27"/>
    <sheet name="QL5358.1" sheetId="26" state="visible" r:id="rId28"/>
    <sheet name="QL5357.1" sheetId="27" state="visible" r:id="rId29"/>
    <sheet name="QL9273.1" sheetId="28" state="visible" r:id="rId30"/>
    <sheet name="QL9270.1" sheetId="29" state="visible" r:id="rId31"/>
    <sheet name="QL5363.1" sheetId="30" state="visible" r:id="rId32"/>
    <sheet name="QL5365.1" sheetId="31" state="visible" r:id="rId33"/>
    <sheet name="QL5444.1" sheetId="32" state="visible" r:id="rId34"/>
    <sheet name="QL5424.1" sheetId="33" state="visible" r:id="rId35"/>
    <sheet name="RMTC_2-expired" sheetId="34" state="visible" r:id="rId36"/>
    <sheet name="ENA #QA4309.1-Expired" sheetId="35" state="visible" r:id="rId37"/>
    <sheet name="ENA #QA5217.1-Expired" sheetId="36" state="visible" r:id="rId38"/>
    <sheet name="ElPaso #1009351-Expired" sheetId="37" state="visible" r:id="rId39"/>
    <sheet name="ENA_19-Expired" sheetId="38" state="visible" r:id="rId40"/>
    <sheet name="El Paso_18-Expired" sheetId="39" state="visible" r:id="rId41"/>
    <sheet name="ENA_#QO886.1-Expired" sheetId="40" state="visible" r:id="rId42"/>
    <sheet name="ENA O6763.1-Expired" sheetId="41" state="visible" r:id="rId43"/>
    <sheet name="ENA_10-Expired" sheetId="42" state="visible" r:id="rId44"/>
    <sheet name="Sempra_1_Expired" sheetId="43" state="visible" r:id="rId45"/>
    <sheet name="MEC_8_Expired" sheetId="44" state="visible" r:id="rId46"/>
    <sheet name="Avista_1_Expired" sheetId="45" state="visible" r:id="rId47"/>
    <sheet name="Avista_2_Expired" sheetId="46" state="visible" r:id="rId48"/>
    <sheet name="Sempra_2_Expired" sheetId="47" state="visible" r:id="rId49"/>
    <sheet name="Sempra_2.1_Expired" sheetId="48" state="visible" r:id="rId50"/>
  </sheets>
  <externalReferences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function="false" hidden="false" localSheetId="44" name="_xlnm.Print_Area" vbProcedure="false">Avista_1_Expired!$A$1:$K$41</definedName>
    <definedName function="false" hidden="false" localSheetId="45" name="_xlnm.Print_Area" vbProcedure="false">Avista_2_Expired!$A$1:$K$46</definedName>
    <definedName function="false" hidden="false" localSheetId="42" name="_xlnm.Print_Area" vbProcedure="false">Sempra_1_Expired!$A$1:$K$44</definedName>
    <definedName function="false" hidden="false" localSheetId="0" name="_xlnm.Print_Area" vbProcedure="false">Summary!$1:$65536</definedName>
    <definedName function="false" hidden="false" localSheetId="0" name="_xlnm.Print_Titles" vbProcedure="false">Summary!$1:$5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<sst xmlns="http://schemas.openxmlformats.org/spreadsheetml/2006/main" count="2182" uniqueCount="288">
  <si>
    <t xml:space="preserve">ENRON TRANSPORTATION SERVICES</t>
  </si>
  <si>
    <t xml:space="preserve">RISK BOOK </t>
  </si>
  <si>
    <t xml:space="preserve">SUMMARY</t>
  </si>
  <si>
    <t xml:space="preserve">As of January 31, 2001</t>
  </si>
  <si>
    <t xml:space="preserve">Hedged Position Summary</t>
  </si>
  <si>
    <t xml:space="preserve">Company</t>
  </si>
  <si>
    <t xml:space="preserve">Contract</t>
  </si>
  <si>
    <t xml:space="preserve">Hedge</t>
  </si>
  <si>
    <t xml:space="preserve">Trade</t>
  </si>
  <si>
    <t xml:space="preserve">Avg.</t>
  </si>
  <si>
    <t xml:space="preserve">Spread</t>
  </si>
  <si>
    <t xml:space="preserve">Dth/d</t>
  </si>
  <si>
    <t xml:space="preserve">Name</t>
  </si>
  <si>
    <t xml:space="preserve">Number</t>
  </si>
  <si>
    <t xml:space="preserve">Type</t>
  </si>
  <si>
    <t xml:space="preserve">Term</t>
  </si>
  <si>
    <t xml:space="preserve">Date</t>
  </si>
  <si>
    <t xml:space="preserve">Price</t>
  </si>
  <si>
    <t xml:space="preserve">Actual/</t>
  </si>
  <si>
    <t xml:space="preserve">Volume</t>
  </si>
  <si>
    <t xml:space="preserve">Gains and (Losses)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</si>
  <si>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</si>
  <si>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</si>
  <si>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</si>
  <si>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</si>
  <si>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</si>
  <si>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OCI</t>
  </si>
  <si>
    <t xml:space="preserve">Prices</t>
  </si>
  <si>
    <t xml:space="preserve">Long</t>
  </si>
  <si>
    <t xml:space="preserve">(3)</t>
  </si>
  <si>
    <t xml:space="preserve">NNG</t>
  </si>
  <si>
    <t xml:space="preserve">TW</t>
  </si>
  <si>
    <t xml:space="preserve">Avista</t>
  </si>
  <si>
    <t xml:space="preserve">F</t>
  </si>
  <si>
    <t xml:space="preserve">06/98-05/99</t>
  </si>
  <si>
    <t xml:space="preserve">Engage</t>
  </si>
  <si>
    <t xml:space="preserve">P</t>
  </si>
  <si>
    <t xml:space="preserve">Sempra</t>
  </si>
  <si>
    <t xml:space="preserve"> 06/99-05/00</t>
  </si>
  <si>
    <t xml:space="preserve">10/98-12/99</t>
  </si>
  <si>
    <t xml:space="preserve">Over-rtnd</t>
  </si>
  <si>
    <t xml:space="preserve">05/99-12/99</t>
  </si>
  <si>
    <t xml:space="preserve">RMTC</t>
  </si>
  <si>
    <t xml:space="preserve">Financial</t>
  </si>
  <si>
    <t xml:space="preserve">01/00-12/00</t>
  </si>
  <si>
    <t xml:space="preserve">Physical</t>
  </si>
  <si>
    <t xml:space="preserve">El Paso</t>
  </si>
  <si>
    <t xml:space="preserve"> 06/02-10/02 (5)</t>
  </si>
  <si>
    <t xml:space="preserve">MEC</t>
  </si>
  <si>
    <t xml:space="preserve">11/99-04/00</t>
  </si>
  <si>
    <t xml:space="preserve">ENA</t>
  </si>
  <si>
    <t xml:space="preserve">NI8156.1</t>
  </si>
  <si>
    <t xml:space="preserve">01/01-12/01</t>
  </si>
  <si>
    <t xml:space="preserve">Sale</t>
  </si>
  <si>
    <t xml:space="preserve">NK4742.1</t>
  </si>
  <si>
    <t xml:space="preserve">Richardson</t>
  </si>
  <si>
    <t xml:space="preserve">NT6154.1</t>
  </si>
  <si>
    <t xml:space="preserve">NV5358.1</t>
  </si>
  <si>
    <t xml:space="preserve">TransCanada</t>
  </si>
  <si>
    <t xml:space="preserve">HJN1001 HJN1002</t>
  </si>
  <si>
    <t xml:space="preserve">01/01/01-03/31/01</t>
  </si>
  <si>
    <t xml:space="preserve">12/11/00 12/21/00</t>
  </si>
  <si>
    <t xml:space="preserve">QH8057.1 QF8229.1 QF0992.1 QF1003.1</t>
  </si>
  <si>
    <t xml:space="preserve">12/06/00 12/11/00 12/21/00</t>
  </si>
  <si>
    <t xml:space="preserve">Aquila, Oneok</t>
  </si>
  <si>
    <t xml:space="preserve">Anticipated</t>
  </si>
  <si>
    <t xml:space="preserve">Transport</t>
  </si>
  <si>
    <t xml:space="preserve">Aquila</t>
  </si>
  <si>
    <t xml:space="preserve">HJN1004</t>
  </si>
  <si>
    <t xml:space="preserve">02/01/01-03/31/01</t>
  </si>
  <si>
    <t xml:space="preserve">HJN1003</t>
  </si>
  <si>
    <t xml:space="preserve">RTMC</t>
  </si>
  <si>
    <t xml:space="preserve">QL5363.1</t>
  </si>
  <si>
    <t xml:space="preserve">12/01/01-12/31/01</t>
  </si>
  <si>
    <t xml:space="preserve">QL5365.1</t>
  </si>
  <si>
    <t xml:space="preserve">Dynegy</t>
  </si>
  <si>
    <t xml:space="preserve">QL2915.1</t>
  </si>
  <si>
    <t xml:space="preserve">01/01/02-12/31/02</t>
  </si>
  <si>
    <t xml:space="preserve">QL2918.1</t>
  </si>
  <si>
    <t xml:space="preserve">Reliant</t>
  </si>
  <si>
    <t xml:space="preserve">QL5424.1</t>
  </si>
  <si>
    <t xml:space="preserve">11/01/02-12/31/02</t>
  </si>
  <si>
    <t xml:space="preserve">QL5444.1</t>
  </si>
  <si>
    <t xml:space="preserve">QL5357.1</t>
  </si>
  <si>
    <t xml:space="preserve">01/01/03-12/31/03</t>
  </si>
  <si>
    <t xml:space="preserve">QL5358.1</t>
  </si>
  <si>
    <t xml:space="preserve">QL9270.1</t>
  </si>
  <si>
    <t xml:space="preserve">QL9273.1</t>
  </si>
  <si>
    <t xml:space="preserve">Calpine</t>
  </si>
  <si>
    <t xml:space="preserve">QN5116.1</t>
  </si>
  <si>
    <t xml:space="preserve">03/01/01-03/31/01</t>
  </si>
  <si>
    <t xml:space="preserve">See Note 1</t>
  </si>
  <si>
    <t xml:space="preserve">Total OCI</t>
  </si>
  <si>
    <t xml:space="preserve">Note 1:  Hedges are perfectly correlated.</t>
  </si>
  <si>
    <t xml:space="preserve">OTHER TRADE</t>
  </si>
  <si>
    <t xml:space="preserve">Speculative Gains and (Losses)</t>
  </si>
  <si>
    <t xml:space="preserve">Short(-)</t>
  </si>
  <si>
    <t xml:space="preserve">Settled</t>
  </si>
  <si>
    <t xml:space="preserve">Mark to Mrkt</t>
  </si>
  <si>
    <t xml:space="preserve">Speculative Gains/(Losses)</t>
  </si>
  <si>
    <t xml:space="preserve">Long(+)</t>
  </si>
  <si>
    <t xml:space="preserve">Index less $.104</t>
  </si>
  <si>
    <t xml:space="preserve"> 06/02-10/02 (4)</t>
  </si>
  <si>
    <t xml:space="preserve">11/00-10/02</t>
  </si>
  <si>
    <t xml:space="preserve">SW17</t>
  </si>
  <si>
    <t xml:space="preserve">02/01/01-12/31/01</t>
  </si>
  <si>
    <t xml:space="preserve">SW18</t>
  </si>
  <si>
    <t xml:space="preserve">M337849</t>
  </si>
  <si>
    <t xml:space="preserve">12/26/00-11/25/02</t>
  </si>
  <si>
    <t xml:space="preserve">Reliant Energy</t>
  </si>
  <si>
    <t xml:space="preserve">04/01/02-04/30/02</t>
  </si>
  <si>
    <t xml:space="preserve">QK7503.1</t>
  </si>
  <si>
    <t xml:space="preserve">Missing</t>
  </si>
  <si>
    <t xml:space="preserve">02/01/02-12/31/02</t>
  </si>
  <si>
    <t xml:space="preserve">Note 3:  Gain and Losses are a measurement of the effectiveness of meeting the </t>
  </si>
  <si>
    <t xml:space="preserve">Last month speculative risk management asset</t>
  </si>
  <si>
    <t xml:space="preserve">              stated hedge objective.</t>
  </si>
  <si>
    <t xml:space="preserve">     Increase due to $CAD price changes from 12/31/00 to</t>
  </si>
  <si>
    <t xml:space="preserve">        01/31/00</t>
  </si>
  <si>
    <t xml:space="preserve">Note 4:  Margin call:  $  1,000,000 - NNG</t>
  </si>
  <si>
    <t xml:space="preserve">     January additions to risk management asset</t>
  </si>
  <si>
    <t xml:space="preserve">                                   $30,000,000 - El Paso</t>
  </si>
  <si>
    <t xml:space="preserve">     Less January settled amount</t>
  </si>
  <si>
    <t xml:space="preserve">Speculative asset</t>
  </si>
  <si>
    <t xml:space="preserve">Hedging liability</t>
  </si>
  <si>
    <t xml:space="preserve">Total risk management asset/(liability)</t>
  </si>
  <si>
    <t xml:space="preserve">TRANSWESTERN PIPELINE COMPANY</t>
  </si>
  <si>
    <t xml:space="preserve">FUEL HEDGING BOOK</t>
  </si>
  <si>
    <t xml:space="preserve">Enron North America_9</t>
  </si>
  <si>
    <t xml:space="preserve">Prod.</t>
  </si>
  <si>
    <t xml:space="preserve">Fuel</t>
  </si>
  <si>
    <t xml:space="preserve">(Gains) and Losses</t>
  </si>
  <si>
    <t xml:space="preserve">Fixed</t>
  </si>
  <si>
    <t xml:space="preserve">Dth</t>
  </si>
  <si>
    <t xml:space="preserve">Floating </t>
  </si>
  <si>
    <t xml:space="preserve">El Paso Prmn</t>
  </si>
  <si>
    <t xml:space="preserve">(4)</t>
  </si>
  <si>
    <t xml:space="preserve">Over-retention</t>
  </si>
  <si>
    <t xml:space="preserve">(4)Gain and Losses are a measurement of the effectiveness of meeting the stated hedge objective.</t>
  </si>
  <si>
    <t xml:space="preserve">Enron North America_11</t>
  </si>
  <si>
    <t xml:space="preserve">ENA </t>
  </si>
  <si>
    <t xml:space="preserve">Floating</t>
  </si>
  <si>
    <t xml:space="preserve">Enron North America_12</t>
  </si>
  <si>
    <t xml:space="preserve">Enron North America_13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</si>
  <si>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</si>
  <si>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</si>
  <si>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</si>
  <si>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</si>
  <si>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Risk Book</t>
  </si>
  <si>
    <t xml:space="preserve">TransCanads Deal #HJN1001</t>
  </si>
  <si>
    <t xml:space="preserve">NNG </t>
  </si>
  <si>
    <t xml:space="preserve">TC </t>
  </si>
  <si>
    <t xml:space="preserve">Fixed Price</t>
  </si>
  <si>
    <t xml:space="preserve">Float Price</t>
  </si>
  <si>
    <t xml:space="preserve">NYMEX H.H. +</t>
  </si>
  <si>
    <t xml:space="preserve">I.F. PEPL</t>
  </si>
  <si>
    <t xml:space="preserve">TX, OK(Mainline)</t>
  </si>
  <si>
    <t xml:space="preserve">Phyiscal Price</t>
  </si>
  <si>
    <t xml:space="preserve">I.F. Demarc less I.F. PEPL TX, OK</t>
  </si>
  <si>
    <t xml:space="preserve">less applicable fuel(.228)</t>
  </si>
  <si>
    <t xml:space="preserve">Demarc</t>
  </si>
  <si>
    <t xml:space="preserve">I.F. PEPL Tx, OK</t>
  </si>
  <si>
    <t xml:space="preserve">Oneok</t>
  </si>
  <si>
    <t xml:space="preserve">TransCanads Deal #HJN1002</t>
  </si>
  <si>
    <t xml:space="preserve">Enron North America #QH8057.1</t>
  </si>
  <si>
    <t xml:space="preserve">I.F. Demarc</t>
  </si>
  <si>
    <t xml:space="preserve">Variance</t>
  </si>
  <si>
    <t xml:space="preserve">Oneok?</t>
  </si>
  <si>
    <t xml:space="preserve">Enron North America #QF8229.1</t>
  </si>
  <si>
    <t xml:space="preserve">Enron North America #QF1003.1</t>
  </si>
  <si>
    <t xml:space="preserve">DEMARC</t>
  </si>
  <si>
    <t xml:space="preserve">Enron North America #QF0992.1</t>
  </si>
  <si>
    <t xml:space="preserve">TX, OK(mainline)</t>
  </si>
  <si>
    <t xml:space="preserve">Trading BOOK</t>
  </si>
  <si>
    <t xml:space="preserve">FX Swap M337849</t>
  </si>
  <si>
    <t xml:space="preserve">Receiving</t>
  </si>
  <si>
    <t xml:space="preserve">Paying</t>
  </si>
  <si>
    <t xml:space="preserve">$USD</t>
  </si>
  <si>
    <t xml:space="preserve">$CAD</t>
  </si>
  <si>
    <t xml:space="preserve">FX Swap</t>
  </si>
  <si>
    <t xml:space="preserve">Commodity Swap</t>
  </si>
  <si>
    <t xml:space="preserve">Risk Management &amp; Trading Corp.</t>
  </si>
  <si>
    <t xml:space="preserve">Deal #QK7503.1</t>
  </si>
  <si>
    <t xml:space="preserve">Notional</t>
  </si>
  <si>
    <t xml:space="preserve">FIXED</t>
  </si>
  <si>
    <t xml:space="preserve">Qty.</t>
  </si>
  <si>
    <t xml:space="preserve">Float </t>
  </si>
  <si>
    <t xml:space="preserve">NYMEX H.H.</t>
  </si>
  <si>
    <t xml:space="preserve">Reliant Energy Services, Inc.</t>
  </si>
  <si>
    <t xml:space="preserve">Deal #12007624</t>
  </si>
  <si>
    <t xml:space="preserve">TransCanada Energy Financial Products Limited</t>
  </si>
  <si>
    <t xml:space="preserve">Deal #SW17</t>
  </si>
  <si>
    <t xml:space="preserve">TCEFPL</t>
  </si>
  <si>
    <t xml:space="preserve">NYMEX</t>
  </si>
  <si>
    <t xml:space="preserve">TransCanada Deal #HJN1003</t>
  </si>
  <si>
    <t xml:space="preserve">TC</t>
  </si>
  <si>
    <t xml:space="preserve">less applicable fuel(.225)</t>
  </si>
  <si>
    <t xml:space="preserve">Aquila Risk Management Corp Deal #HJN1004</t>
  </si>
  <si>
    <t xml:space="preserve">NYMEX H.H. -</t>
  </si>
  <si>
    <t xml:space="preserve">I.F. PEPL-TX</t>
  </si>
  <si>
    <t xml:space="preserve">OK(mainline)</t>
  </si>
  <si>
    <t xml:space="preserve">Risk Management Trading Corp Deal #QL2915.1</t>
  </si>
  <si>
    <t xml:space="preserve">EPNG</t>
  </si>
  <si>
    <t xml:space="preserve">S.J.</t>
  </si>
  <si>
    <t xml:space="preserve">Risk Management Trading Corp Deal #QL2918.1</t>
  </si>
  <si>
    <t xml:space="preserve">NGI</t>
  </si>
  <si>
    <t xml:space="preserve">Southern Cal</t>
  </si>
  <si>
    <t xml:space="preserve">Border Avg</t>
  </si>
  <si>
    <t xml:space="preserve">NGI Socal -</t>
  </si>
  <si>
    <t xml:space="preserve">I.F. S.J.</t>
  </si>
  <si>
    <t xml:space="preserve">Aquila Deal #1129080</t>
  </si>
  <si>
    <t xml:space="preserve">Float Price (b)</t>
  </si>
  <si>
    <t xml:space="preserve">Float Price (a)</t>
  </si>
  <si>
    <t xml:space="preserve">ENA #QN5116.1</t>
  </si>
  <si>
    <t xml:space="preserve">Floating Price</t>
  </si>
  <si>
    <t xml:space="preserve">Nymex</t>
  </si>
  <si>
    <t xml:space="preserve">PEPL</t>
  </si>
  <si>
    <t xml:space="preserve">ENA Cal 02.a Swap-Need Confirm-</t>
  </si>
  <si>
    <t xml:space="preserve">TWPL</t>
  </si>
  <si>
    <t xml:space="preserve">I.F. Elpaso</t>
  </si>
  <si>
    <t xml:space="preserve">Permian</t>
  </si>
  <si>
    <t xml:space="preserve">ENA Cal 02.b Swap-Need Confirm-</t>
  </si>
  <si>
    <t xml:space="preserve">Rick Management Trading Corp  Deal #QL5358.1</t>
  </si>
  <si>
    <t xml:space="preserve">I.F. ELPASO</t>
  </si>
  <si>
    <t xml:space="preserve">H.H.</t>
  </si>
  <si>
    <t xml:space="preserve">Rick Management Trading Corp  Deal #QL5357.1</t>
  </si>
  <si>
    <t xml:space="preserve">Socal</t>
  </si>
  <si>
    <t xml:space="preserve">Rick Management Trading Corp  Deal #QL9273.1</t>
  </si>
  <si>
    <t xml:space="preserve">IF SJ</t>
  </si>
  <si>
    <t xml:space="preserve">Rick Management Trading Corp  Deal #QL9270.1</t>
  </si>
  <si>
    <t xml:space="preserve">Rick Management Trading Corp  Deal #QL5363.1</t>
  </si>
  <si>
    <t xml:space="preserve">I.F.</t>
  </si>
  <si>
    <t xml:space="preserve">SJ</t>
  </si>
  <si>
    <t xml:space="preserve">Rick Management Trading Corp  Deal #QL5365.1</t>
  </si>
  <si>
    <t xml:space="preserve">Rick Management Trading Corp  Deal #QL5444.1</t>
  </si>
  <si>
    <t xml:space="preserve">I.F. </t>
  </si>
  <si>
    <t xml:space="preserve">Rick Management Trading Corp  Deal #QL5424.1</t>
  </si>
  <si>
    <t xml:space="preserve">Risk Management &amp; Trading Corp._2</t>
  </si>
  <si>
    <t xml:space="preserve">Expired</t>
  </si>
  <si>
    <t xml:space="preserve">Futures_113000</t>
  </si>
  <si>
    <t xml:space="preserve">EL Paso Prmn</t>
  </si>
  <si>
    <t xml:space="preserve">Enron North America</t>
  </si>
  <si>
    <t xml:space="preserve">Deal #QA4309.1</t>
  </si>
  <si>
    <t xml:space="preserve">Quantity</t>
  </si>
  <si>
    <t xml:space="preserve">GD-Others-Midpoint</t>
  </si>
  <si>
    <t xml:space="preserve">NNG(Demarc)</t>
  </si>
  <si>
    <t xml:space="preserve">Deal #QA5217.1</t>
  </si>
  <si>
    <t xml:space="preserve">GD-Lou. Onshor S.-Midpoint</t>
  </si>
  <si>
    <t xml:space="preserve">Henry Hub</t>
  </si>
  <si>
    <t xml:space="preserve">El Paso Merchant Energy</t>
  </si>
  <si>
    <t xml:space="preserve">Deal #1009351</t>
  </si>
  <si>
    <t xml:space="preserve">Strike</t>
  </si>
  <si>
    <t xml:space="preserve">Call Option</t>
  </si>
  <si>
    <t xml:space="preserve">EL PASO DOES NOT MAKE PAYMENT TO NNG  BECAUSE THE FLOATING PRICE IS LESS THAN THE STRIKE PRICE.</t>
  </si>
  <si>
    <t xml:space="preserve">Enron North America_19</t>
  </si>
  <si>
    <t xml:space="preserve">ENA-Call Option</t>
  </si>
  <si>
    <t xml:space="preserve">NORTHERN NATUAL GAS COMPANY</t>
  </si>
  <si>
    <t xml:space="preserve">El Paso Merchant Energy_18</t>
  </si>
  <si>
    <t xml:space="preserve">El Paso Call Option</t>
  </si>
  <si>
    <t xml:space="preserve">Enron North America_20</t>
  </si>
  <si>
    <t xml:space="preserve">Deal #QO886.1</t>
  </si>
  <si>
    <t xml:space="preserve">NNG DOES NOT MAKE PAYMENT TO ENA BECAUSE THE FLOATING PRICE IS LESS THAN THE STRIKE PRICE.</t>
  </si>
  <si>
    <t xml:space="preserve">Deal #Qo6763.1</t>
  </si>
  <si>
    <t xml:space="preserve">Enron North America_10</t>
  </si>
  <si>
    <t xml:space="preserve">ENA-Put Option</t>
  </si>
  <si>
    <t xml:space="preserve">TW Index</t>
  </si>
  <si>
    <t xml:space="preserve">Sempra_1</t>
  </si>
  <si>
    <t xml:space="preserve">El Paso SJ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</si>
  <si>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</si>
  <si>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</si>
  <si>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</si>
  <si>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</si>
  <si>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</si>
  <si>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</si>
  <si>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</si>
  <si>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</si>
  <si>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</si>
  <si>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</si>
  <si>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</si>
  <si>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</si>
  <si>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MID-AMERICAN ENERGY COMPANY-EXPIRED</t>
  </si>
  <si>
    <t xml:space="preserve">IF-Ventura</t>
  </si>
  <si>
    <t xml:space="preserve">NGI-Chicago</t>
  </si>
  <si>
    <t xml:space="preserve">Avista_1</t>
  </si>
  <si>
    <t xml:space="preserve">DEAL EXPIRED</t>
  </si>
  <si>
    <t xml:space="preserve">Avista_2</t>
  </si>
  <si>
    <t xml:space="preserve">Sempra_2</t>
  </si>
  <si>
    <t xml:space="preserve">Sempra_2.1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</si>
</sst>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00_);_(\$* \(#,##0.0000\);_(\$* \-??_);_(@_)"/>
    <numFmt numFmtId="166" formatCode="_(\$* #,##0.00_);_(\$* \(#,##0.00\);_(\$* \-??_);_(@_)"/>
    <numFmt numFmtId="167" formatCode="_(* #,##0.00_);_(* \(#,##0.00\);_(* \-??_);_(@_)"/>
    <numFmt numFmtId="168" formatCode="_(* #,##0_);_(* \(#,##0\);_(* \-??_);_(@_)"/>
    <numFmt numFmtId="169" formatCode="[$-409]m/d/yyyy"/>
    <numFmt numFmtId="170" formatCode="_(\$* #,##0.000_);_(\$* \(#,##0.000\);_(\$* \-??_);_(@_)"/>
    <numFmt numFmtId="171" formatCode="_(\$* #,##0_);_(\$* \(#,##0\);_(\$* \-??_);_(@_)"/>
    <numFmt numFmtId="172" formatCode="[$-409]mmm\-yy"/>
    <numFmt numFmtId="173" formatCode="\$#,##0.00_);[RED]&quot;($&quot;#,##0.00\)"/>
    <numFmt numFmtId="174" formatCode="_(* #,##0.0000_);_(* \(#,##0.0000\);_(* \-??_);_(@_)"/>
    <numFmt numFmtId="175" formatCode="\$#,##0.00000"/>
    <numFmt numFmtId="176" formatCode="\$#,##0.000_);[RED]&quot;($&quot;#,##0.000\)"/>
    <numFmt numFmtId="177" formatCode="mm/dd/yy"/>
    <numFmt numFmtId="178" formatCode="\$#,##0.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i val="true"/>
      <sz val="8"/>
      <name val="Arial"/>
      <family val="2"/>
    </font>
    <font>
      <b val="true"/>
      <sz val="8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C0C0C0"/>
        <bgColor rgb="FF99CC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8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externalLink" Target="externalLinks/externalLink1.xml"/><Relationship Id="rId52" Type="http://schemas.openxmlformats.org/officeDocument/2006/relationships/externalLink" Target="externalLinks/externalLink2.xml"/><Relationship Id="rId53" Type="http://schemas.openxmlformats.org/officeDocument/2006/relationships/externalLink" Target="externalLinks/externalLink3.xml"/><Relationship Id="rId54" Type="http://schemas.openxmlformats.org/officeDocument/2006/relationships/externalLink" Target="externalLinks/externalLink4.xml"/><Relationship Id="rId55" Type="http://schemas.openxmlformats.org/officeDocument/2006/relationships/externalLink" Target="externalLinks/externalLink5.xml"/><Relationship Id="rId56" Type="http://schemas.openxmlformats.org/officeDocument/2006/relationships/externalLink" Target="externalLinks/externalLink6.xml"/><Relationship Id="rId57" Type="http://schemas.openxmlformats.org/officeDocument/2006/relationships/externalLink" Target="externalLinks/externalLink7.xml"/><Relationship Id="rId5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a%20tc%20(6)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&amp;L_Curves/HJN1003%20&amp;%20HJN100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QL2918.1%20&amp;%20QL2915.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ck%20end%20deal%200131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_0131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P&amp;L_Curves/ET&amp;Scurves(b)11270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01"/>
      <sheetName val="0201"/>
      <sheetName val="0301"/>
    </sheetNames>
    <sheetDataSet>
      <sheetData sheetId="0">
        <row r="12">
          <cell r="E12">
            <v>-23250.0000000002</v>
          </cell>
        </row>
        <row r="24">
          <cell r="E24">
            <v>0</v>
          </cell>
        </row>
        <row r="36">
          <cell r="E36">
            <v>10849.9999999998</v>
          </cell>
        </row>
      </sheetData>
      <sheetData sheetId="1">
        <row r="12">
          <cell r="E12">
            <v>-72800</v>
          </cell>
        </row>
        <row r="24">
          <cell r="E24">
            <v>-51800</v>
          </cell>
        </row>
        <row r="36">
          <cell r="E36">
            <v>-42000.0000000001</v>
          </cell>
        </row>
      </sheetData>
      <sheetData sheetId="2">
        <row r="12">
          <cell r="E12">
            <v>-85250</v>
          </cell>
        </row>
        <row r="24">
          <cell r="E24">
            <v>-61999.9999999999</v>
          </cell>
        </row>
        <row r="36">
          <cell r="E36">
            <v>-51150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101"/>
      <sheetName val="0201"/>
      <sheetName val="0301"/>
    </sheetNames>
    <sheetDataSet>
      <sheetData sheetId="0"/>
      <sheetData sheetId="1">
        <row r="12">
          <cell r="E12">
            <v>-30800.0000000002</v>
          </cell>
        </row>
      </sheetData>
      <sheetData sheetId="2">
        <row r="12">
          <cell r="E12">
            <v>-43400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102"/>
      <sheetName val="0202"/>
      <sheetName val="0302"/>
      <sheetName val="0402"/>
      <sheetName val="0502"/>
      <sheetName val="0602"/>
      <sheetName val="0702"/>
      <sheetName val="0802"/>
      <sheetName val="0902"/>
      <sheetName val="1002"/>
      <sheetName val="1102"/>
      <sheetName val="1202."/>
    </sheetNames>
    <sheetDataSet>
      <sheetData sheetId="0">
        <row r="12">
          <cell r="E12">
            <v>976112.500000001</v>
          </cell>
        </row>
      </sheetData>
      <sheetData sheetId="1">
        <row r="12">
          <cell r="E12">
            <v>804650.000000001</v>
          </cell>
        </row>
      </sheetData>
      <sheetData sheetId="2">
        <row r="12">
          <cell r="E12">
            <v>507237.500000001</v>
          </cell>
        </row>
      </sheetData>
      <sheetData sheetId="3">
        <row r="12">
          <cell r="E12">
            <v>338250</v>
          </cell>
        </row>
      </sheetData>
      <sheetData sheetId="4">
        <row r="12">
          <cell r="E12">
            <v>349525</v>
          </cell>
        </row>
      </sheetData>
      <sheetData sheetId="5">
        <row r="12">
          <cell r="E12">
            <v>338250</v>
          </cell>
        </row>
      </sheetData>
      <sheetData sheetId="6">
        <row r="12">
          <cell r="E12">
            <v>984637.500000001</v>
          </cell>
        </row>
      </sheetData>
      <sheetData sheetId="7">
        <row r="12">
          <cell r="E12">
            <v>984637.500000001</v>
          </cell>
        </row>
      </sheetData>
      <sheetData sheetId="8">
        <row r="12">
          <cell r="E12">
            <v>952875.000000001</v>
          </cell>
        </row>
      </sheetData>
      <sheetData sheetId="9">
        <row r="12">
          <cell r="E12">
            <v>447562.5</v>
          </cell>
        </row>
      </sheetData>
      <sheetData sheetId="10">
        <row r="12">
          <cell r="E12">
            <v>177374.999999999</v>
          </cell>
        </row>
      </sheetData>
      <sheetData sheetId="11">
        <row r="12">
          <cell r="E12">
            <v>183287.5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>
        <row r="36">
          <cell r="F36">
            <v>62401635.28848</v>
          </cell>
        </row>
        <row r="36">
          <cell r="I36">
            <v>-1577186.12762348</v>
          </cell>
          <cell r="J36">
            <v>-194844.432130001</v>
          </cell>
          <cell r="K36">
            <v>-1382341.69549348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PEPL Tx, Ok"/>
      <sheetName val="Demarc"/>
      <sheetName val="NYMEX"/>
      <sheetName val="Henry Hub"/>
      <sheetName val="NGI Socal"/>
      <sheetName val="Aeco"/>
      <sheetName val="Empress"/>
      <sheetName val="Iroquois"/>
      <sheetName val="Dawn"/>
      <sheetName val="Niagara"/>
      <sheetName val="Emerson"/>
      <sheetName val="MEC-EXPIRED"/>
    </sheetNames>
    <sheetDataSet>
      <sheetData sheetId="0">
        <row r="19">
          <cell r="F19">
            <v>5.205</v>
          </cell>
        </row>
        <row r="20">
          <cell r="F20">
            <v>5.255</v>
          </cell>
        </row>
        <row r="21">
          <cell r="F21">
            <v>5.065</v>
          </cell>
        </row>
        <row r="22">
          <cell r="F22">
            <v>4.765</v>
          </cell>
        </row>
        <row r="23">
          <cell r="F23">
            <v>4.37</v>
          </cell>
        </row>
        <row r="24">
          <cell r="F24">
            <v>4.24</v>
          </cell>
        </row>
        <row r="25">
          <cell r="F25">
            <v>4.235</v>
          </cell>
        </row>
        <row r="26">
          <cell r="F26">
            <v>4.25</v>
          </cell>
        </row>
        <row r="27">
          <cell r="F27">
            <v>4.25</v>
          </cell>
        </row>
        <row r="28">
          <cell r="F28">
            <v>4.25</v>
          </cell>
        </row>
        <row r="29">
          <cell r="F29">
            <v>4.265</v>
          </cell>
        </row>
        <row r="30">
          <cell r="F30">
            <v>4.395</v>
          </cell>
        </row>
        <row r="31">
          <cell r="F31">
            <v>4.5</v>
          </cell>
        </row>
        <row r="32">
          <cell r="F32">
            <v>4.54</v>
          </cell>
        </row>
        <row r="33">
          <cell r="F33">
            <v>4.376</v>
          </cell>
        </row>
        <row r="34">
          <cell r="F34">
            <v>4.146</v>
          </cell>
        </row>
        <row r="35">
          <cell r="F35">
            <v>3.921</v>
          </cell>
        </row>
        <row r="36">
          <cell r="F36">
            <v>3.887</v>
          </cell>
        </row>
        <row r="37">
          <cell r="F37">
            <v>3.912</v>
          </cell>
        </row>
        <row r="38">
          <cell r="F38">
            <v>3.933</v>
          </cell>
        </row>
        <row r="39">
          <cell r="F39">
            <v>3.933</v>
          </cell>
        </row>
        <row r="40">
          <cell r="F40">
            <v>3.948</v>
          </cell>
        </row>
        <row r="41">
          <cell r="F41">
            <v>3.978</v>
          </cell>
        </row>
        <row r="42">
          <cell r="F42">
            <v>4.113</v>
          </cell>
        </row>
        <row r="43">
          <cell r="F43">
            <v>4.238</v>
          </cell>
        </row>
        <row r="49">
          <cell r="F49">
            <v>6.605</v>
          </cell>
        </row>
        <row r="50">
          <cell r="F50">
            <v>5.832</v>
          </cell>
        </row>
        <row r="51">
          <cell r="F51">
            <v>5.3</v>
          </cell>
        </row>
        <row r="52">
          <cell r="F52">
            <v>5.16</v>
          </cell>
        </row>
        <row r="53">
          <cell r="F53">
            <v>5.18</v>
          </cell>
        </row>
        <row r="54">
          <cell r="F54">
            <v>5.37</v>
          </cell>
        </row>
        <row r="55">
          <cell r="F55">
            <v>5.38</v>
          </cell>
        </row>
        <row r="56">
          <cell r="F56">
            <v>5.35</v>
          </cell>
        </row>
        <row r="57">
          <cell r="F57">
            <v>5.325</v>
          </cell>
        </row>
        <row r="58">
          <cell r="F58">
            <v>5.375</v>
          </cell>
        </row>
        <row r="59">
          <cell r="F59">
            <v>5.51</v>
          </cell>
        </row>
        <row r="60">
          <cell r="F60">
            <v>5.56</v>
          </cell>
        </row>
        <row r="61">
          <cell r="F61">
            <v>5.37</v>
          </cell>
        </row>
        <row r="62">
          <cell r="F62">
            <v>5.07</v>
          </cell>
        </row>
        <row r="63">
          <cell r="F63">
            <v>4.64</v>
          </cell>
        </row>
        <row r="64">
          <cell r="F64">
            <v>4.51</v>
          </cell>
        </row>
        <row r="65">
          <cell r="F65">
            <v>4.505</v>
          </cell>
        </row>
        <row r="66">
          <cell r="F66">
            <v>4.52</v>
          </cell>
        </row>
        <row r="67">
          <cell r="F67">
            <v>4.52</v>
          </cell>
        </row>
        <row r="68">
          <cell r="F68">
            <v>4.52</v>
          </cell>
        </row>
        <row r="69">
          <cell r="F69">
            <v>4.535</v>
          </cell>
        </row>
        <row r="70">
          <cell r="F70">
            <v>4.635</v>
          </cell>
        </row>
        <row r="71">
          <cell r="F71">
            <v>4.74</v>
          </cell>
        </row>
      </sheetData>
      <sheetData sheetId="1">
        <row r="9">
          <cell r="F9">
            <v>4.455</v>
          </cell>
        </row>
        <row r="10">
          <cell r="F10">
            <v>4.47</v>
          </cell>
        </row>
        <row r="11">
          <cell r="F11">
            <v>4.47</v>
          </cell>
        </row>
        <row r="12">
          <cell r="F12">
            <v>4.47</v>
          </cell>
        </row>
        <row r="13">
          <cell r="F13">
            <v>4.485</v>
          </cell>
        </row>
      </sheetData>
      <sheetData sheetId="2">
        <row r="12">
          <cell r="E12">
            <v>6.193</v>
          </cell>
        </row>
        <row r="13">
          <cell r="E13">
            <v>5.637</v>
          </cell>
        </row>
      </sheetData>
      <sheetData sheetId="3">
        <row r="12">
          <cell r="E12">
            <v>6.423</v>
          </cell>
        </row>
        <row r="13">
          <cell r="E13">
            <v>5.837</v>
          </cell>
        </row>
        <row r="26">
          <cell r="E26">
            <v>4.59</v>
          </cell>
        </row>
      </sheetData>
      <sheetData sheetId="4">
        <row r="8">
          <cell r="C8">
            <v>6.293</v>
          </cell>
        </row>
        <row r="9">
          <cell r="C9">
            <v>5.707</v>
          </cell>
        </row>
        <row r="10">
          <cell r="C10">
            <v>5.3</v>
          </cell>
        </row>
        <row r="11">
          <cell r="C11">
            <v>5.16</v>
          </cell>
        </row>
        <row r="12">
          <cell r="C12">
            <v>5.18</v>
          </cell>
        </row>
        <row r="13">
          <cell r="C13">
            <v>5.22</v>
          </cell>
        </row>
        <row r="14">
          <cell r="C14">
            <v>5.23</v>
          </cell>
        </row>
        <row r="15">
          <cell r="C15">
            <v>5.2</v>
          </cell>
        </row>
        <row r="16">
          <cell r="C16">
            <v>5.215</v>
          </cell>
        </row>
        <row r="17">
          <cell r="C17">
            <v>5.305</v>
          </cell>
        </row>
        <row r="18">
          <cell r="C18">
            <v>5.44</v>
          </cell>
        </row>
        <row r="19">
          <cell r="C19">
            <v>5.49</v>
          </cell>
        </row>
        <row r="20">
          <cell r="C20">
            <v>5.3</v>
          </cell>
        </row>
        <row r="21">
          <cell r="C21">
            <v>5</v>
          </cell>
        </row>
        <row r="22">
          <cell r="C22">
            <v>4.57</v>
          </cell>
        </row>
        <row r="23">
          <cell r="C23">
            <v>4.44</v>
          </cell>
        </row>
        <row r="24">
          <cell r="C24">
            <v>4.435</v>
          </cell>
        </row>
        <row r="25">
          <cell r="C25">
            <v>4.45</v>
          </cell>
        </row>
        <row r="26">
          <cell r="C26">
            <v>4.45</v>
          </cell>
        </row>
        <row r="27">
          <cell r="C27">
            <v>4.45</v>
          </cell>
        </row>
        <row r="28">
          <cell r="C28">
            <v>4.465</v>
          </cell>
        </row>
        <row r="29">
          <cell r="C29">
            <v>4.57</v>
          </cell>
        </row>
        <row r="30">
          <cell r="C30">
            <v>4.675</v>
          </cell>
        </row>
      </sheetData>
      <sheetData sheetId="5">
        <row r="12">
          <cell r="E12">
            <v>6.293</v>
          </cell>
        </row>
        <row r="13">
          <cell r="E13">
            <v>5.707</v>
          </cell>
        </row>
        <row r="15">
          <cell r="E15">
            <v>4.57</v>
          </cell>
        </row>
        <row r="17">
          <cell r="E17">
            <v>4.715</v>
          </cell>
        </row>
        <row r="18">
          <cell r="E18">
            <v>4.551</v>
          </cell>
        </row>
        <row r="19">
          <cell r="E19">
            <v>4.321</v>
          </cell>
        </row>
        <row r="20">
          <cell r="E20">
            <v>4.091</v>
          </cell>
        </row>
        <row r="21">
          <cell r="E21">
            <v>4.057</v>
          </cell>
        </row>
        <row r="22">
          <cell r="E22">
            <v>4.082</v>
          </cell>
        </row>
        <row r="23">
          <cell r="E23">
            <v>4.103</v>
          </cell>
        </row>
        <row r="24">
          <cell r="E24">
            <v>4.103</v>
          </cell>
        </row>
        <row r="25">
          <cell r="E25">
            <v>4.118</v>
          </cell>
        </row>
        <row r="26">
          <cell r="E26">
            <v>4.148</v>
          </cell>
        </row>
        <row r="27">
          <cell r="E27">
            <v>4.288</v>
          </cell>
        </row>
        <row r="28">
          <cell r="E28">
            <v>4.413</v>
          </cell>
        </row>
      </sheetData>
      <sheetData sheetId="6">
        <row r="9">
          <cell r="E9">
            <v>7.68</v>
          </cell>
        </row>
        <row r="10">
          <cell r="E10">
            <v>7.72</v>
          </cell>
        </row>
        <row r="11">
          <cell r="E11">
            <v>7.43</v>
          </cell>
        </row>
        <row r="12">
          <cell r="E12">
            <v>6.68</v>
          </cell>
        </row>
        <row r="13">
          <cell r="E13">
            <v>6.1</v>
          </cell>
        </row>
        <row r="14">
          <cell r="E14">
            <v>5.97</v>
          </cell>
        </row>
        <row r="15">
          <cell r="E15">
            <v>5.965</v>
          </cell>
        </row>
        <row r="16">
          <cell r="E16">
            <v>6.725</v>
          </cell>
        </row>
        <row r="17">
          <cell r="E17">
            <v>6.725</v>
          </cell>
        </row>
        <row r="18">
          <cell r="E18">
            <v>6.725</v>
          </cell>
        </row>
        <row r="19">
          <cell r="E19">
            <v>6.11</v>
          </cell>
        </row>
        <row r="20">
          <cell r="E20">
            <v>5.93</v>
          </cell>
        </row>
        <row r="21">
          <cell r="E21">
            <v>6.035</v>
          </cell>
        </row>
        <row r="22">
          <cell r="E22">
            <v>6.075</v>
          </cell>
        </row>
        <row r="23">
          <cell r="E23">
            <v>5.911</v>
          </cell>
        </row>
        <row r="24">
          <cell r="E24">
            <v>5.681</v>
          </cell>
        </row>
        <row r="25">
          <cell r="E25">
            <v>5.566</v>
          </cell>
        </row>
        <row r="26">
          <cell r="E26">
            <v>5.532</v>
          </cell>
        </row>
        <row r="27">
          <cell r="E27">
            <v>5.557</v>
          </cell>
        </row>
        <row r="28">
          <cell r="E28">
            <v>5.578</v>
          </cell>
        </row>
        <row r="29">
          <cell r="E29">
            <v>5.578</v>
          </cell>
        </row>
        <row r="30">
          <cell r="E30">
            <v>5.593</v>
          </cell>
        </row>
        <row r="31">
          <cell r="E31">
            <v>5.623</v>
          </cell>
        </row>
        <row r="32">
          <cell r="E32">
            <v>4.969</v>
          </cell>
        </row>
        <row r="33">
          <cell r="E33">
            <v>5.094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>
        <row r="23">
          <cell r="C23">
            <v>4.785</v>
          </cell>
        </row>
        <row r="30">
          <cell r="C30">
            <v>4.042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guois"/>
      <sheetName val="Dawn"/>
      <sheetName val="Niagara"/>
      <sheetName val="Emerson"/>
      <sheetName val="MEC-EXPIRED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11.56"/>
    <col collapsed="false" customWidth="true" hidden="false" outlineLevel="0" max="3" min="3" style="2" width="8.41"/>
    <col collapsed="false" customWidth="true" hidden="false" outlineLevel="0" max="4" min="4" style="1" width="11.7"/>
    <col collapsed="false" customWidth="true" hidden="false" outlineLevel="0" max="5" min="5" style="1" width="13.56"/>
    <col collapsed="false" customWidth="true" hidden="false" outlineLevel="0" max="6" min="6" style="1" width="9.41"/>
    <col collapsed="false" customWidth="true" hidden="false" outlineLevel="0" max="7" min="7" style="1" width="9.14"/>
    <col collapsed="false" customWidth="true" hidden="false" outlineLevel="0" max="8" min="8" style="1" width="8.56"/>
    <col collapsed="false" customWidth="false" hidden="false" outlineLevel="0" max="9" min="9" style="1" width="9.56"/>
    <col collapsed="false" customWidth="true" hidden="false" outlineLevel="0" max="10" min="10" style="1" width="14.28"/>
    <col collapsed="false" customWidth="false" hidden="false" outlineLevel="0" max="11" min="11" style="1" width="9.56"/>
    <col collapsed="false" customWidth="true" hidden="false" outlineLevel="0" max="12" min="12" style="1" width="14.28"/>
    <col collapsed="false" customWidth="true" hidden="false" outlineLevel="0" max="14" min="13" style="1" width="13.41"/>
    <col collapsed="false" customWidth="true" hidden="false" outlineLevel="0" max="15" min="15" style="1" width="13.99"/>
    <col collapsed="false" customWidth="true" hidden="false" outlineLevel="0" max="16" min="16" style="1" width="13.41"/>
    <col collapsed="false" customWidth="false" hidden="false" outlineLevel="0" max="257" min="17" style="1" width="9.56"/>
  </cols>
  <sheetData>
    <row r="1" customFormat="false" ht="10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0.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5"/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1.2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1.25" hidden="false" customHeight="false" outlineLevel="0" collapsed="false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1.25" hidden="false" customHeight="false" outlineLevel="0" collapsed="false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1.25" hidden="false" customHeight="false" outlineLevel="0" collapsed="false">
      <c r="K8" s="7"/>
      <c r="O8" s="7"/>
      <c r="P8" s="7"/>
    </row>
    <row r="9" customFormat="false" ht="10.5" hidden="false" customHeight="false" outlineLevel="0" collapsed="false">
      <c r="A9" s="8" t="s">
        <v>5</v>
      </c>
      <c r="B9" s="8" t="s">
        <v>6</v>
      </c>
      <c r="C9" s="8" t="s">
        <v>6</v>
      </c>
      <c r="D9" s="8" t="s">
        <v>6</v>
      </c>
      <c r="E9" s="8" t="s">
        <v>7</v>
      </c>
      <c r="F9" s="8" t="s">
        <v>8</v>
      </c>
      <c r="G9" s="8" t="s">
        <v>6</v>
      </c>
      <c r="H9" s="8" t="s">
        <v>9</v>
      </c>
      <c r="I9" s="8" t="s">
        <v>10</v>
      </c>
      <c r="J9" s="8" t="s">
        <v>6</v>
      </c>
      <c r="K9" s="9" t="s">
        <v>11</v>
      </c>
      <c r="L9" s="8"/>
      <c r="M9" s="8"/>
      <c r="N9" s="8"/>
      <c r="O9" s="9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10.5" hidden="false" customHeight="false" outlineLevel="0" collapsed="false">
      <c r="A10" s="9" t="s">
        <v>12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9" t="s">
        <v>18</v>
      </c>
      <c r="I10" s="9"/>
      <c r="J10" s="9" t="s">
        <v>19</v>
      </c>
      <c r="K10" s="9"/>
      <c r="L10" s="12" t="s">
        <v>20</v>
      </c>
      <c r="M10" s="12"/>
      <c r="N10" s="12"/>
      <c r="O10" s="12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0.5" hidden="false" customHeight="false" outlineLevel="0" collapsed="false">
      <c r="A11" s="9"/>
      <c r="B11" s="9"/>
      <c r="C11" s="9"/>
      <c r="D11" s="9"/>
      <c r="E11" s="9"/>
      <c r="F11" s="9"/>
      <c r="G11" s="9"/>
      <c r="H11" s="9" t="s">
        <v>21</v>
      </c>
      <c r="I11" s="9"/>
      <c r="J11" s="9" t="s">
        <v>22</v>
      </c>
      <c r="K11" s="9"/>
      <c r="L11" s="9" t="s">
        <v>23</v>
      </c>
      <c r="M11" s="9" t="s">
        <v>24</v>
      </c>
      <c r="N11" s="9" t="s">
        <v>25</v>
      </c>
      <c r="O11" s="13" t="s">
        <v>26</v>
      </c>
      <c r="P11" s="13"/>
      <c r="Q11" s="14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0.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 t="s">
        <v>27</v>
      </c>
      <c r="I12" s="12"/>
      <c r="J12" s="12" t="s">
        <v>28</v>
      </c>
      <c r="K12" s="12"/>
      <c r="L12" s="12" t="s">
        <v>29</v>
      </c>
      <c r="M12" s="12" t="s">
        <v>29</v>
      </c>
      <c r="N12" s="12" t="s">
        <v>29</v>
      </c>
      <c r="O12" s="12" t="s">
        <v>30</v>
      </c>
      <c r="P12" s="15" t="s">
        <v>31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1.25" hidden="true" customHeight="false" outlineLevel="0" collapsed="false">
      <c r="A13" s="16" t="s">
        <v>31</v>
      </c>
      <c r="B13" s="16" t="s">
        <v>32</v>
      </c>
      <c r="C13" s="16"/>
      <c r="D13" s="16" t="s">
        <v>33</v>
      </c>
      <c r="E13" s="17" t="s">
        <v>34</v>
      </c>
      <c r="F13" s="18"/>
      <c r="G13" s="19" t="n">
        <f aca="false">+Avista_1_Expired!D10</f>
        <v>2.22</v>
      </c>
      <c r="H13" s="20" t="n">
        <f aca="false">(SUM(Avista_1_Expired!G10:G21)+SUM(Avista_1_Expired!H26:H37))/12</f>
        <v>1.7525</v>
      </c>
      <c r="I13" s="19" t="n">
        <f aca="false">-L13/J13</f>
        <v>-0.466027397260274</v>
      </c>
      <c r="J13" s="21" t="n">
        <f aca="false">-Avista_1_Expired!F22</f>
        <v>-91250</v>
      </c>
      <c r="K13" s="21" t="n">
        <f aca="false">+J13/365</f>
        <v>-250</v>
      </c>
      <c r="L13" s="22" t="n">
        <f aca="false">-Avista_1_Expired!I22</f>
        <v>-42525</v>
      </c>
      <c r="M13" s="23" t="n">
        <f aca="false">-Avista_1_Expired!J22</f>
        <v>-42525</v>
      </c>
      <c r="N13" s="23" t="n">
        <f aca="false">-Avista_1_Expired!K22</f>
        <v>-0</v>
      </c>
      <c r="O13" s="24"/>
      <c r="P13" s="25"/>
    </row>
    <row r="14" customFormat="false" ht="11.25" hidden="true" customHeight="false" outlineLevel="0" collapsed="false">
      <c r="A14" s="26" t="s">
        <v>31</v>
      </c>
      <c r="B14" s="26" t="s">
        <v>35</v>
      </c>
      <c r="C14" s="26" t="n">
        <v>26125</v>
      </c>
      <c r="D14" s="26" t="s">
        <v>36</v>
      </c>
      <c r="E14" s="17" t="s">
        <v>34</v>
      </c>
      <c r="F14" s="27"/>
      <c r="G14" s="28" t="n">
        <f aca="false">+Avista_1_Expired!D26</f>
        <v>2.22</v>
      </c>
      <c r="H14" s="29" t="n">
        <f aca="false">(SUM(Avista_1_Expired!G26:G37)+SUM(Avista_1_Expired!H26:H37))/12</f>
        <v>1.81916666666667</v>
      </c>
      <c r="I14" s="30" t="n">
        <f aca="false">+L14/J14</f>
        <v>0.368739726027397</v>
      </c>
      <c r="J14" s="31" t="n">
        <f aca="false">-Avista_1_Expired!F38</f>
        <v>91250</v>
      </c>
      <c r="K14" s="32" t="n">
        <f aca="false">+J14/365</f>
        <v>250</v>
      </c>
      <c r="L14" s="33" t="n">
        <f aca="false">-Avista_1_Expired!I38</f>
        <v>33647.5</v>
      </c>
      <c r="M14" s="23" t="n">
        <f aca="false">-Avista_1_Expired!J38</f>
        <v>33647.5</v>
      </c>
      <c r="N14" s="23" t="n">
        <f aca="false">-Avista_1_Expired!K38</f>
        <v>-0</v>
      </c>
      <c r="O14" s="24"/>
      <c r="P14" s="25"/>
    </row>
    <row r="15" customFormat="false" ht="11.25" hidden="true" customHeight="false" outlineLevel="0" collapsed="false">
      <c r="A15" s="26"/>
      <c r="B15" s="26"/>
      <c r="C15" s="26"/>
      <c r="D15" s="26"/>
      <c r="E15" s="27"/>
      <c r="F15" s="27"/>
      <c r="G15" s="28"/>
      <c r="H15" s="20"/>
      <c r="I15" s="28" t="n">
        <f aca="false">+I13+I14</f>
        <v>-0.0972876712328767</v>
      </c>
      <c r="J15" s="34" t="n">
        <f aca="false">SUM(J13:J14)</f>
        <v>0</v>
      </c>
      <c r="K15" s="34" t="n">
        <f aca="false">SUM(K13:K14)</f>
        <v>0</v>
      </c>
      <c r="L15" s="35" t="n">
        <f aca="false">SUM(L13:L14)</f>
        <v>-8877.5</v>
      </c>
      <c r="M15" s="35" t="n">
        <f aca="false">SUM(M13:M14)</f>
        <v>-8877.5</v>
      </c>
      <c r="N15" s="35" t="n">
        <f aca="false">SUM(N13:N14)</f>
        <v>0</v>
      </c>
      <c r="O15" s="24"/>
      <c r="P15" s="25"/>
    </row>
    <row r="16" customFormat="false" ht="9.95" hidden="true" customHeight="true" outlineLevel="0" collapsed="false">
      <c r="A16" s="26"/>
      <c r="B16" s="26"/>
      <c r="C16" s="26"/>
      <c r="D16" s="26"/>
      <c r="E16" s="27"/>
      <c r="F16" s="27"/>
      <c r="G16" s="28"/>
      <c r="H16" s="20"/>
      <c r="I16" s="28"/>
      <c r="J16" s="32"/>
      <c r="K16" s="32"/>
      <c r="L16" s="33"/>
      <c r="M16" s="23"/>
      <c r="N16" s="23"/>
      <c r="O16" s="24"/>
      <c r="P16" s="25"/>
    </row>
    <row r="17" customFormat="false" ht="11.25" hidden="true" customHeight="false" outlineLevel="0" collapsed="false">
      <c r="A17" s="26" t="s">
        <v>31</v>
      </c>
      <c r="B17" s="26" t="s">
        <v>37</v>
      </c>
      <c r="C17" s="26"/>
      <c r="D17" s="26" t="s">
        <v>33</v>
      </c>
      <c r="E17" s="17" t="s">
        <v>38</v>
      </c>
      <c r="F17" s="27"/>
      <c r="G17" s="28" t="n">
        <f aca="false">+Sempra_1_Expired!D9</f>
        <v>1.945</v>
      </c>
      <c r="H17" s="29" t="n">
        <f aca="false">(SUM(Sempra_1_Expired!G9:H20)/12)</f>
        <v>2.38583333333333</v>
      </c>
      <c r="I17" s="28" t="n">
        <f aca="false">-L17/J17</f>
        <v>0.439234972677596</v>
      </c>
      <c r="J17" s="31" t="n">
        <f aca="false">-Sempra_1_Expired!F21</f>
        <v>-91500</v>
      </c>
      <c r="K17" s="32" t="n">
        <f aca="false">+J17/366</f>
        <v>-250</v>
      </c>
      <c r="L17" s="33" t="n">
        <f aca="false">-Sempra_1_Expired!I21</f>
        <v>40190</v>
      </c>
      <c r="M17" s="23" t="n">
        <f aca="false">-Sempra_1_Expired!J21</f>
        <v>40190</v>
      </c>
      <c r="N17" s="23" t="n">
        <f aca="false">-Sempra_1_Expired!K21</f>
        <v>-0</v>
      </c>
      <c r="O17" s="24"/>
      <c r="P17" s="25"/>
    </row>
    <row r="18" customFormat="false" ht="11.25" hidden="true" customHeight="false" outlineLevel="0" collapsed="false">
      <c r="A18" s="26" t="s">
        <v>31</v>
      </c>
      <c r="B18" s="26" t="s">
        <v>35</v>
      </c>
      <c r="C18" s="26" t="n">
        <v>26125</v>
      </c>
      <c r="D18" s="26" t="s">
        <v>36</v>
      </c>
      <c r="E18" s="17" t="s">
        <v>38</v>
      </c>
      <c r="F18" s="27"/>
      <c r="G18" s="28" t="n">
        <f aca="false">+Sempra_1_Expired!D25</f>
        <v>1.945</v>
      </c>
      <c r="H18" s="20" t="n">
        <f aca="false">(SUM(Sempra_1_Expired!G25:H36)/12)</f>
        <v>2.45916666666667</v>
      </c>
      <c r="I18" s="30" t="n">
        <f aca="false">+L18/J18</f>
        <v>-0.515546448087432</v>
      </c>
      <c r="J18" s="32" t="n">
        <f aca="false">-Sempra_1_Expired!F37</f>
        <v>91500</v>
      </c>
      <c r="K18" s="32" t="n">
        <f aca="false">+J18/366</f>
        <v>250</v>
      </c>
      <c r="L18" s="33" t="n">
        <f aca="false">-Sempra_1_Expired!I37</f>
        <v>-47172.5</v>
      </c>
      <c r="M18" s="23" t="n">
        <f aca="false">-Sempra_1_Expired!J37</f>
        <v>-47172.5</v>
      </c>
      <c r="N18" s="23" t="n">
        <f aca="false">-Sempra_1_Expired!K37</f>
        <v>-0</v>
      </c>
      <c r="O18" s="24"/>
      <c r="P18" s="25"/>
    </row>
    <row r="19" customFormat="false" ht="11.25" hidden="true" customHeight="false" outlineLevel="0" collapsed="false">
      <c r="A19" s="26"/>
      <c r="B19" s="26"/>
      <c r="C19" s="26"/>
      <c r="D19" s="27"/>
      <c r="E19" s="27"/>
      <c r="F19" s="27"/>
      <c r="G19" s="27"/>
      <c r="H19" s="36"/>
      <c r="I19" s="28" t="n">
        <f aca="false">+I17+I18</f>
        <v>-0.0763114754098361</v>
      </c>
      <c r="J19" s="37" t="n">
        <f aca="false">+J13+J14</f>
        <v>0</v>
      </c>
      <c r="K19" s="37" t="n">
        <f aca="false">+K13+K14</f>
        <v>0</v>
      </c>
      <c r="L19" s="38" t="n">
        <f aca="false">+L17+L18</f>
        <v>-6982.5</v>
      </c>
      <c r="M19" s="38" t="n">
        <f aca="false">+M17+M18</f>
        <v>-6982.5</v>
      </c>
      <c r="N19" s="38" t="n">
        <f aca="false">+N17+N18</f>
        <v>-0</v>
      </c>
      <c r="O19" s="24"/>
      <c r="P19" s="25"/>
    </row>
    <row r="20" customFormat="false" ht="9.95" hidden="true" customHeight="true" outlineLevel="0" collapsed="false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5"/>
      <c r="N20" s="25"/>
      <c r="O20" s="24"/>
      <c r="P20" s="25"/>
    </row>
    <row r="21" customFormat="false" ht="11.25" hidden="true" customHeight="false" outlineLevel="0" collapsed="false">
      <c r="A21" s="26" t="s">
        <v>31</v>
      </c>
      <c r="B21" s="26" t="s">
        <v>32</v>
      </c>
      <c r="C21" s="26"/>
      <c r="D21" s="26" t="s">
        <v>33</v>
      </c>
      <c r="E21" s="17" t="s">
        <v>39</v>
      </c>
      <c r="F21" s="27"/>
      <c r="G21" s="20" t="n">
        <f aca="false">+Avista_2_Expired!D9</f>
        <v>2.005</v>
      </c>
      <c r="H21" s="20" t="n">
        <f aca="false">(SUM(Avista_2_Expired!G9:G23)+SUM(Avista_2_Expired!H9:H23))/15</f>
        <v>2.08933333333333</v>
      </c>
      <c r="I21" s="28" t="n">
        <f aca="false">-L21/J21</f>
        <v>0.0852625820568929</v>
      </c>
      <c r="J21" s="32" t="n">
        <f aca="false">-Avista_2_Expired!F24</f>
        <v>1142500</v>
      </c>
      <c r="K21" s="32" t="n">
        <f aca="false">+J21/457</f>
        <v>2500</v>
      </c>
      <c r="L21" s="33" t="n">
        <f aca="false">-Avista_2_Expired!I24</f>
        <v>-97412.5000000001</v>
      </c>
      <c r="M21" s="23" t="n">
        <f aca="false">-Avista_2_Expired!J24</f>
        <v>-97412.5000000001</v>
      </c>
      <c r="N21" s="23" t="n">
        <f aca="false">-Avista_2_Expired!K24</f>
        <v>-0</v>
      </c>
      <c r="O21" s="24"/>
      <c r="P21" s="25"/>
    </row>
    <row r="22" customFormat="false" ht="11.25" hidden="true" customHeight="false" outlineLevel="0" collapsed="false">
      <c r="A22" s="26" t="s">
        <v>31</v>
      </c>
      <c r="B22" s="26" t="s">
        <v>40</v>
      </c>
      <c r="C22" s="26"/>
      <c r="D22" s="26" t="s">
        <v>36</v>
      </c>
      <c r="E22" s="17" t="s">
        <v>39</v>
      </c>
      <c r="F22" s="27"/>
      <c r="G22" s="20" t="n">
        <f aca="false">+Avista_2_Expired!D28</f>
        <v>2.005</v>
      </c>
      <c r="H22" s="20" t="n">
        <f aca="false">(SUM(Avista_2_Expired!G28:G42)+SUM(Avista_2_Expired!H28:H42))/15</f>
        <v>2.036</v>
      </c>
      <c r="I22" s="30" t="n">
        <f aca="false">+L22/J22</f>
        <v>-0.0328993435448578</v>
      </c>
      <c r="J22" s="32" t="n">
        <f aca="false">-Avista_2_Expired!F43</f>
        <v>-1142500</v>
      </c>
      <c r="K22" s="32" t="n">
        <f aca="false">+J22/457</f>
        <v>-2500</v>
      </c>
      <c r="L22" s="33" t="n">
        <f aca="false">-Avista_2_Expired!I43</f>
        <v>37587.5000000001</v>
      </c>
      <c r="M22" s="23" t="n">
        <f aca="false">-Avista_2_Expired!J43</f>
        <v>37587.5000000001</v>
      </c>
      <c r="N22" s="23" t="n">
        <f aca="false">-Avista_2_Expired!K43</f>
        <v>-0</v>
      </c>
      <c r="O22" s="24"/>
      <c r="P22" s="25"/>
    </row>
    <row r="23" customFormat="false" ht="11.25" hidden="true" customHeight="false" outlineLevel="0" collapsed="false">
      <c r="A23" s="26"/>
      <c r="B23" s="27"/>
      <c r="C23" s="26"/>
      <c r="D23" s="27"/>
      <c r="E23" s="27"/>
      <c r="F23" s="27"/>
      <c r="G23" s="27"/>
      <c r="H23" s="27"/>
      <c r="I23" s="28" t="n">
        <f aca="false">+I21+I22</f>
        <v>0.052363238512035</v>
      </c>
      <c r="J23" s="37" t="n">
        <f aca="false">+J22+J21</f>
        <v>0</v>
      </c>
      <c r="K23" s="37" t="n">
        <f aca="false">+K22+K21</f>
        <v>0</v>
      </c>
      <c r="L23" s="38" t="n">
        <f aca="false">+L22+L21</f>
        <v>-59825</v>
      </c>
      <c r="M23" s="38" t="n">
        <f aca="false">+M22+M21</f>
        <v>-59825</v>
      </c>
      <c r="N23" s="38" t="n">
        <f aca="false">+N22+N21</f>
        <v>-0</v>
      </c>
      <c r="O23" s="24"/>
      <c r="P23" s="25"/>
    </row>
    <row r="24" customFormat="false" ht="9.95" hidden="true" customHeight="true" outlineLevel="0" collapsed="false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5"/>
      <c r="N24" s="25"/>
      <c r="O24" s="24"/>
      <c r="P24" s="25"/>
    </row>
    <row r="25" customFormat="false" ht="11.25" hidden="true" customHeight="false" outlineLevel="0" collapsed="false">
      <c r="A25" s="26" t="s">
        <v>31</v>
      </c>
      <c r="B25" s="26" t="s">
        <v>37</v>
      </c>
      <c r="C25" s="26"/>
      <c r="D25" s="26" t="s">
        <v>33</v>
      </c>
      <c r="E25" s="17" t="s">
        <v>39</v>
      </c>
      <c r="F25" s="27"/>
      <c r="G25" s="20" t="n">
        <f aca="false">+Sempra_2_Expired!D9</f>
        <v>2.1</v>
      </c>
      <c r="H25" s="20" t="n">
        <f aca="false">(SUM(Sempra_2_Expired!G9:G23)+SUM(Sempra_2_Expired!H9:H23))/15</f>
        <v>2.08933333333333</v>
      </c>
      <c r="I25" s="28" t="n">
        <f aca="false">-L25/J25</f>
        <v>-0.00973741794310733</v>
      </c>
      <c r="J25" s="32" t="n">
        <f aca="false">-Sempra_2_Expired!F24</f>
        <v>1142500</v>
      </c>
      <c r="K25" s="32" t="n">
        <f aca="false">+J25/457</f>
        <v>2500</v>
      </c>
      <c r="L25" s="33" t="n">
        <f aca="false">-Sempra_2_Expired!I24</f>
        <v>11125.0000000001</v>
      </c>
      <c r="M25" s="23" t="n">
        <f aca="false">-Sempra_2_Expired!J24</f>
        <v>11125.0000000001</v>
      </c>
      <c r="N25" s="23" t="n">
        <f aca="false">-Sempra_2_Expired!K24</f>
        <v>-0</v>
      </c>
      <c r="O25" s="24"/>
      <c r="P25" s="25"/>
    </row>
    <row r="26" customFormat="false" ht="11.25" hidden="true" customHeight="false" outlineLevel="0" collapsed="false">
      <c r="A26" s="26" t="s">
        <v>31</v>
      </c>
      <c r="B26" s="26" t="s">
        <v>40</v>
      </c>
      <c r="C26" s="26"/>
      <c r="D26" s="26" t="s">
        <v>36</v>
      </c>
      <c r="E26" s="17" t="s">
        <v>39</v>
      </c>
      <c r="F26" s="27"/>
      <c r="G26" s="20" t="n">
        <f aca="false">+Sempra_2_Expired!D28</f>
        <v>2.1</v>
      </c>
      <c r="H26" s="20" t="n">
        <f aca="false">(SUM(Sempra_2_Expired!G28:G42)+SUM(Sempra_2_Expired!H28:H42))/15</f>
        <v>2.036</v>
      </c>
      <c r="I26" s="30" t="n">
        <f aca="false">+L26/J26</f>
        <v>0.0621006564551423</v>
      </c>
      <c r="J26" s="39" t="n">
        <f aca="false">-Sempra_2_Expired!F43</f>
        <v>-1142500</v>
      </c>
      <c r="K26" s="39" t="n">
        <f aca="false">+J26/457</f>
        <v>-2500</v>
      </c>
      <c r="L26" s="40" t="n">
        <f aca="false">-Sempra_2_Expired!I43</f>
        <v>-70950.0000000001</v>
      </c>
      <c r="M26" s="41" t="n">
        <f aca="false">-Sempra_2_Expired!J43</f>
        <v>-70950.0000000001</v>
      </c>
      <c r="N26" s="41" t="n">
        <f aca="false">-Sempra_2_Expired!K43</f>
        <v>-0</v>
      </c>
      <c r="O26" s="24"/>
      <c r="P26" s="25"/>
    </row>
    <row r="27" customFormat="false" ht="11.25" hidden="true" customHeight="false" outlineLevel="0" collapsed="false">
      <c r="A27" s="26"/>
      <c r="B27" s="26"/>
      <c r="C27" s="26"/>
      <c r="D27" s="26"/>
      <c r="E27" s="27"/>
      <c r="F27" s="27"/>
      <c r="G27" s="20"/>
      <c r="H27" s="20"/>
      <c r="I27" s="28" t="n">
        <f aca="false">+I25+I26</f>
        <v>0.052363238512035</v>
      </c>
      <c r="J27" s="32" t="n">
        <f aca="false">+J26+J25</f>
        <v>0</v>
      </c>
      <c r="K27" s="32" t="n">
        <f aca="false">+K26+K25</f>
        <v>0</v>
      </c>
      <c r="L27" s="42" t="n">
        <f aca="false">+L26+L25</f>
        <v>-59825</v>
      </c>
      <c r="M27" s="42" t="n">
        <f aca="false">+M26+M25</f>
        <v>-59825</v>
      </c>
      <c r="N27" s="42" t="n">
        <f aca="false">+N26+N25</f>
        <v>-0</v>
      </c>
      <c r="O27" s="24"/>
      <c r="P27" s="25"/>
    </row>
    <row r="28" customFormat="false" ht="9.95" hidden="true" customHeight="true" outlineLevel="0" collapsed="false">
      <c r="A28" s="26"/>
      <c r="B28" s="26"/>
      <c r="C28" s="26"/>
      <c r="D28" s="26"/>
      <c r="E28" s="27"/>
      <c r="F28" s="27"/>
      <c r="G28" s="20"/>
      <c r="H28" s="20"/>
      <c r="I28" s="20"/>
      <c r="J28" s="32"/>
      <c r="K28" s="32"/>
      <c r="L28" s="33"/>
      <c r="M28" s="23"/>
      <c r="N28" s="23"/>
      <c r="O28" s="24"/>
      <c r="P28" s="25"/>
    </row>
    <row r="29" customFormat="false" ht="11.25" hidden="true" customHeight="false" outlineLevel="0" collapsed="false">
      <c r="A29" s="26" t="s">
        <v>31</v>
      </c>
      <c r="B29" s="26" t="s">
        <v>37</v>
      </c>
      <c r="C29" s="26"/>
      <c r="D29" s="26" t="s">
        <v>33</v>
      </c>
      <c r="E29" s="17" t="s">
        <v>41</v>
      </c>
      <c r="F29" s="27"/>
      <c r="G29" s="20" t="n">
        <v>2.01</v>
      </c>
      <c r="H29" s="20" t="n">
        <f aca="false">(SUM('Sempra_2.1_Expired'!G9:G16)+SUM('Sempra_2.1_Expired'!H9:H19))/8</f>
        <v>2.3775</v>
      </c>
      <c r="I29" s="28" t="n">
        <f aca="false">-L29/J29</f>
        <v>0.365061224489796</v>
      </c>
      <c r="J29" s="32" t="n">
        <f aca="false">-'Sempra_2.1_Expired'!F17</f>
        <v>2450000</v>
      </c>
      <c r="K29" s="32" t="n">
        <f aca="false">+J29/245</f>
        <v>10000</v>
      </c>
      <c r="L29" s="33" t="n">
        <f aca="false">-'Sempra_2.1_Expired'!I17</f>
        <v>-894400.000000001</v>
      </c>
      <c r="M29" s="23" t="n">
        <f aca="false">-'Sempra_2.1_Expired'!J17</f>
        <v>-894400.000000001</v>
      </c>
      <c r="N29" s="23" t="n">
        <f aca="false">-'Sempra_2.1_Expired'!K17</f>
        <v>-0</v>
      </c>
      <c r="O29" s="24"/>
      <c r="P29" s="25"/>
    </row>
    <row r="30" customFormat="false" ht="11.25" hidden="true" customHeight="false" outlineLevel="0" collapsed="false">
      <c r="A30" s="26" t="s">
        <v>31</v>
      </c>
      <c r="B30" s="26" t="s">
        <v>40</v>
      </c>
      <c r="C30" s="26"/>
      <c r="D30" s="26" t="s">
        <v>36</v>
      </c>
      <c r="E30" s="17" t="s">
        <v>41</v>
      </c>
      <c r="F30" s="27"/>
      <c r="G30" s="20" t="n">
        <v>2.01</v>
      </c>
      <c r="H30" s="20" t="n">
        <f aca="false">(SUM('Sempra_2.1_Expired'!G21:G28)+SUM('Sempra_2.1_Expired'!H21:H28))/8</f>
        <v>2.2675</v>
      </c>
      <c r="I30" s="30" t="n">
        <f aca="false">+L30/J30</f>
        <v>-0.258326530612245</v>
      </c>
      <c r="J30" s="32" t="n">
        <f aca="false">-'Sempra_2.1_Expired'!F29</f>
        <v>-2450000</v>
      </c>
      <c r="K30" s="32" t="n">
        <f aca="false">+J30/245</f>
        <v>-10000</v>
      </c>
      <c r="L30" s="33" t="n">
        <f aca="false">-'Sempra_2.1_Expired'!I29</f>
        <v>632900</v>
      </c>
      <c r="M30" s="23" t="n">
        <f aca="false">-'Sempra_2.1_Expired'!J29</f>
        <v>632900</v>
      </c>
      <c r="N30" s="23" t="n">
        <f aca="false">-'Sempra_2.1_Expired'!K29</f>
        <v>-0</v>
      </c>
      <c r="O30" s="24"/>
      <c r="P30" s="25"/>
    </row>
    <row r="31" customFormat="false" ht="11.25" hidden="true" customHeight="false" outlineLevel="0" collapsed="false">
      <c r="A31" s="26"/>
      <c r="B31" s="27"/>
      <c r="C31" s="26"/>
      <c r="D31" s="27"/>
      <c r="E31" s="27"/>
      <c r="F31" s="27"/>
      <c r="G31" s="27"/>
      <c r="H31" s="27"/>
      <c r="I31" s="28" t="n">
        <f aca="false">+I29+I30</f>
        <v>0.106734693877551</v>
      </c>
      <c r="J31" s="37" t="n">
        <f aca="false">+J29+J30</f>
        <v>0</v>
      </c>
      <c r="K31" s="37" t="n">
        <f aca="false">+K29+K30</f>
        <v>0</v>
      </c>
      <c r="L31" s="38" t="n">
        <f aca="false">+L29+L30</f>
        <v>-261500</v>
      </c>
      <c r="M31" s="38" t="n">
        <f aca="false">+M29+M30</f>
        <v>-261500</v>
      </c>
      <c r="N31" s="38" t="n">
        <f aca="false">+N29+N30</f>
        <v>-0</v>
      </c>
      <c r="O31" s="24"/>
      <c r="P31" s="25"/>
    </row>
    <row r="32" customFormat="false" ht="9.95" hidden="true" customHeight="true" outlineLevel="0" collapsed="false">
      <c r="A32" s="26"/>
      <c r="B32" s="27"/>
      <c r="C32" s="26"/>
      <c r="D32" s="27"/>
      <c r="E32" s="27"/>
      <c r="F32" s="27"/>
      <c r="G32" s="27"/>
      <c r="H32" s="27"/>
      <c r="I32" s="27"/>
      <c r="J32" s="36"/>
      <c r="K32" s="36"/>
      <c r="L32" s="42"/>
      <c r="M32" s="43"/>
      <c r="N32" s="43"/>
      <c r="O32" s="24"/>
      <c r="P32" s="25"/>
    </row>
    <row r="33" customFormat="false" ht="11.25" hidden="true" customHeight="false" outlineLevel="0" collapsed="false">
      <c r="A33" s="26" t="s">
        <v>31</v>
      </c>
      <c r="B33" s="26" t="s">
        <v>42</v>
      </c>
      <c r="C33" s="26"/>
      <c r="D33" s="26" t="s">
        <v>43</v>
      </c>
      <c r="E33" s="17" t="s">
        <v>44</v>
      </c>
      <c r="F33" s="26"/>
      <c r="G33" s="20" t="n">
        <v>2.365</v>
      </c>
      <c r="H33" s="20" t="n">
        <f aca="false">(SUM('RMTC_2-expired'!G9:G20)+SUM('RMTC_2-expired'!H9:H20))/12</f>
        <v>3.7775</v>
      </c>
      <c r="I33" s="28" t="n">
        <f aca="false">-L33/J33</f>
        <v>1.4177868852459</v>
      </c>
      <c r="J33" s="44" t="n">
        <f aca="false">-'RMTC_2-expired'!F22</f>
        <v>5490000</v>
      </c>
      <c r="K33" s="44" t="n">
        <f aca="false">+J33/366</f>
        <v>15000</v>
      </c>
      <c r="L33" s="33" t="n">
        <f aca="false">-'RMTC_2-expired'!I22</f>
        <v>-7783650</v>
      </c>
      <c r="M33" s="23" t="n">
        <f aca="false">-'RMTC_2-expired'!J22</f>
        <v>-7783650</v>
      </c>
      <c r="N33" s="23" t="n">
        <f aca="false">-'RMTC_2-expired'!K22</f>
        <v>-0</v>
      </c>
      <c r="O33" s="24"/>
      <c r="P33" s="25"/>
    </row>
    <row r="34" customFormat="false" ht="11.25" hidden="true" customHeight="false" outlineLevel="0" collapsed="false">
      <c r="A34" s="26" t="s">
        <v>31</v>
      </c>
      <c r="B34" s="26" t="s">
        <v>40</v>
      </c>
      <c r="C34" s="26"/>
      <c r="D34" s="26" t="s">
        <v>45</v>
      </c>
      <c r="E34" s="17" t="s">
        <v>44</v>
      </c>
      <c r="F34" s="26"/>
      <c r="G34" s="20" t="n">
        <v>2.365</v>
      </c>
      <c r="H34" s="20" t="n">
        <f aca="false">(SUM('RMTC_2-expired'!G26:G37)+SUM('RMTC_2-expired'!H26:H37))/12</f>
        <v>3.7775</v>
      </c>
      <c r="I34" s="30" t="n">
        <f aca="false">+L34/J34</f>
        <v>-1.4177868852459</v>
      </c>
      <c r="J34" s="45" t="n">
        <f aca="false">-'RMTC_2-expired'!F39</f>
        <v>-5490000</v>
      </c>
      <c r="K34" s="45" t="n">
        <f aca="false">+J34/366</f>
        <v>-15000</v>
      </c>
      <c r="L34" s="40" t="n">
        <f aca="false">-'RMTC_2-expired'!I39</f>
        <v>7783650</v>
      </c>
      <c r="M34" s="41" t="n">
        <f aca="false">-'RMTC_2-expired'!J39</f>
        <v>7783650</v>
      </c>
      <c r="N34" s="41" t="n">
        <f aca="false">-'RMTC_2-expired'!K39</f>
        <v>-0</v>
      </c>
      <c r="O34" s="24"/>
      <c r="P34" s="25"/>
    </row>
    <row r="35" customFormat="false" ht="11.25" hidden="true" customHeight="false" outlineLevel="0" collapsed="false">
      <c r="A35" s="26"/>
      <c r="B35" s="27"/>
      <c r="C35" s="26"/>
      <c r="D35" s="27"/>
      <c r="E35" s="27"/>
      <c r="F35" s="26"/>
      <c r="G35" s="27"/>
      <c r="H35" s="27"/>
      <c r="I35" s="46" t="n">
        <f aca="false">+I33+I34</f>
        <v>0</v>
      </c>
      <c r="J35" s="36" t="n">
        <f aca="false">+J33+J34</f>
        <v>0</v>
      </c>
      <c r="K35" s="36" t="n">
        <f aca="false">+K33+K34</f>
        <v>0</v>
      </c>
      <c r="L35" s="42" t="n">
        <f aca="false">+L33+L34</f>
        <v>0</v>
      </c>
      <c r="M35" s="42" t="n">
        <f aca="false">+M33+M34</f>
        <v>0</v>
      </c>
      <c r="N35" s="42" t="n">
        <f aca="false">+N33+N34</f>
        <v>-0</v>
      </c>
      <c r="O35" s="24"/>
      <c r="P35" s="25"/>
    </row>
    <row r="36" customFormat="false" ht="9.95" hidden="false" customHeight="true" outlineLevel="0" collapsed="false">
      <c r="A36" s="26"/>
      <c r="B36" s="27"/>
      <c r="C36" s="26"/>
      <c r="D36" s="27"/>
      <c r="E36" s="27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47"/>
    </row>
    <row r="37" customFormat="false" ht="11.25" hidden="true" customHeight="false" outlineLevel="0" collapsed="false">
      <c r="A37" s="26" t="s">
        <v>30</v>
      </c>
      <c r="B37" s="26" t="s">
        <v>46</v>
      </c>
      <c r="C37" s="26" t="n">
        <v>25834</v>
      </c>
      <c r="D37" s="26" t="s">
        <v>36</v>
      </c>
      <c r="E37" s="17" t="s">
        <v>47</v>
      </c>
      <c r="F37" s="26"/>
      <c r="G37" s="20" t="n">
        <v>2.32</v>
      </c>
      <c r="H37" s="20" t="n">
        <f aca="false">SUM(Elpaso_6!G9:H13)/5</f>
        <v>4.47</v>
      </c>
      <c r="I37" s="28" t="n">
        <f aca="false">L37/J37</f>
        <v>-1.172</v>
      </c>
      <c r="J37" s="32" t="n">
        <f aca="false">-Elpaso_6!F15</f>
        <v>15000000</v>
      </c>
      <c r="K37" s="48" t="n">
        <f aca="false">+J37/153</f>
        <v>98039.2156862745</v>
      </c>
      <c r="L37" s="33" t="n">
        <f aca="false">-Elpaso_6!I15</f>
        <v>-17580000</v>
      </c>
      <c r="M37" s="49" t="n">
        <f aca="false">-Elpaso_6!J15</f>
        <v>-0</v>
      </c>
      <c r="N37" s="33" t="n">
        <f aca="false">-Elpaso_6!K15</f>
        <v>-17580000</v>
      </c>
      <c r="O37" s="27"/>
      <c r="P37" s="25"/>
    </row>
    <row r="38" customFormat="false" ht="11.25" hidden="true" customHeight="false" outlineLevel="0" collapsed="false">
      <c r="A38" s="26" t="s">
        <v>30</v>
      </c>
      <c r="B38" s="26" t="s">
        <v>46</v>
      </c>
      <c r="C38" s="26"/>
      <c r="D38" s="26" t="s">
        <v>33</v>
      </c>
      <c r="E38" s="17" t="s">
        <v>47</v>
      </c>
      <c r="F38" s="26"/>
      <c r="G38" s="20" t="n">
        <v>2.32</v>
      </c>
      <c r="H38" s="20" t="n">
        <f aca="false">SUM(Elpaso_6!G9:H13)/5</f>
        <v>4.47</v>
      </c>
      <c r="I38" s="50" t="n">
        <f aca="false">L38/J38</f>
        <v>1.172</v>
      </c>
      <c r="J38" s="39" t="n">
        <f aca="false">-Elpaso_6!F23</f>
        <v>15000000</v>
      </c>
      <c r="K38" s="51" t="n">
        <f aca="false">+J38/153</f>
        <v>98039.2156862745</v>
      </c>
      <c r="L38" s="40" t="n">
        <f aca="false">Elpaso_6!I15</f>
        <v>17580000</v>
      </c>
      <c r="M38" s="52" t="n">
        <f aca="false">-Elpaso_6!J26</f>
        <v>-0</v>
      </c>
      <c r="N38" s="40" t="n">
        <f aca="false">Elpaso_6!K15</f>
        <v>17580000</v>
      </c>
      <c r="O38" s="27"/>
      <c r="P38" s="25"/>
    </row>
    <row r="39" customFormat="false" ht="11.25" hidden="true" customHeight="false" outlineLevel="0" collapsed="false">
      <c r="A39" s="26"/>
      <c r="B39" s="26"/>
      <c r="C39" s="26"/>
      <c r="D39" s="26"/>
      <c r="E39" s="17"/>
      <c r="F39" s="26"/>
      <c r="G39" s="20"/>
      <c r="H39" s="20"/>
      <c r="I39" s="28" t="n">
        <f aca="false">+I37-I38</f>
        <v>-2.344</v>
      </c>
      <c r="J39" s="32" t="n">
        <f aca="false">+J38+J37</f>
        <v>30000000</v>
      </c>
      <c r="K39" s="32" t="n">
        <f aca="false">+K38+K37</f>
        <v>196078.431372549</v>
      </c>
      <c r="L39" s="53" t="n">
        <f aca="false">+L38+L37</f>
        <v>0</v>
      </c>
      <c r="M39" s="54" t="n">
        <f aca="false">+M38+M37</f>
        <v>-0</v>
      </c>
      <c r="N39" s="53" t="n">
        <f aca="false">+N38+N37</f>
        <v>0</v>
      </c>
      <c r="O39" s="27"/>
      <c r="P39" s="25"/>
    </row>
    <row r="40" customFormat="false" ht="11.25" hidden="true" customHeight="false" outlineLevel="0" collapsed="false">
      <c r="A40" s="26"/>
      <c r="B40" s="26"/>
      <c r="C40" s="26"/>
      <c r="D40" s="26"/>
      <c r="E40" s="17"/>
      <c r="F40" s="26"/>
      <c r="G40" s="20"/>
      <c r="H40" s="20"/>
      <c r="I40" s="28"/>
      <c r="J40" s="32"/>
      <c r="K40" s="48"/>
      <c r="L40" s="53"/>
      <c r="M40" s="54"/>
      <c r="N40" s="53"/>
      <c r="O40" s="27"/>
      <c r="P40" s="25"/>
    </row>
    <row r="41" customFormat="false" ht="11.25" hidden="true" customHeight="false" outlineLevel="0" collapsed="false">
      <c r="A41" s="26" t="s">
        <v>30</v>
      </c>
      <c r="B41" s="26" t="s">
        <v>48</v>
      </c>
      <c r="C41" s="26" t="n">
        <v>105706</v>
      </c>
      <c r="D41" s="26" t="s">
        <v>36</v>
      </c>
      <c r="E41" s="17" t="s">
        <v>49</v>
      </c>
      <c r="F41" s="17"/>
      <c r="G41" s="20"/>
      <c r="H41" s="28" t="n">
        <f aca="false">SUM(MEC_8_Expired!H9:H14)/6</f>
        <v>0</v>
      </c>
      <c r="I41" s="28" t="n">
        <f aca="false">L41/J41</f>
        <v>2.55826086956522</v>
      </c>
      <c r="J41" s="32" t="n">
        <f aca="false">-MEC_8_Expired!F15</f>
        <v>-230000</v>
      </c>
      <c r="K41" s="48" t="n">
        <f aca="false">+J41/182</f>
        <v>-1263.73626373626</v>
      </c>
      <c r="L41" s="33" t="n">
        <f aca="false">-MEC_8_Expired!I15</f>
        <v>-588400</v>
      </c>
      <c r="M41" s="49" t="n">
        <f aca="false">-MEC_8_Expired!J15</f>
        <v>-588400</v>
      </c>
      <c r="N41" s="33" t="n">
        <f aca="false">-MEC_8_Expired!K15</f>
        <v>-0</v>
      </c>
      <c r="O41" s="27"/>
      <c r="P41" s="25"/>
    </row>
    <row r="42" customFormat="false" ht="11.25" hidden="true" customHeight="false" outlineLevel="0" collapsed="false">
      <c r="A42" s="26" t="s">
        <v>30</v>
      </c>
      <c r="B42" s="26" t="s">
        <v>48</v>
      </c>
      <c r="C42" s="26" t="n">
        <v>105706</v>
      </c>
      <c r="D42" s="26" t="s">
        <v>36</v>
      </c>
      <c r="E42" s="17" t="s">
        <v>49</v>
      </c>
      <c r="F42" s="17"/>
      <c r="G42" s="20"/>
      <c r="H42" s="20" t="n">
        <f aca="false">SUM(MEC_8_Expired!H20:H25)/6</f>
        <v>0</v>
      </c>
      <c r="I42" s="50" t="n">
        <f aca="false">L42/J42</f>
        <v>2.63973913043478</v>
      </c>
      <c r="J42" s="39" t="n">
        <f aca="false">-MEC_8_Expired!F26</f>
        <v>230000</v>
      </c>
      <c r="K42" s="39" t="n">
        <f aca="false">+J42/182</f>
        <v>1263.73626373626</v>
      </c>
      <c r="L42" s="40" t="n">
        <f aca="false">-MEC_8_Expired!I26</f>
        <v>607140</v>
      </c>
      <c r="M42" s="52" t="n">
        <f aca="false">-MEC_8_Expired!J26</f>
        <v>607140</v>
      </c>
      <c r="N42" s="40" t="n">
        <f aca="false">-MEC_8_Expired!K26</f>
        <v>-0</v>
      </c>
      <c r="O42" s="27"/>
      <c r="P42" s="25"/>
    </row>
    <row r="43" customFormat="false" ht="11.25" hidden="true" customHeight="false" outlineLevel="0" collapsed="false">
      <c r="A43" s="26"/>
      <c r="B43" s="26"/>
      <c r="C43" s="26"/>
      <c r="D43" s="26"/>
      <c r="E43" s="17"/>
      <c r="F43" s="17"/>
      <c r="G43" s="20"/>
      <c r="H43" s="20"/>
      <c r="I43" s="28" t="n">
        <f aca="false">+I41-I42</f>
        <v>-0.0814782608695652</v>
      </c>
      <c r="J43" s="32" t="n">
        <f aca="false">+J42+J41</f>
        <v>0</v>
      </c>
      <c r="K43" s="32" t="n">
        <f aca="false">+K42+K41</f>
        <v>0</v>
      </c>
      <c r="L43" s="33" t="n">
        <f aca="false">+L42+L41</f>
        <v>18740</v>
      </c>
      <c r="M43" s="49" t="n">
        <f aca="false">+M42+M41</f>
        <v>18740</v>
      </c>
      <c r="N43" s="33" t="n">
        <f aca="false">+N42+N41</f>
        <v>-0</v>
      </c>
      <c r="O43" s="27"/>
      <c r="P43" s="25"/>
    </row>
    <row r="44" customFormat="false" ht="11.25" hidden="true" customHeight="false" outlineLevel="0" collapsed="false">
      <c r="A44" s="26"/>
      <c r="B44" s="26"/>
      <c r="C44" s="26"/>
      <c r="D44" s="26"/>
      <c r="E44" s="17"/>
      <c r="F44" s="17"/>
      <c r="G44" s="20"/>
      <c r="H44" s="20"/>
      <c r="I44" s="28"/>
      <c r="J44" s="32"/>
      <c r="K44" s="48"/>
      <c r="L44" s="33"/>
      <c r="M44" s="49"/>
      <c r="N44" s="33"/>
      <c r="O44" s="27"/>
      <c r="P44" s="25"/>
    </row>
    <row r="45" customFormat="false" ht="11.25" hidden="false" customHeight="false" outlineLevel="0" collapsed="false">
      <c r="A45" s="26" t="s">
        <v>31</v>
      </c>
      <c r="B45" s="26" t="s">
        <v>50</v>
      </c>
      <c r="C45" s="26" t="s">
        <v>51</v>
      </c>
      <c r="D45" s="26" t="s">
        <v>43</v>
      </c>
      <c r="E45" s="17" t="s">
        <v>52</v>
      </c>
      <c r="F45" s="55" t="n">
        <v>36664</v>
      </c>
      <c r="G45" s="20" t="n">
        <v>3.23</v>
      </c>
      <c r="H45" s="20" t="n">
        <f aca="false">(SUM(ENA_9!G9:G20)+SUM(ENA_9!H9:H20))/12</f>
        <v>5.84975</v>
      </c>
      <c r="I45" s="28" t="n">
        <f aca="false">-L45/J45</f>
        <v>2.61955342465753</v>
      </c>
      <c r="J45" s="44" t="n">
        <f aca="false">-ENA_9!F22</f>
        <v>1825000</v>
      </c>
      <c r="K45" s="44" t="n">
        <f aca="false">+J45/365</f>
        <v>5000</v>
      </c>
      <c r="L45" s="33" t="n">
        <f aca="false">-ENA_9!I22</f>
        <v>-4780685</v>
      </c>
      <c r="M45" s="23" t="n">
        <f aca="false">-ENA_9!J22</f>
        <v>-1019900</v>
      </c>
      <c r="N45" s="23" t="n">
        <f aca="false">-ENA_9!K22</f>
        <v>-3760785</v>
      </c>
      <c r="O45" s="33"/>
      <c r="P45" s="23" t="n">
        <f aca="false">-N45</f>
        <v>3760785</v>
      </c>
    </row>
    <row r="46" customFormat="false" ht="11.25" hidden="false" customHeight="false" outlineLevel="0" collapsed="false">
      <c r="A46" s="26" t="s">
        <v>31</v>
      </c>
      <c r="B46" s="26" t="s">
        <v>37</v>
      </c>
      <c r="C46" s="26"/>
      <c r="D46" s="26" t="s">
        <v>53</v>
      </c>
      <c r="E46" s="17" t="s">
        <v>52</v>
      </c>
      <c r="F46" s="26"/>
      <c r="G46" s="56" t="n">
        <v>3.23</v>
      </c>
      <c r="H46" s="56" t="n">
        <f aca="false">(SUM(ENA_9!G26:G37)+SUM(ENA_9!H26:H37))/12</f>
        <v>5.84975</v>
      </c>
      <c r="I46" s="30" t="n">
        <f aca="false">+L46/J46</f>
        <v>-2.61955342465753</v>
      </c>
      <c r="J46" s="45" t="n">
        <f aca="false">-ENA_9!F39</f>
        <v>-1825000</v>
      </c>
      <c r="K46" s="45" t="n">
        <f aca="false">+J46/365</f>
        <v>-5000</v>
      </c>
      <c r="L46" s="40" t="n">
        <f aca="false">-ENA_9!I39</f>
        <v>4780685</v>
      </c>
      <c r="M46" s="41" t="n">
        <f aca="false">-ENA_9!J39</f>
        <v>1019900</v>
      </c>
      <c r="N46" s="41" t="n">
        <f aca="false">-ENA_9!K39</f>
        <v>3760785</v>
      </c>
      <c r="O46" s="27"/>
      <c r="P46" s="25"/>
    </row>
    <row r="47" customFormat="false" ht="11.25" hidden="false" customHeight="false" outlineLevel="0" collapsed="false">
      <c r="A47" s="26"/>
      <c r="B47" s="27"/>
      <c r="C47" s="26"/>
      <c r="D47" s="27"/>
      <c r="E47" s="27"/>
      <c r="F47" s="26"/>
      <c r="G47" s="27"/>
      <c r="H47" s="27"/>
      <c r="I47" s="46" t="n">
        <f aca="false">+I45+I46</f>
        <v>0</v>
      </c>
      <c r="J47" s="36" t="n">
        <f aca="false">+J45+J46</f>
        <v>0</v>
      </c>
      <c r="K47" s="36" t="n">
        <f aca="false">+K45+K46</f>
        <v>0</v>
      </c>
      <c r="L47" s="42" t="n">
        <f aca="false">+L45+L46</f>
        <v>0</v>
      </c>
      <c r="M47" s="42" t="n">
        <f aca="false">+M45+M46</f>
        <v>0</v>
      </c>
      <c r="N47" s="42" t="n">
        <f aca="false">+N45+N46</f>
        <v>0</v>
      </c>
      <c r="O47" s="27"/>
      <c r="P47" s="25"/>
    </row>
    <row r="48" customFormat="false" ht="11.25" hidden="false" customHeight="false" outlineLevel="0" collapsed="false">
      <c r="A48" s="26"/>
      <c r="B48" s="27"/>
      <c r="C48" s="26"/>
      <c r="D48" s="27"/>
      <c r="E48" s="27"/>
      <c r="F48" s="26"/>
      <c r="G48" s="27"/>
      <c r="H48" s="27"/>
      <c r="I48" s="28"/>
      <c r="J48" s="36"/>
      <c r="K48" s="57"/>
      <c r="L48" s="42"/>
      <c r="M48" s="42"/>
      <c r="N48" s="42"/>
      <c r="O48" s="27"/>
      <c r="P48" s="25"/>
    </row>
    <row r="49" customFormat="false" ht="11.25" hidden="false" customHeight="false" outlineLevel="0" collapsed="false">
      <c r="A49" s="26" t="s">
        <v>31</v>
      </c>
      <c r="B49" s="26" t="s">
        <v>50</v>
      </c>
      <c r="C49" s="26" t="s">
        <v>54</v>
      </c>
      <c r="D49" s="26" t="s">
        <v>43</v>
      </c>
      <c r="E49" s="17" t="s">
        <v>52</v>
      </c>
      <c r="F49" s="55" t="n">
        <v>36676</v>
      </c>
      <c r="G49" s="20" t="n">
        <v>3.74</v>
      </c>
      <c r="H49" s="20" t="n">
        <f aca="false">(SUM(ENA_11!G9:G20)+SUM(ENA_11!H9:H20))/12</f>
        <v>5.84975</v>
      </c>
      <c r="I49" s="28" t="n">
        <v>0.1</v>
      </c>
      <c r="J49" s="44" t="n">
        <f aca="false">-ENA_11!F22</f>
        <v>1825000</v>
      </c>
      <c r="K49" s="44" t="n">
        <f aca="false">+J49/365</f>
        <v>5000</v>
      </c>
      <c r="L49" s="33" t="n">
        <f aca="false">-ENA_11!I22</f>
        <v>-3849935</v>
      </c>
      <c r="M49" s="23" t="n">
        <f aca="false">-ENA_11!J22</f>
        <v>-940850</v>
      </c>
      <c r="N49" s="23" t="n">
        <f aca="false">-ENA_11!K22</f>
        <v>-2909085</v>
      </c>
      <c r="O49" s="33"/>
      <c r="P49" s="23" t="n">
        <f aca="false">-N49</f>
        <v>2909085</v>
      </c>
    </row>
    <row r="50" customFormat="false" ht="11.25" hidden="false" customHeight="false" outlineLevel="0" collapsed="false">
      <c r="A50" s="26" t="s">
        <v>31</v>
      </c>
      <c r="B50" s="26" t="s">
        <v>55</v>
      </c>
      <c r="C50" s="26"/>
      <c r="D50" s="26" t="s">
        <v>53</v>
      </c>
      <c r="E50" s="17" t="s">
        <v>52</v>
      </c>
      <c r="F50" s="26"/>
      <c r="G50" s="56" t="n">
        <v>3.74</v>
      </c>
      <c r="H50" s="56" t="n">
        <f aca="false">(SUM(ENA_11!G26:G37)+SUM(ENA_11!H26:H37))/12</f>
        <v>5.84975</v>
      </c>
      <c r="I50" s="30" t="n">
        <f aca="false">+L50/J50</f>
        <v>-2.10955342465753</v>
      </c>
      <c r="J50" s="45" t="n">
        <f aca="false">-ENA_11!F39</f>
        <v>-1825000</v>
      </c>
      <c r="K50" s="45" t="n">
        <f aca="false">+J50/365</f>
        <v>-5000</v>
      </c>
      <c r="L50" s="40" t="n">
        <f aca="false">-ENA_11!I39</f>
        <v>3849935</v>
      </c>
      <c r="M50" s="41" t="n">
        <f aca="false">-ENA_11!J39</f>
        <v>940850</v>
      </c>
      <c r="N50" s="41" t="n">
        <f aca="false">-ENA_11!K39</f>
        <v>2909085</v>
      </c>
      <c r="O50" s="27"/>
      <c r="P50" s="25"/>
    </row>
    <row r="51" customFormat="false" ht="11.25" hidden="false" customHeight="false" outlineLevel="0" collapsed="false">
      <c r="A51" s="26"/>
      <c r="B51" s="27"/>
      <c r="C51" s="26"/>
      <c r="D51" s="27"/>
      <c r="E51" s="27"/>
      <c r="F51" s="26"/>
      <c r="G51" s="27"/>
      <c r="H51" s="27"/>
      <c r="I51" s="28" t="n">
        <f aca="false">+I49+I50</f>
        <v>-2.00955342465753</v>
      </c>
      <c r="J51" s="36" t="n">
        <f aca="false">+J49+J50</f>
        <v>0</v>
      </c>
      <c r="K51" s="36" t="n">
        <f aca="false">+K49+K50</f>
        <v>0</v>
      </c>
      <c r="L51" s="42" t="n">
        <f aca="false">+L49+L50</f>
        <v>0</v>
      </c>
      <c r="M51" s="42" t="n">
        <f aca="false">+M49+M50</f>
        <v>0</v>
      </c>
      <c r="N51" s="42" t="n">
        <f aca="false">+N49+N50</f>
        <v>0</v>
      </c>
      <c r="O51" s="27"/>
      <c r="P51" s="25"/>
    </row>
    <row r="52" customFormat="false" ht="11.25" hidden="false" customHeight="false" outlineLevel="0" collapsed="false">
      <c r="A52" s="26"/>
      <c r="B52" s="27"/>
      <c r="C52" s="26"/>
      <c r="D52" s="27"/>
      <c r="E52" s="27"/>
      <c r="F52" s="26"/>
      <c r="G52" s="27"/>
      <c r="H52" s="27"/>
      <c r="I52" s="28"/>
      <c r="J52" s="36"/>
      <c r="K52" s="57"/>
      <c r="L52" s="42"/>
      <c r="M52" s="42"/>
      <c r="N52" s="42"/>
      <c r="O52" s="27"/>
      <c r="P52" s="25"/>
    </row>
    <row r="53" customFormat="false" ht="11.25" hidden="false" customHeight="false" outlineLevel="0" collapsed="false">
      <c r="A53" s="26" t="s">
        <v>31</v>
      </c>
      <c r="B53" s="26" t="s">
        <v>50</v>
      </c>
      <c r="C53" s="26" t="s">
        <v>56</v>
      </c>
      <c r="D53" s="26" t="s">
        <v>43</v>
      </c>
      <c r="E53" s="17" t="s">
        <v>52</v>
      </c>
      <c r="F53" s="55" t="n">
        <v>36740</v>
      </c>
      <c r="G53" s="20" t="n">
        <v>3.63</v>
      </c>
      <c r="H53" s="20" t="n">
        <f aca="false">(SUM(ENA_12!G26:G37)+SUM(ENA_12!H26:H37))/12</f>
        <v>5.84975</v>
      </c>
      <c r="I53" s="28" t="n">
        <v>0.1</v>
      </c>
      <c r="J53" s="44" t="n">
        <f aca="false">-ENA_12!F22</f>
        <v>1825000</v>
      </c>
      <c r="K53" s="44" t="n">
        <f aca="false">+J53/365</f>
        <v>5000</v>
      </c>
      <c r="L53" s="33" t="n">
        <f aca="false">-ENA_12!I22</f>
        <v>-4050685</v>
      </c>
      <c r="M53" s="23" t="n">
        <f aca="false">-ENA_12!J22</f>
        <v>-957900</v>
      </c>
      <c r="N53" s="23" t="n">
        <f aca="false">-ENA_12!K22</f>
        <v>-3092785</v>
      </c>
      <c r="O53" s="33"/>
      <c r="P53" s="23" t="n">
        <f aca="false">-N53</f>
        <v>3092785</v>
      </c>
    </row>
    <row r="54" customFormat="false" ht="11.25" hidden="false" customHeight="false" outlineLevel="0" collapsed="false">
      <c r="A54" s="26" t="s">
        <v>31</v>
      </c>
      <c r="B54" s="26" t="s">
        <v>55</v>
      </c>
      <c r="C54" s="26"/>
      <c r="D54" s="26" t="s">
        <v>53</v>
      </c>
      <c r="E54" s="17" t="s">
        <v>52</v>
      </c>
      <c r="F54" s="26"/>
      <c r="G54" s="56" t="n">
        <v>3.63</v>
      </c>
      <c r="H54" s="56" t="n">
        <f aca="false">(SUM(ENA_12!G26:G37)+SUM(ENA_12!H26:H37))/12</f>
        <v>5.84975</v>
      </c>
      <c r="I54" s="30" t="n">
        <f aca="false">+L54/J54</f>
        <v>-2.21955342465753</v>
      </c>
      <c r="J54" s="45" t="n">
        <f aca="false">-ENA_12!F39</f>
        <v>-1825000</v>
      </c>
      <c r="K54" s="45" t="n">
        <f aca="false">+J54/365</f>
        <v>-5000</v>
      </c>
      <c r="L54" s="40" t="n">
        <f aca="false">-ENA_12!I39</f>
        <v>4050685</v>
      </c>
      <c r="M54" s="41" t="n">
        <f aca="false">-ENA_12!J39</f>
        <v>957900</v>
      </c>
      <c r="N54" s="41" t="n">
        <f aca="false">-ENA_12!K39</f>
        <v>3092785</v>
      </c>
      <c r="O54" s="27"/>
      <c r="P54" s="25"/>
    </row>
    <row r="55" customFormat="false" ht="11.25" hidden="false" customHeight="false" outlineLevel="0" collapsed="false">
      <c r="A55" s="26"/>
      <c r="B55" s="27"/>
      <c r="C55" s="26"/>
      <c r="D55" s="27"/>
      <c r="E55" s="27"/>
      <c r="F55" s="26"/>
      <c r="G55" s="27"/>
      <c r="H55" s="27"/>
      <c r="I55" s="28" t="n">
        <f aca="false">+I53+I54</f>
        <v>-2.11955342465753</v>
      </c>
      <c r="J55" s="36" t="n">
        <f aca="false">+J53+J54</f>
        <v>0</v>
      </c>
      <c r="K55" s="36" t="n">
        <f aca="false">+K53+K54</f>
        <v>0</v>
      </c>
      <c r="L55" s="42" t="n">
        <f aca="false">+L53+L54</f>
        <v>0</v>
      </c>
      <c r="M55" s="42" t="n">
        <f aca="false">+M53+M54</f>
        <v>0</v>
      </c>
      <c r="N55" s="42" t="n">
        <f aca="false">+N53+N54</f>
        <v>0</v>
      </c>
      <c r="O55" s="27"/>
      <c r="P55" s="25"/>
    </row>
    <row r="56" customFormat="false" ht="11.25" hidden="false" customHeight="false" outlineLevel="0" collapsed="false">
      <c r="A56" s="26"/>
      <c r="B56" s="27"/>
      <c r="C56" s="26"/>
      <c r="D56" s="27"/>
      <c r="E56" s="27"/>
      <c r="F56" s="26"/>
      <c r="G56" s="27"/>
      <c r="H56" s="27"/>
      <c r="I56" s="28"/>
      <c r="J56" s="36"/>
      <c r="K56" s="57"/>
      <c r="L56" s="42"/>
      <c r="M56" s="42"/>
      <c r="N56" s="42"/>
      <c r="O56" s="27"/>
      <c r="P56" s="25"/>
    </row>
    <row r="57" customFormat="false" ht="11.25" hidden="false" customHeight="false" outlineLevel="0" collapsed="false">
      <c r="A57" s="26" t="s">
        <v>31</v>
      </c>
      <c r="B57" s="26" t="s">
        <v>50</v>
      </c>
      <c r="C57" s="26" t="s">
        <v>57</v>
      </c>
      <c r="D57" s="26" t="s">
        <v>43</v>
      </c>
      <c r="E57" s="17" t="s">
        <v>52</v>
      </c>
      <c r="F57" s="55" t="n">
        <v>36754</v>
      </c>
      <c r="G57" s="20" t="n">
        <v>3.585</v>
      </c>
      <c r="H57" s="20" t="n">
        <f aca="false">(SUM(ENA_13!G26:G37)+SUM(ENA_13!H26:H37))/12</f>
        <v>5.84975</v>
      </c>
      <c r="I57" s="28" t="n">
        <v>0.1</v>
      </c>
      <c r="J57" s="44" t="n">
        <f aca="false">-ENA_13!F22</f>
        <v>1825000</v>
      </c>
      <c r="K57" s="44" t="n">
        <f aca="false">+J57/365</f>
        <v>5000</v>
      </c>
      <c r="L57" s="33" t="n">
        <f aca="false">-ENA_13!I22</f>
        <v>-4132810</v>
      </c>
      <c r="M57" s="23" t="n">
        <f aca="false">-ENA_13!J22</f>
        <v>-964875</v>
      </c>
      <c r="N57" s="23" t="n">
        <f aca="false">-ENA_13!K22</f>
        <v>-3167935</v>
      </c>
      <c r="O57" s="33"/>
      <c r="P57" s="23" t="n">
        <f aca="false">-N57</f>
        <v>3167935</v>
      </c>
    </row>
    <row r="58" customFormat="false" ht="11.25" hidden="false" customHeight="false" outlineLevel="0" collapsed="false">
      <c r="A58" s="26" t="s">
        <v>31</v>
      </c>
      <c r="B58" s="26" t="s">
        <v>55</v>
      </c>
      <c r="C58" s="26"/>
      <c r="D58" s="26" t="s">
        <v>53</v>
      </c>
      <c r="E58" s="17" t="s">
        <v>52</v>
      </c>
      <c r="F58" s="26"/>
      <c r="G58" s="56" t="n">
        <v>3.585</v>
      </c>
      <c r="H58" s="56" t="n">
        <f aca="false">(SUM(ENA_12!G26:G37)+SUM(ENA_12!H26:H37))/12</f>
        <v>5.84975</v>
      </c>
      <c r="I58" s="30" t="n">
        <f aca="false">+L58/J58</f>
        <v>-2.26455342465753</v>
      </c>
      <c r="J58" s="45" t="n">
        <f aca="false">-ENA_13!F39</f>
        <v>-1825000</v>
      </c>
      <c r="K58" s="45" t="n">
        <f aca="false">+J58/365</f>
        <v>-5000</v>
      </c>
      <c r="L58" s="40" t="n">
        <f aca="false">-ENA_13!I39</f>
        <v>4132810</v>
      </c>
      <c r="M58" s="41" t="n">
        <f aca="false">-ENA_13!J39</f>
        <v>964875</v>
      </c>
      <c r="N58" s="41" t="n">
        <f aca="false">-ENA_13!K39</f>
        <v>3167935</v>
      </c>
      <c r="O58" s="27"/>
      <c r="P58" s="25"/>
    </row>
    <row r="59" customFormat="false" ht="11.25" hidden="false" customHeight="false" outlineLevel="0" collapsed="false">
      <c r="A59" s="26"/>
      <c r="B59" s="27"/>
      <c r="C59" s="26"/>
      <c r="D59" s="27"/>
      <c r="E59" s="27"/>
      <c r="F59" s="26"/>
      <c r="G59" s="27"/>
      <c r="H59" s="27"/>
      <c r="I59" s="28" t="n">
        <f aca="false">+I57+I58</f>
        <v>-2.16455342465753</v>
      </c>
      <c r="J59" s="36" t="n">
        <f aca="false">+J57+J58</f>
        <v>0</v>
      </c>
      <c r="K59" s="36" t="n">
        <f aca="false">+K57+K58</f>
        <v>0</v>
      </c>
      <c r="L59" s="42" t="n">
        <f aca="false">+L57+L58</f>
        <v>0</v>
      </c>
      <c r="M59" s="42" t="n">
        <f aca="false">+M57+M58</f>
        <v>0</v>
      </c>
      <c r="N59" s="42" t="n">
        <f aca="false">+N57+N58</f>
        <v>0</v>
      </c>
      <c r="O59" s="27"/>
      <c r="P59" s="25"/>
    </row>
    <row r="60" customFormat="false" ht="11.25" hidden="false" customHeight="false" outlineLevel="0" collapsed="false">
      <c r="A60" s="26"/>
      <c r="B60" s="27"/>
      <c r="C60" s="26"/>
      <c r="D60" s="27"/>
      <c r="E60" s="27"/>
      <c r="F60" s="26"/>
      <c r="G60" s="27"/>
      <c r="H60" s="27"/>
      <c r="I60" s="28"/>
      <c r="J60" s="36"/>
      <c r="K60" s="57"/>
      <c r="L60" s="42"/>
      <c r="M60" s="42"/>
      <c r="N60" s="42"/>
      <c r="O60" s="27"/>
      <c r="P60" s="25"/>
    </row>
    <row r="61" customFormat="false" ht="23.25" hidden="false" customHeight="true" outlineLevel="0" collapsed="false">
      <c r="A61" s="26" t="s">
        <v>30</v>
      </c>
      <c r="B61" s="27" t="s">
        <v>58</v>
      </c>
      <c r="C61" s="17" t="s">
        <v>59</v>
      </c>
      <c r="D61" s="26" t="s">
        <v>43</v>
      </c>
      <c r="E61" s="27" t="s">
        <v>60</v>
      </c>
      <c r="F61" s="17" t="s">
        <v>61</v>
      </c>
      <c r="G61" s="20" t="n">
        <f aca="false">SUM('TC #HJN1001'!D14+'TC #HJN1002'!D14)/2</f>
        <v>7.47666666666667</v>
      </c>
      <c r="H61" s="27" t="n">
        <f aca="false">SUM('TC #HJN1001'!H14+'TC #HJN1002'!H14)/2</f>
        <v>7.25</v>
      </c>
      <c r="I61" s="28" t="n">
        <f aca="false">+G61-H61</f>
        <v>0.226666666666667</v>
      </c>
      <c r="J61" s="44" t="n">
        <v>-900000</v>
      </c>
      <c r="K61" s="58" t="n">
        <f aca="false">+J61/90</f>
        <v>-10000</v>
      </c>
      <c r="L61" s="44" t="n">
        <f aca="false">-'TC #HJN1001'!I14-'TC #HJN1002'!I14</f>
        <v>-203300</v>
      </c>
      <c r="M61" s="59" t="n">
        <f aca="false">-'TC #HJN1001'!J14-'TC #HJN1002'!J14</f>
        <v>-65100.0000000003</v>
      </c>
      <c r="N61" s="33" t="n">
        <f aca="false">-'TC #HJN1001'!K14-'TC #HJN1002'!K14</f>
        <v>-138200</v>
      </c>
      <c r="O61" s="33" t="n">
        <f aca="false">-N61</f>
        <v>138200</v>
      </c>
      <c r="P61" s="25"/>
    </row>
    <row r="62" customFormat="false" ht="45" hidden="false" customHeight="false" outlineLevel="0" collapsed="false">
      <c r="A62" s="26" t="s">
        <v>30</v>
      </c>
      <c r="B62" s="27" t="s">
        <v>50</v>
      </c>
      <c r="C62" s="17" t="s">
        <v>62</v>
      </c>
      <c r="D62" s="26" t="s">
        <v>43</v>
      </c>
      <c r="E62" s="27" t="s">
        <v>60</v>
      </c>
      <c r="F62" s="17" t="s">
        <v>63</v>
      </c>
      <c r="G62" s="20" t="n">
        <f aca="false">+('ENA #QH8057.1'!D14+'ENA #QF8229.1'!D14+'ENA #QF1003.1'!D14+'ENA #QF0992.1'!D14)/4</f>
        <v>7.88166666666667</v>
      </c>
      <c r="H62" s="24" t="n">
        <f aca="false">+('ENA #QH8057.1'!H14+'ENA #QF8229.1'!H14+'ENA #QF1003.1'!H14+'ENA #QF0992.1'!H14)/4</f>
        <v>7.5075</v>
      </c>
      <c r="I62" s="60" t="n">
        <f aca="false">+G62-H62</f>
        <v>0.374166666666668</v>
      </c>
      <c r="J62" s="61" t="n">
        <v>0</v>
      </c>
      <c r="K62" s="61" t="n">
        <f aca="false">+J62/90</f>
        <v>0</v>
      </c>
      <c r="L62" s="62" t="n">
        <f aca="false">-'ENA #QH8057.1'!I14-'ENA #QF8229.1'!I14-'ENA #QF1003.1'!I14-'ENA #QF0992.1'!I14</f>
        <v>580700.000000001</v>
      </c>
      <c r="M62" s="33" t="n">
        <f aca="false">-'ENA #QH8057.1'!J14-'ENA #QF8229.1'!J14-'ENA #QF1003.1'!J14-'ENA #QF0992.1'!J14</f>
        <v>77500.0000000006</v>
      </c>
      <c r="N62" s="33" t="n">
        <f aca="false">-'ENA #QH8057.1'!K14-'ENA #QF8229.1'!K14-'ENA #QF1003.1'!K14-'ENA #QF0992.1'!K14</f>
        <v>503200</v>
      </c>
      <c r="O62" s="33" t="n">
        <f aca="false">-N62</f>
        <v>-503200</v>
      </c>
      <c r="P62" s="25"/>
    </row>
    <row r="63" customFormat="false" ht="11.25" hidden="false" customHeight="false" outlineLevel="0" collapsed="false">
      <c r="A63" s="26" t="s">
        <v>30</v>
      </c>
      <c r="B63" s="63" t="s">
        <v>64</v>
      </c>
      <c r="C63" s="26" t="s">
        <v>65</v>
      </c>
      <c r="D63" s="26" t="s">
        <v>66</v>
      </c>
      <c r="E63" s="27" t="s">
        <v>60</v>
      </c>
      <c r="F63" s="26"/>
      <c r="G63" s="52" t="n">
        <f aca="false">+G61-G62</f>
        <v>-0.405000000000001</v>
      </c>
      <c r="H63" s="52" t="n">
        <f aca="false">+H61-H62</f>
        <v>-0.257499999999999</v>
      </c>
      <c r="I63" s="50" t="n">
        <f aca="false">+I61-I62</f>
        <v>-0.147500000000002</v>
      </c>
      <c r="J63" s="45" t="n">
        <v>450000</v>
      </c>
      <c r="K63" s="64" t="n">
        <f aca="false">+J63/90</f>
        <v>5000</v>
      </c>
      <c r="L63" s="40" t="n">
        <f aca="false">+M63+N63</f>
        <v>-377400</v>
      </c>
      <c r="M63" s="40" t="n">
        <f aca="false">+'[1]0101'!$E$12+'[1]0101'!$E$24+'[1]0101'!$E$36</f>
        <v>-12400.0000000005</v>
      </c>
      <c r="N63" s="40" t="n">
        <f aca="false">+'[1]0201'!$E$12+'[1]0201'!$E$24+'[1]0201'!$E$36+'[1]0301'!$E$12+'[1]0301'!$E$24+'[1]0301'!$E$36</f>
        <v>-365000</v>
      </c>
      <c r="O63" s="27"/>
      <c r="P63" s="25"/>
    </row>
    <row r="64" customFormat="false" ht="11.25" hidden="false" customHeight="false" outlineLevel="0" collapsed="false">
      <c r="A64" s="26"/>
      <c r="B64" s="27"/>
      <c r="C64" s="26"/>
      <c r="D64" s="27"/>
      <c r="E64" s="27"/>
      <c r="F64" s="26"/>
      <c r="G64" s="27"/>
      <c r="H64" s="27"/>
      <c r="I64" s="28" t="n">
        <f aca="false">+I63+I62+I61</f>
        <v>0.453333333333333</v>
      </c>
      <c r="J64" s="36" t="n">
        <f aca="false">+J61+J62+J63</f>
        <v>-450000</v>
      </c>
      <c r="K64" s="36" t="n">
        <f aca="false">+K61+K62+K63</f>
        <v>-5000</v>
      </c>
      <c r="L64" s="65" t="n">
        <f aca="false">+L63+L62+L61</f>
        <v>0</v>
      </c>
      <c r="M64" s="65" t="n">
        <f aca="false">+M63+M62+M61</f>
        <v>0</v>
      </c>
      <c r="N64" s="65" t="n">
        <f aca="false">+N63+N62+N61</f>
        <v>0</v>
      </c>
      <c r="O64" s="27"/>
      <c r="P64" s="25"/>
    </row>
    <row r="65" customFormat="false" ht="11.25" hidden="false" customHeight="false" outlineLevel="0" collapsed="false">
      <c r="A65" s="26"/>
      <c r="B65" s="27"/>
      <c r="C65" s="26"/>
      <c r="D65" s="27"/>
      <c r="E65" s="27"/>
      <c r="F65" s="26"/>
      <c r="G65" s="27"/>
      <c r="H65" s="27"/>
      <c r="I65" s="28"/>
      <c r="J65" s="36"/>
      <c r="K65" s="57"/>
      <c r="L65" s="65"/>
      <c r="M65" s="65"/>
      <c r="N65" s="65"/>
      <c r="O65" s="27"/>
      <c r="P65" s="25"/>
    </row>
    <row r="66" customFormat="false" ht="11.25" hidden="false" customHeight="false" outlineLevel="0" collapsed="false">
      <c r="A66" s="26"/>
      <c r="B66" s="27"/>
      <c r="C66" s="26"/>
      <c r="D66" s="27"/>
      <c r="E66" s="27"/>
      <c r="F66" s="26"/>
      <c r="G66" s="27"/>
      <c r="H66" s="27"/>
      <c r="I66" s="28"/>
      <c r="J66" s="36"/>
      <c r="K66" s="57"/>
      <c r="L66" s="42"/>
      <c r="M66" s="42"/>
      <c r="N66" s="42"/>
      <c r="O66" s="27"/>
      <c r="P66" s="25"/>
    </row>
    <row r="67" customFormat="false" ht="11.25" hidden="false" customHeight="false" outlineLevel="0" collapsed="false">
      <c r="A67" s="26" t="s">
        <v>30</v>
      </c>
      <c r="B67" s="27" t="s">
        <v>67</v>
      </c>
      <c r="C67" s="26" t="s">
        <v>68</v>
      </c>
      <c r="D67" s="26" t="s">
        <v>43</v>
      </c>
      <c r="E67" s="27" t="s">
        <v>69</v>
      </c>
      <c r="F67" s="55" t="n">
        <v>36902</v>
      </c>
      <c r="G67" s="49" t="n">
        <f aca="false">SUM(HJN1003!D10:D11)/2</f>
        <v>6.24</v>
      </c>
      <c r="H67" s="49" t="n">
        <f aca="false">SUM(HJN1003!H10:H11)/2</f>
        <v>6.13</v>
      </c>
      <c r="I67" s="28" t="n">
        <f aca="false">+G67-H67</f>
        <v>0.11</v>
      </c>
      <c r="J67" s="44" t="n">
        <v>590000</v>
      </c>
      <c r="K67" s="58" t="n">
        <f aca="false">+J67/59</f>
        <v>10000</v>
      </c>
      <c r="L67" s="33" t="n">
        <f aca="false">-HJN1003!I13</f>
        <v>64900.0000000002</v>
      </c>
      <c r="M67" s="33" t="n">
        <f aca="false">-HJN1003!J13</f>
        <v>-0</v>
      </c>
      <c r="N67" s="33" t="n">
        <f aca="false">-HJN1003!K13</f>
        <v>64900.0000000002</v>
      </c>
      <c r="O67" s="33" t="n">
        <f aca="false">-N67</f>
        <v>-64900.0000000002</v>
      </c>
      <c r="P67" s="25"/>
    </row>
    <row r="68" customFormat="false" ht="11.25" hidden="false" customHeight="false" outlineLevel="0" collapsed="false">
      <c r="A68" s="26" t="s">
        <v>30</v>
      </c>
      <c r="B68" s="27" t="s">
        <v>58</v>
      </c>
      <c r="C68" s="26" t="s">
        <v>70</v>
      </c>
      <c r="D68" s="26" t="s">
        <v>43</v>
      </c>
      <c r="E68" s="27" t="s">
        <v>69</v>
      </c>
      <c r="F68" s="55" t="n">
        <v>36902</v>
      </c>
      <c r="G68" s="49" t="n">
        <f aca="false">SUM(HJN1004!D10:D11)/2</f>
        <v>5.9</v>
      </c>
      <c r="H68" s="49" t="n">
        <f aca="false">SUM(HJN1004!H10:H11)/2</f>
        <v>5.915</v>
      </c>
      <c r="I68" s="28" t="n">
        <f aca="false">+G68-H68</f>
        <v>-0.0149999999999997</v>
      </c>
      <c r="J68" s="44" t="n">
        <v>-590000</v>
      </c>
      <c r="K68" s="58" t="n">
        <f aca="false">+J68/59</f>
        <v>-10000</v>
      </c>
      <c r="L68" s="33" t="n">
        <f aca="false">-HJN1004!I13</f>
        <v>9299.9999999998</v>
      </c>
      <c r="M68" s="33" t="n">
        <f aca="false">-HJN1004!J13</f>
        <v>-0</v>
      </c>
      <c r="N68" s="33" t="n">
        <f aca="false">-HJN1004!K13</f>
        <v>9299.9999999998</v>
      </c>
      <c r="O68" s="33" t="n">
        <f aca="false">-N68</f>
        <v>-9299.9999999998</v>
      </c>
      <c r="P68" s="25"/>
    </row>
    <row r="69" customFormat="false" ht="11.25" hidden="false" customHeight="false" outlineLevel="0" collapsed="false">
      <c r="A69" s="26" t="s">
        <v>30</v>
      </c>
      <c r="B69" s="27" t="s">
        <v>67</v>
      </c>
      <c r="C69" s="26" t="s">
        <v>65</v>
      </c>
      <c r="D69" s="26" t="s">
        <v>66</v>
      </c>
      <c r="E69" s="27" t="s">
        <v>69</v>
      </c>
      <c r="F69" s="26"/>
      <c r="G69" s="52" t="n">
        <f aca="false">+G67-G68</f>
        <v>0.34</v>
      </c>
      <c r="H69" s="52" t="n">
        <f aca="false">+H67-H68</f>
        <v>0.215</v>
      </c>
      <c r="I69" s="50" t="n">
        <f aca="false">+I67-I68</f>
        <v>0.125</v>
      </c>
      <c r="J69" s="45" t="n">
        <v>910000</v>
      </c>
      <c r="K69" s="66" t="n">
        <f aca="false">+J69/91</f>
        <v>10000</v>
      </c>
      <c r="L69" s="40" t="n">
        <f aca="false">+M69+N69</f>
        <v>-74200.0000000002</v>
      </c>
      <c r="M69" s="40" t="n">
        <v>0</v>
      </c>
      <c r="N69" s="40" t="n">
        <f aca="false">+'[2]0201'!$E$12+'[2]0301'!$E$12</f>
        <v>-74200.0000000002</v>
      </c>
      <c r="O69" s="27"/>
      <c r="P69" s="25"/>
    </row>
    <row r="70" customFormat="false" ht="11.25" hidden="false" customHeight="false" outlineLevel="0" collapsed="false">
      <c r="A70" s="26"/>
      <c r="B70" s="27"/>
      <c r="C70" s="26"/>
      <c r="D70" s="27"/>
      <c r="E70" s="27"/>
      <c r="F70" s="26"/>
      <c r="G70" s="27"/>
      <c r="H70" s="27"/>
      <c r="I70" s="28" t="n">
        <f aca="false">SUM(I67:I69)</f>
        <v>0.220000000000001</v>
      </c>
      <c r="J70" s="36" t="n">
        <f aca="false">SUM(J67:J69)</f>
        <v>910000</v>
      </c>
      <c r="K70" s="57" t="n">
        <f aca="false">SUM(K67:K69)</f>
        <v>10000</v>
      </c>
      <c r="L70" s="42" t="n">
        <f aca="false">SUM(L67:L69)</f>
        <v>0</v>
      </c>
      <c r="M70" s="42" t="n">
        <f aca="false">SUM(M67:M69)</f>
        <v>0</v>
      </c>
      <c r="N70" s="42" t="n">
        <f aca="false">SUM(N67:N69)</f>
        <v>0</v>
      </c>
      <c r="O70" s="27"/>
      <c r="P70" s="25"/>
    </row>
    <row r="71" customFormat="false" ht="11.25" hidden="false" customHeight="false" outlineLevel="0" collapsed="false">
      <c r="A71" s="26"/>
      <c r="B71" s="27"/>
      <c r="C71" s="26"/>
      <c r="D71" s="27"/>
      <c r="E71" s="27"/>
      <c r="F71" s="26"/>
      <c r="G71" s="27"/>
      <c r="H71" s="27"/>
      <c r="I71" s="28"/>
      <c r="J71" s="36"/>
      <c r="K71" s="57"/>
      <c r="L71" s="42"/>
      <c r="M71" s="42"/>
      <c r="N71" s="42"/>
      <c r="O71" s="27"/>
      <c r="P71" s="25"/>
    </row>
    <row r="72" customFormat="false" ht="11.25" hidden="false" customHeight="false" outlineLevel="0" collapsed="false">
      <c r="A72" s="67" t="s">
        <v>31</v>
      </c>
      <c r="B72" s="68" t="s">
        <v>71</v>
      </c>
      <c r="C72" s="26" t="s">
        <v>72</v>
      </c>
      <c r="D72" s="67" t="s">
        <v>43</v>
      </c>
      <c r="E72" s="27" t="s">
        <v>73</v>
      </c>
      <c r="F72" s="55" t="n">
        <v>36902</v>
      </c>
      <c r="G72" s="20" t="n">
        <f aca="false">+'QL5363.1'!D10</f>
        <v>4.505</v>
      </c>
      <c r="H72" s="20" t="n">
        <f aca="false">+'QL5363.1'!H10</f>
        <v>5.205</v>
      </c>
      <c r="I72" s="20" t="n">
        <f aca="false">+G72-H72</f>
        <v>-0.7</v>
      </c>
      <c r="J72" s="44" t="n">
        <f aca="false">+'QL5363.1'!F15</f>
        <v>-418500</v>
      </c>
      <c r="K72" s="58" t="n">
        <f aca="false">+J72/31</f>
        <v>-13500</v>
      </c>
      <c r="L72" s="33" t="n">
        <f aca="false">-'QL5363.1'!I12</f>
        <v>292950</v>
      </c>
      <c r="M72" s="33" t="n">
        <f aca="false">-'QL5363.1'!J12</f>
        <v>-0</v>
      </c>
      <c r="N72" s="33" t="n">
        <f aca="false">-'QL5363.1'!K12</f>
        <v>292950</v>
      </c>
      <c r="O72" s="33"/>
      <c r="P72" s="23" t="n">
        <f aca="false">-N72</f>
        <v>-292950</v>
      </c>
    </row>
    <row r="73" customFormat="false" ht="11.25" hidden="false" customHeight="false" outlineLevel="0" collapsed="false">
      <c r="A73" s="67" t="s">
        <v>31</v>
      </c>
      <c r="B73" s="68" t="s">
        <v>71</v>
      </c>
      <c r="C73" s="26" t="s">
        <v>74</v>
      </c>
      <c r="D73" s="67" t="s">
        <v>43</v>
      </c>
      <c r="E73" s="27" t="s">
        <v>73</v>
      </c>
      <c r="F73" s="69" t="n">
        <v>36902</v>
      </c>
      <c r="G73" s="29" t="n">
        <f aca="false">+'QL5365.1'!D10</f>
        <v>5.615</v>
      </c>
      <c r="H73" s="29" t="n">
        <f aca="false">+'QL5365.1'!H10</f>
        <v>7.68</v>
      </c>
      <c r="I73" s="29" t="n">
        <f aca="false">+G73-H73</f>
        <v>-2.065</v>
      </c>
      <c r="J73" s="44" t="n">
        <f aca="false">+'QL5365.1'!F15</f>
        <v>418500</v>
      </c>
      <c r="K73" s="58" t="n">
        <f aca="false">+J73/31</f>
        <v>13500</v>
      </c>
      <c r="L73" s="62" t="n">
        <f aca="false">-'QL5365.1'!I12</f>
        <v>-864202.5</v>
      </c>
      <c r="M73" s="62" t="n">
        <f aca="false">-'QL5365.1'!J12</f>
        <v>-0</v>
      </c>
      <c r="N73" s="62" t="n">
        <f aca="false">-'QL5365.1'!K12</f>
        <v>-864202.5</v>
      </c>
      <c r="O73" s="33"/>
      <c r="P73" s="23" t="n">
        <f aca="false">-N73</f>
        <v>864202.5</v>
      </c>
    </row>
    <row r="74" customFormat="false" ht="11.25" hidden="false" customHeight="false" outlineLevel="0" collapsed="false">
      <c r="A74" s="67" t="s">
        <v>31</v>
      </c>
      <c r="B74" s="68" t="s">
        <v>75</v>
      </c>
      <c r="C74" s="26" t="n">
        <v>27457</v>
      </c>
      <c r="D74" s="67" t="s">
        <v>66</v>
      </c>
      <c r="E74" s="27" t="s">
        <v>73</v>
      </c>
      <c r="F74" s="55" t="n">
        <v>36902</v>
      </c>
      <c r="G74" s="70"/>
      <c r="H74" s="70"/>
      <c r="I74" s="30"/>
      <c r="J74" s="71"/>
      <c r="K74" s="72"/>
      <c r="L74" s="73" t="n">
        <f aca="false">-L72-L73</f>
        <v>571252.5</v>
      </c>
      <c r="M74" s="73" t="n">
        <f aca="false">-M72-M73</f>
        <v>0</v>
      </c>
      <c r="N74" s="73" t="n">
        <f aca="false">-N72-N73</f>
        <v>571252.5</v>
      </c>
      <c r="O74" s="27"/>
      <c r="P74" s="25"/>
    </row>
    <row r="75" customFormat="false" ht="11.25" hidden="false" customHeight="false" outlineLevel="0" collapsed="false">
      <c r="A75" s="67"/>
      <c r="B75" s="68"/>
      <c r="C75" s="26"/>
      <c r="D75" s="67"/>
      <c r="E75" s="27"/>
      <c r="F75" s="55"/>
      <c r="G75" s="27"/>
      <c r="H75" s="27"/>
      <c r="I75" s="28"/>
      <c r="J75" s="44"/>
      <c r="K75" s="58"/>
      <c r="L75" s="33" t="n">
        <f aca="false">SUM(L72:L74)</f>
        <v>0</v>
      </c>
      <c r="M75" s="33" t="n">
        <f aca="false">SUM(M72:M74)</f>
        <v>0</v>
      </c>
      <c r="N75" s="33" t="n">
        <f aca="false">SUM(N72:N74)</f>
        <v>0</v>
      </c>
      <c r="O75" s="27"/>
      <c r="P75" s="25"/>
    </row>
    <row r="76" customFormat="false" ht="11.25" hidden="false" customHeight="false" outlineLevel="0" collapsed="false">
      <c r="A76" s="67"/>
      <c r="B76" s="27"/>
      <c r="C76" s="26"/>
      <c r="D76" s="27"/>
      <c r="E76" s="27"/>
      <c r="F76" s="26"/>
      <c r="G76" s="27"/>
      <c r="H76" s="27"/>
      <c r="I76" s="28"/>
      <c r="J76" s="36"/>
      <c r="K76" s="57"/>
      <c r="L76" s="42"/>
      <c r="M76" s="42"/>
      <c r="N76" s="42"/>
      <c r="O76" s="27"/>
      <c r="P76" s="25"/>
    </row>
    <row r="77" customFormat="false" ht="11.25" hidden="false" customHeight="false" outlineLevel="0" collapsed="false">
      <c r="A77" s="26"/>
      <c r="B77" s="27"/>
      <c r="C77" s="26"/>
      <c r="D77" s="27"/>
      <c r="E77" s="27"/>
      <c r="F77" s="26"/>
      <c r="G77" s="27"/>
      <c r="H77" s="27"/>
      <c r="I77" s="28"/>
      <c r="J77" s="36"/>
      <c r="K77" s="57"/>
      <c r="L77" s="42"/>
      <c r="M77" s="42"/>
      <c r="N77" s="42"/>
      <c r="O77" s="27"/>
      <c r="P77" s="25"/>
    </row>
    <row r="78" customFormat="false" ht="11.25" hidden="false" customHeight="false" outlineLevel="0" collapsed="false">
      <c r="A78" s="67" t="s">
        <v>31</v>
      </c>
      <c r="B78" s="68" t="s">
        <v>71</v>
      </c>
      <c r="C78" s="67" t="s">
        <v>76</v>
      </c>
      <c r="D78" s="67" t="s">
        <v>43</v>
      </c>
      <c r="E78" s="68" t="s">
        <v>77</v>
      </c>
      <c r="F78" s="74" t="n">
        <v>36903</v>
      </c>
      <c r="G78" s="20" t="n">
        <f aca="false">SUM('QL2915.1'!D10:D21)/12</f>
        <v>4.42125</v>
      </c>
      <c r="H78" s="20" t="n">
        <f aca="false">SUM('QL2915.1'!H10:H21)/12</f>
        <v>4.48666666666667</v>
      </c>
      <c r="I78" s="75" t="n">
        <f aca="false">+G78-H78</f>
        <v>-0.0654166666666667</v>
      </c>
      <c r="J78" s="76" t="n">
        <f aca="false">-'QL2915.1'!F22</f>
        <v>-10037500</v>
      </c>
      <c r="K78" s="77" t="n">
        <f aca="false">+J78/365</f>
        <v>-27500</v>
      </c>
      <c r="L78" s="78" t="n">
        <f aca="false">-'QL2915.1'!I25</f>
        <v>657937.499999999</v>
      </c>
      <c r="M78" s="78" t="n">
        <f aca="false">-'QL2915.1'!J25</f>
        <v>-0</v>
      </c>
      <c r="N78" s="78" t="n">
        <f aca="false">-'QL2915.1'!K25</f>
        <v>657937.499999999</v>
      </c>
      <c r="O78" s="33"/>
      <c r="P78" s="23" t="n">
        <f aca="false">-N78</f>
        <v>-657937.499999999</v>
      </c>
    </row>
    <row r="79" customFormat="false" ht="11.25" hidden="false" customHeight="false" outlineLevel="0" collapsed="false">
      <c r="A79" s="67" t="s">
        <v>31</v>
      </c>
      <c r="B79" s="68" t="s">
        <v>71</v>
      </c>
      <c r="C79" s="67" t="s">
        <v>78</v>
      </c>
      <c r="D79" s="67" t="s">
        <v>43</v>
      </c>
      <c r="E79" s="68" t="s">
        <v>77</v>
      </c>
      <c r="F79" s="74" t="n">
        <v>36903</v>
      </c>
      <c r="G79" s="20" t="n">
        <f aca="false">SUM('QL2918.1'!D10:D21)/12</f>
        <v>5.74125</v>
      </c>
      <c r="H79" s="29" t="n">
        <f aca="false">SUM('QL2918.1'!H10:H21)/12</f>
        <v>6.50958333333333</v>
      </c>
      <c r="I79" s="79" t="n">
        <f aca="false">+G79-H79</f>
        <v>-0.768333333333333</v>
      </c>
      <c r="J79" s="80" t="n">
        <f aca="false">-'QL2918.1'!F25</f>
        <v>-10037500</v>
      </c>
      <c r="K79" s="80" t="n">
        <f aca="false">+J79/365</f>
        <v>-27500</v>
      </c>
      <c r="L79" s="81" t="n">
        <f aca="false">-'QL2918.1'!I25</f>
        <v>-7702337.5</v>
      </c>
      <c r="M79" s="78" t="n">
        <f aca="false">-'QL2918.1'!J25</f>
        <v>-0</v>
      </c>
      <c r="N79" s="81" t="n">
        <f aca="false">-'QL2918.1'!K25</f>
        <v>-7702337.5</v>
      </c>
      <c r="O79" s="33"/>
      <c r="P79" s="23" t="n">
        <f aca="false">-N79</f>
        <v>7702337.5</v>
      </c>
    </row>
    <row r="80" customFormat="false" ht="11.25" hidden="false" customHeight="false" outlineLevel="0" collapsed="false">
      <c r="A80" s="67" t="s">
        <v>31</v>
      </c>
      <c r="B80" s="68" t="s">
        <v>79</v>
      </c>
      <c r="C80" s="67" t="n">
        <v>27454</v>
      </c>
      <c r="D80" s="67" t="s">
        <v>66</v>
      </c>
      <c r="E80" s="68" t="s">
        <v>77</v>
      </c>
      <c r="F80" s="74" t="n">
        <v>36901</v>
      </c>
      <c r="G80" s="56"/>
      <c r="H80" s="56"/>
      <c r="I80" s="30"/>
      <c r="J80" s="71"/>
      <c r="K80" s="72"/>
      <c r="L80" s="73" t="n">
        <f aca="false">+M80+N80</f>
        <v>7044400</v>
      </c>
      <c r="M80" s="73" t="n">
        <v>0</v>
      </c>
      <c r="N80" s="73" t="n">
        <f aca="false">+'[3]0102'!$E$12+'[3]0202'!$E$12+'[3]0302'!$E$12+'[3]0402'!$E$12+'[3]0502'!$E$12+'[3]0602'!$E$12+'[3]0702'!$E$12+'[3]0802'!$E$12+'[3]0902'!$E$12+'[3]1002'!$E$12+'[3]1102'!$E$12+'[3]1202.'!$E$12</f>
        <v>7044400</v>
      </c>
      <c r="O80" s="27"/>
      <c r="P80" s="25"/>
    </row>
    <row r="81" customFormat="false" ht="11.25" hidden="false" customHeight="false" outlineLevel="0" collapsed="false">
      <c r="A81" s="67"/>
      <c r="B81" s="68"/>
      <c r="C81" s="67"/>
      <c r="D81" s="68"/>
      <c r="E81" s="68"/>
      <c r="F81" s="67"/>
      <c r="G81" s="68"/>
      <c r="H81" s="68"/>
      <c r="I81" s="75"/>
      <c r="J81" s="82"/>
      <c r="K81" s="83"/>
      <c r="L81" s="84" t="n">
        <f aca="false">+L78+L79+L80</f>
        <v>0</v>
      </c>
      <c r="M81" s="84" t="n">
        <f aca="false">+M78+M79+M80</f>
        <v>0</v>
      </c>
      <c r="N81" s="84" t="n">
        <f aca="false">+N78+N79+N80</f>
        <v>0</v>
      </c>
      <c r="O81" s="27"/>
      <c r="P81" s="25"/>
    </row>
    <row r="82" customFormat="false" ht="11.25" hidden="false" customHeight="false" outlineLevel="0" collapsed="false">
      <c r="A82" s="67"/>
      <c r="B82" s="68"/>
      <c r="C82" s="67"/>
      <c r="D82" s="68"/>
      <c r="E82" s="68"/>
      <c r="F82" s="67"/>
      <c r="G82" s="68"/>
      <c r="H82" s="68"/>
      <c r="I82" s="75"/>
      <c r="J82" s="82"/>
      <c r="K82" s="83"/>
      <c r="L82" s="84"/>
      <c r="M82" s="84"/>
      <c r="N82" s="84"/>
      <c r="O82" s="27"/>
      <c r="P82" s="25"/>
    </row>
    <row r="83" customFormat="false" ht="11.25" hidden="false" customHeight="false" outlineLevel="0" collapsed="false">
      <c r="A83" s="67" t="s">
        <v>31</v>
      </c>
      <c r="B83" s="68" t="s">
        <v>71</v>
      </c>
      <c r="C83" s="67" t="s">
        <v>80</v>
      </c>
      <c r="D83" s="67" t="s">
        <v>43</v>
      </c>
      <c r="E83" s="68" t="s">
        <v>81</v>
      </c>
      <c r="F83" s="74" t="n">
        <v>36907</v>
      </c>
      <c r="G83" s="20" t="n">
        <f aca="false">SUM('QL5424.1'!D10:D11)/2</f>
        <v>5.4725</v>
      </c>
      <c r="H83" s="20" t="n">
        <f aca="false">SUM('QL5424.1'!H10:H11)/2</f>
        <v>5.9825</v>
      </c>
      <c r="I83" s="20" t="n">
        <f aca="false">+G83-H83</f>
        <v>-0.51</v>
      </c>
      <c r="J83" s="76" t="n">
        <f aca="false">+'QL5424.1'!F16</f>
        <v>1311500</v>
      </c>
      <c r="K83" s="77" t="n">
        <f aca="false">+J83/61</f>
        <v>21500</v>
      </c>
      <c r="L83" s="78" t="n">
        <f aca="false">-'QL5424.1'!I16</f>
        <v>-668865</v>
      </c>
      <c r="M83" s="78" t="n">
        <f aca="false">-'QL5424.1'!J16</f>
        <v>-0</v>
      </c>
      <c r="N83" s="78" t="n">
        <f aca="false">-'QL5424.1'!K16</f>
        <v>-668865</v>
      </c>
      <c r="O83" s="33"/>
      <c r="P83" s="23" t="n">
        <f aca="false">-N83</f>
        <v>668865</v>
      </c>
    </row>
    <row r="84" customFormat="false" ht="11.25" hidden="false" customHeight="false" outlineLevel="0" collapsed="false">
      <c r="A84" s="67" t="s">
        <v>31</v>
      </c>
      <c r="B84" s="68" t="s">
        <v>71</v>
      </c>
      <c r="C84" s="67" t="s">
        <v>82</v>
      </c>
      <c r="D84" s="67" t="s">
        <v>43</v>
      </c>
      <c r="E84" s="68" t="s">
        <v>81</v>
      </c>
      <c r="F84" s="74" t="n">
        <v>36907</v>
      </c>
      <c r="G84" s="20" t="n">
        <f aca="false">SUM('QL5424.1'!D10:D11)/2</f>
        <v>5.4725</v>
      </c>
      <c r="H84" s="20" t="n">
        <f aca="false">SUM('QL5444.1'!H10:H11)/2</f>
        <v>4.4475</v>
      </c>
      <c r="I84" s="20" t="n">
        <f aca="false">+G84-H84</f>
        <v>1.025</v>
      </c>
      <c r="J84" s="76" t="n">
        <f aca="false">+'QL5444.1'!F16</f>
        <v>-1311500</v>
      </c>
      <c r="K84" s="77" t="n">
        <f aca="false">+J84/61</f>
        <v>-21500</v>
      </c>
      <c r="L84" s="78" t="n">
        <f aca="false">-'QL5444.1'!I16</f>
        <v>-32787.4999999993</v>
      </c>
      <c r="M84" s="78" t="n">
        <f aca="false">-'QL5444.1'!J16</f>
        <v>-0</v>
      </c>
      <c r="N84" s="78" t="n">
        <f aca="false">-'QL5444.1'!K16</f>
        <v>-32787.4999999993</v>
      </c>
      <c r="O84" s="33"/>
      <c r="P84" s="23" t="n">
        <f aca="false">-N84</f>
        <v>32787.4999999993</v>
      </c>
    </row>
    <row r="85" customFormat="false" ht="11.25" hidden="false" customHeight="false" outlineLevel="0" collapsed="false">
      <c r="A85" s="67" t="s">
        <v>31</v>
      </c>
      <c r="B85" s="68" t="s">
        <v>75</v>
      </c>
      <c r="C85" s="67" t="n">
        <v>27456</v>
      </c>
      <c r="D85" s="67" t="s">
        <v>66</v>
      </c>
      <c r="E85" s="68" t="s">
        <v>81</v>
      </c>
      <c r="F85" s="74" t="n">
        <v>36902</v>
      </c>
      <c r="G85" s="56"/>
      <c r="H85" s="56"/>
      <c r="I85" s="56"/>
      <c r="J85" s="71"/>
      <c r="K85" s="72"/>
      <c r="L85" s="73" t="n">
        <f aca="false">-L83-L84</f>
        <v>701652.499999999</v>
      </c>
      <c r="M85" s="73" t="n">
        <f aca="false">-M83-M84</f>
        <v>0</v>
      </c>
      <c r="N85" s="73" t="n">
        <f aca="false">-N83-N84</f>
        <v>701652.499999999</v>
      </c>
      <c r="O85" s="27"/>
      <c r="P85" s="25"/>
    </row>
    <row r="86" customFormat="false" ht="11.25" hidden="false" customHeight="false" outlineLevel="0" collapsed="false">
      <c r="A86" s="67"/>
      <c r="B86" s="68"/>
      <c r="C86" s="67"/>
      <c r="D86" s="68"/>
      <c r="E86" s="68"/>
      <c r="F86" s="67"/>
      <c r="G86" s="20"/>
      <c r="H86" s="20"/>
      <c r="I86" s="20"/>
      <c r="J86" s="76"/>
      <c r="K86" s="77"/>
      <c r="L86" s="78" t="n">
        <f aca="false">SUM(L83:L85)</f>
        <v>0</v>
      </c>
      <c r="M86" s="78" t="n">
        <f aca="false">SUM(M83:M85)</f>
        <v>0</v>
      </c>
      <c r="N86" s="78" t="n">
        <f aca="false">SUM(N83:N85)</f>
        <v>0</v>
      </c>
      <c r="O86" s="27"/>
      <c r="P86" s="25"/>
    </row>
    <row r="87" customFormat="false" ht="11.25" hidden="false" customHeight="false" outlineLevel="0" collapsed="false">
      <c r="A87" s="67"/>
      <c r="B87" s="68"/>
      <c r="C87" s="67"/>
      <c r="D87" s="68"/>
      <c r="E87" s="68"/>
      <c r="F87" s="67"/>
      <c r="G87" s="68"/>
      <c r="H87" s="68"/>
      <c r="I87" s="75"/>
      <c r="J87" s="82"/>
      <c r="K87" s="83"/>
      <c r="L87" s="84"/>
      <c r="M87" s="84"/>
      <c r="N87" s="84"/>
      <c r="O87" s="27"/>
      <c r="P87" s="25"/>
    </row>
    <row r="88" customFormat="false" ht="11.25" hidden="false" customHeight="false" outlineLevel="0" collapsed="false">
      <c r="A88" s="67" t="s">
        <v>31</v>
      </c>
      <c r="B88" s="68" t="s">
        <v>71</v>
      </c>
      <c r="C88" s="67" t="s">
        <v>83</v>
      </c>
      <c r="D88" s="67" t="s">
        <v>43</v>
      </c>
      <c r="E88" s="68" t="s">
        <v>84</v>
      </c>
      <c r="F88" s="74" t="n">
        <v>36907</v>
      </c>
      <c r="G88" s="20" t="n">
        <f aca="false">SUM('QL5357.1'!D10:D21)/12</f>
        <v>5.27916666666667</v>
      </c>
      <c r="H88" s="20" t="n">
        <f aca="false">SUM('QL5357.1'!H10:H21)/12</f>
        <v>5.56308333333333</v>
      </c>
      <c r="I88" s="75" t="n">
        <f aca="false">+G88-H88</f>
        <v>-0.283916666666666</v>
      </c>
      <c r="J88" s="76" t="n">
        <f aca="false">'QL5357.1'!F25</f>
        <v>13687500</v>
      </c>
      <c r="K88" s="77" t="n">
        <f aca="false">+J88/365</f>
        <v>37500</v>
      </c>
      <c r="L88" s="78" t="n">
        <f aca="false">-'QL5357.1'!I22</f>
        <v>-3886537.49999999</v>
      </c>
      <c r="M88" s="78" t="n">
        <f aca="false">-'QL5357.1'!J22</f>
        <v>-0</v>
      </c>
      <c r="N88" s="78" t="n">
        <f aca="false">-'QL5357.1'!K22</f>
        <v>-3886537.49999999</v>
      </c>
      <c r="O88" s="33"/>
      <c r="P88" s="23" t="n">
        <f aca="false">-N88</f>
        <v>3886537.49999999</v>
      </c>
    </row>
    <row r="89" customFormat="false" ht="11.25" hidden="false" customHeight="false" outlineLevel="0" collapsed="false">
      <c r="A89" s="67" t="s">
        <v>31</v>
      </c>
      <c r="B89" s="68" t="s">
        <v>71</v>
      </c>
      <c r="C89" s="67" t="s">
        <v>85</v>
      </c>
      <c r="D89" s="67" t="s">
        <v>43</v>
      </c>
      <c r="E89" s="68" t="s">
        <v>84</v>
      </c>
      <c r="F89" s="74" t="n">
        <v>36907</v>
      </c>
      <c r="G89" s="20" t="n">
        <f aca="false">SUM('QL5358.1'!D10:D21)/12</f>
        <v>4.09916666666667</v>
      </c>
      <c r="H89" s="20" t="n">
        <f aca="false">SUM('QL5358.1'!H10:H21)/12</f>
        <v>4.07708333333333</v>
      </c>
      <c r="I89" s="75" t="n">
        <f aca="false">+G89-H89</f>
        <v>0.0220833333333328</v>
      </c>
      <c r="J89" s="76" t="n">
        <f aca="false">+'QL5358.1'!F25</f>
        <v>-13687500</v>
      </c>
      <c r="K89" s="77" t="n">
        <f aca="false">+J89/365</f>
        <v>-37500</v>
      </c>
      <c r="L89" s="78" t="n">
        <f aca="false">-'QL5358.1'!I22</f>
        <v>-302062.499999997</v>
      </c>
      <c r="M89" s="78" t="n">
        <f aca="false">-'QL5358.1'!J22</f>
        <v>-0</v>
      </c>
      <c r="N89" s="78" t="n">
        <f aca="false">-'QL5358.1'!K22</f>
        <v>-302062.499999997</v>
      </c>
      <c r="O89" s="33"/>
      <c r="P89" s="23" t="n">
        <f aca="false">-N89</f>
        <v>302062.499999997</v>
      </c>
    </row>
    <row r="90" customFormat="false" ht="11.25" hidden="false" customHeight="false" outlineLevel="0" collapsed="false">
      <c r="A90" s="67" t="s">
        <v>31</v>
      </c>
      <c r="B90" s="68" t="s">
        <v>75</v>
      </c>
      <c r="C90" s="67" t="n">
        <v>27453</v>
      </c>
      <c r="D90" s="67" t="s">
        <v>66</v>
      </c>
      <c r="E90" s="68" t="s">
        <v>84</v>
      </c>
      <c r="F90" s="74" t="n">
        <v>36902</v>
      </c>
      <c r="G90" s="85"/>
      <c r="H90" s="85"/>
      <c r="I90" s="86"/>
      <c r="J90" s="87"/>
      <c r="K90" s="88"/>
      <c r="L90" s="73" t="n">
        <f aca="false">-L88-L89</f>
        <v>4188599.99999999</v>
      </c>
      <c r="M90" s="73" t="n">
        <f aca="false">-M88-M89</f>
        <v>0</v>
      </c>
      <c r="N90" s="73" t="n">
        <f aca="false">-N88-N89</f>
        <v>4188599.99999999</v>
      </c>
      <c r="O90" s="27"/>
      <c r="P90" s="25"/>
    </row>
    <row r="91" customFormat="false" ht="11.25" hidden="false" customHeight="false" outlineLevel="0" collapsed="false">
      <c r="A91" s="67"/>
      <c r="B91" s="68"/>
      <c r="C91" s="67"/>
      <c r="D91" s="68"/>
      <c r="E91" s="68"/>
      <c r="F91" s="67"/>
      <c r="G91" s="89"/>
      <c r="H91" s="89"/>
      <c r="I91" s="90"/>
      <c r="J91" s="82" t="n">
        <f aca="false">+J90+J89+J88</f>
        <v>0</v>
      </c>
      <c r="K91" s="82" t="n">
        <f aca="false">+K90+K89+K88</f>
        <v>0</v>
      </c>
      <c r="L91" s="84" t="n">
        <f aca="false">+L90+L89+L88</f>
        <v>0</v>
      </c>
      <c r="M91" s="84" t="n">
        <f aca="false">+M90+M89+M88</f>
        <v>0</v>
      </c>
      <c r="N91" s="84" t="n">
        <f aca="false">+N90+N89+N88</f>
        <v>0</v>
      </c>
      <c r="O91" s="27"/>
      <c r="P91" s="25"/>
    </row>
    <row r="92" customFormat="false" ht="11.25" hidden="false" customHeight="false" outlineLevel="0" collapsed="false">
      <c r="A92" s="67"/>
      <c r="B92" s="68"/>
      <c r="C92" s="67"/>
      <c r="D92" s="68"/>
      <c r="E92" s="68"/>
      <c r="F92" s="67"/>
      <c r="G92" s="89"/>
      <c r="H92" s="89"/>
      <c r="I92" s="90"/>
      <c r="J92" s="82"/>
      <c r="K92" s="83"/>
      <c r="L92" s="84"/>
      <c r="M92" s="84"/>
      <c r="N92" s="84"/>
      <c r="O92" s="27"/>
      <c r="P92" s="25"/>
    </row>
    <row r="93" customFormat="false" ht="11.25" hidden="false" customHeight="false" outlineLevel="0" collapsed="false">
      <c r="A93" s="67" t="s">
        <v>31</v>
      </c>
      <c r="B93" s="68" t="s">
        <v>71</v>
      </c>
      <c r="C93" s="67" t="s">
        <v>86</v>
      </c>
      <c r="D93" s="67" t="s">
        <v>43</v>
      </c>
      <c r="E93" s="68" t="s">
        <v>84</v>
      </c>
      <c r="F93" s="74" t="n">
        <v>36908</v>
      </c>
      <c r="G93" s="20" t="n">
        <f aca="false">SUM('QL9270.1'!D10:D21)/12</f>
        <v>5.40916666666667</v>
      </c>
      <c r="H93" s="20" t="n">
        <f aca="false">SUM('QL9270.1'!H10:H21)/12</f>
        <v>5.56308333333333</v>
      </c>
      <c r="I93" s="75" t="n">
        <f aca="false">+G93-H93</f>
        <v>-0.153916666666666</v>
      </c>
      <c r="J93" s="76" t="n">
        <f aca="false">+'QL9270.1'!F22</f>
        <v>4197500</v>
      </c>
      <c r="K93" s="77" t="n">
        <f aca="false">+J93/365</f>
        <v>11500</v>
      </c>
      <c r="L93" s="78" t="n">
        <f aca="false">-'QL9270.1'!I22</f>
        <v>-646196.499999998</v>
      </c>
      <c r="M93" s="78" t="n">
        <f aca="false">-'QL9270.1'!J22</f>
        <v>-0</v>
      </c>
      <c r="N93" s="78" t="n">
        <f aca="false">-'QL9270.1'!K22</f>
        <v>-646196.499999998</v>
      </c>
      <c r="O93" s="33"/>
      <c r="P93" s="23" t="n">
        <f aca="false">-N93</f>
        <v>646196.499999998</v>
      </c>
    </row>
    <row r="94" customFormat="false" ht="11.25" hidden="false" customHeight="false" outlineLevel="0" collapsed="false">
      <c r="A94" s="67" t="s">
        <v>31</v>
      </c>
      <c r="B94" s="68" t="s">
        <v>71</v>
      </c>
      <c r="C94" s="67" t="s">
        <v>87</v>
      </c>
      <c r="D94" s="67" t="s">
        <v>43</v>
      </c>
      <c r="E94" s="68" t="s">
        <v>84</v>
      </c>
      <c r="F94" s="74" t="n">
        <v>36908</v>
      </c>
      <c r="G94" s="20" t="n">
        <f aca="false">SUM('QL9273.1'!D10:D21)/12</f>
        <v>4.10916666666667</v>
      </c>
      <c r="H94" s="20" t="n">
        <f aca="false">SUM('QL9273.1'!H11:H21)/12</f>
        <v>3.69875</v>
      </c>
      <c r="I94" s="75" t="n">
        <f aca="false">+G94-H94</f>
        <v>0.410416666666667</v>
      </c>
      <c r="J94" s="76" t="n">
        <f aca="false">+'QL9273.1'!F22</f>
        <v>-4197500</v>
      </c>
      <c r="K94" s="77" t="n">
        <f aca="false">+J94/365</f>
        <v>-11500</v>
      </c>
      <c r="L94" s="78" t="n">
        <f aca="false">-'QL9273.1'!I22</f>
        <v>-134607.5</v>
      </c>
      <c r="M94" s="78" t="n">
        <f aca="false">-'QL9273.1'!J22</f>
        <v>-0</v>
      </c>
      <c r="N94" s="78" t="n">
        <f aca="false">-'QL9273.1'!K22</f>
        <v>-134607.5</v>
      </c>
      <c r="O94" s="33"/>
      <c r="P94" s="23" t="n">
        <f aca="false">-N94</f>
        <v>134607.5</v>
      </c>
    </row>
    <row r="95" customFormat="false" ht="11.25" hidden="false" customHeight="false" outlineLevel="0" collapsed="false">
      <c r="A95" s="67" t="s">
        <v>31</v>
      </c>
      <c r="B95" s="68" t="s">
        <v>88</v>
      </c>
      <c r="C95" s="67" t="n">
        <v>27458</v>
      </c>
      <c r="D95" s="67" t="s">
        <v>66</v>
      </c>
      <c r="E95" s="68" t="s">
        <v>84</v>
      </c>
      <c r="F95" s="74" t="n">
        <v>36902</v>
      </c>
      <c r="G95" s="85"/>
      <c r="H95" s="85"/>
      <c r="I95" s="86"/>
      <c r="J95" s="87"/>
      <c r="K95" s="91"/>
      <c r="L95" s="73" t="n">
        <f aca="false">-L93-L94</f>
        <v>780803.999999998</v>
      </c>
      <c r="M95" s="73" t="n">
        <f aca="false">-M93-M94</f>
        <v>0</v>
      </c>
      <c r="N95" s="73" t="n">
        <f aca="false">-N93-N94</f>
        <v>780803.999999998</v>
      </c>
      <c r="O95" s="27"/>
      <c r="P95" s="25"/>
    </row>
    <row r="96" customFormat="false" ht="11.25" hidden="false" customHeight="false" outlineLevel="0" collapsed="false">
      <c r="A96" s="67"/>
      <c r="B96" s="68"/>
      <c r="C96" s="67"/>
      <c r="D96" s="68"/>
      <c r="E96" s="68"/>
      <c r="F96" s="67"/>
      <c r="G96" s="89"/>
      <c r="H96" s="89"/>
      <c r="I96" s="90"/>
      <c r="J96" s="82"/>
      <c r="K96" s="83"/>
      <c r="L96" s="84" t="n">
        <f aca="false">SUM(L93:L95)</f>
        <v>0</v>
      </c>
      <c r="M96" s="84" t="n">
        <f aca="false">SUM(M93:M95)</f>
        <v>0</v>
      </c>
      <c r="N96" s="84" t="n">
        <f aca="false">SUM(N93:N95)</f>
        <v>0</v>
      </c>
      <c r="O96" s="27"/>
      <c r="P96" s="25"/>
    </row>
    <row r="97" customFormat="false" ht="11.25" hidden="false" customHeight="false" outlineLevel="0" collapsed="false">
      <c r="A97" s="67"/>
      <c r="B97" s="68"/>
      <c r="C97" s="67"/>
      <c r="D97" s="68"/>
      <c r="E97" s="68"/>
      <c r="F97" s="67"/>
      <c r="G97" s="68"/>
      <c r="H97" s="68"/>
      <c r="I97" s="75"/>
      <c r="J97" s="82"/>
      <c r="K97" s="83"/>
      <c r="L97" s="84"/>
      <c r="M97" s="84"/>
      <c r="N97" s="84"/>
      <c r="O97" s="27"/>
      <c r="P97" s="25"/>
    </row>
    <row r="98" customFormat="false" ht="11.25" hidden="false" customHeight="false" outlineLevel="0" collapsed="false">
      <c r="A98" s="67" t="s">
        <v>30</v>
      </c>
      <c r="B98" s="68" t="s">
        <v>50</v>
      </c>
      <c r="C98" s="67" t="s">
        <v>89</v>
      </c>
      <c r="D98" s="67" t="s">
        <v>43</v>
      </c>
      <c r="E98" s="68" t="s">
        <v>90</v>
      </c>
      <c r="F98" s="74" t="n">
        <v>36916</v>
      </c>
      <c r="G98" s="49" t="n">
        <f aca="false">'ENA #QN5116.1'!D10</f>
        <v>5.742</v>
      </c>
      <c r="H98" s="68" t="n">
        <f aca="false">+'ENA #QN5116.1'!H10</f>
        <v>5.707</v>
      </c>
      <c r="I98" s="75" t="n">
        <f aca="false">+G98-H98</f>
        <v>0.0350000000000001</v>
      </c>
      <c r="J98" s="76" t="n">
        <f aca="false">-'ENA #QN5116.1'!F12</f>
        <v>310000</v>
      </c>
      <c r="K98" s="77" t="n">
        <f aca="false">+J98/31</f>
        <v>10000</v>
      </c>
      <c r="L98" s="78" t="n">
        <f aca="false">-'ENA #QN5116.1'!I12</f>
        <v>10850</v>
      </c>
      <c r="M98" s="78" t="n">
        <f aca="false">-'ENA #QN5116.1'!J12</f>
        <v>-0</v>
      </c>
      <c r="N98" s="78" t="n">
        <f aca="false">-'ENA #QN5116.1'!K12</f>
        <v>10850</v>
      </c>
      <c r="O98" s="33" t="n">
        <f aca="false">-N98</f>
        <v>-10850</v>
      </c>
      <c r="P98" s="25"/>
    </row>
    <row r="99" customFormat="false" ht="11.25" hidden="false" customHeight="false" outlineLevel="0" collapsed="false">
      <c r="A99" s="67" t="s">
        <v>30</v>
      </c>
      <c r="B99" s="68" t="s">
        <v>67</v>
      </c>
      <c r="C99" s="67" t="n">
        <v>112980</v>
      </c>
      <c r="D99" s="67" t="s">
        <v>43</v>
      </c>
      <c r="E99" s="68" t="s">
        <v>90</v>
      </c>
      <c r="F99" s="74" t="n">
        <v>36916</v>
      </c>
      <c r="G99" s="49" t="n">
        <f aca="false">+'1129080'!H10</f>
        <v>5.887</v>
      </c>
      <c r="H99" s="49" t="n">
        <f aca="false">+'1129080'!D10</f>
        <v>5.837</v>
      </c>
      <c r="I99" s="75" t="n">
        <f aca="false">+G99-H99</f>
        <v>0.0499999999999998</v>
      </c>
      <c r="J99" s="76" t="n">
        <v>-310000</v>
      </c>
      <c r="K99" s="77" t="n">
        <f aca="false">+J99/31</f>
        <v>-10000</v>
      </c>
      <c r="L99" s="78" t="n">
        <f aca="false">-'1129080'!I12</f>
        <v>15499.9999999999</v>
      </c>
      <c r="M99" s="78" t="n">
        <f aca="false">-'1129080'!J12</f>
        <v>-0</v>
      </c>
      <c r="N99" s="78" t="n">
        <f aca="false">-'1129080'!K12</f>
        <v>15499.9999999999</v>
      </c>
      <c r="O99" s="33" t="n">
        <f aca="false">-N99</f>
        <v>-15499.9999999999</v>
      </c>
      <c r="P99" s="25"/>
    </row>
    <row r="100" customFormat="false" ht="11.25" hidden="false" customHeight="false" outlineLevel="0" collapsed="false">
      <c r="A100" s="67" t="s">
        <v>30</v>
      </c>
      <c r="B100" s="92" t="s">
        <v>65</v>
      </c>
      <c r="C100" s="26" t="s">
        <v>65</v>
      </c>
      <c r="D100" s="67" t="s">
        <v>66</v>
      </c>
      <c r="E100" s="68" t="s">
        <v>90</v>
      </c>
      <c r="F100" s="67"/>
      <c r="G100" s="73"/>
      <c r="H100" s="73"/>
      <c r="I100" s="30"/>
      <c r="J100" s="71"/>
      <c r="K100" s="93"/>
      <c r="L100" s="73" t="n">
        <f aca="false">-L98-L99</f>
        <v>-26350</v>
      </c>
      <c r="M100" s="73" t="n">
        <f aca="false">-M98-M99</f>
        <v>0</v>
      </c>
      <c r="N100" s="73" t="n">
        <f aca="false">-N98-N99</f>
        <v>-26350</v>
      </c>
      <c r="O100" s="27"/>
      <c r="P100" s="25"/>
    </row>
    <row r="101" customFormat="false" ht="11.25" hidden="false" customHeight="false" outlineLevel="0" collapsed="false">
      <c r="A101" s="26"/>
      <c r="B101" s="27"/>
      <c r="C101" s="26"/>
      <c r="D101" s="27"/>
      <c r="E101" s="27"/>
      <c r="F101" s="26"/>
      <c r="G101" s="33"/>
      <c r="H101" s="33"/>
      <c r="I101" s="33"/>
      <c r="J101" s="36"/>
      <c r="K101" s="57"/>
      <c r="L101" s="42" t="n">
        <f aca="false">+L98+L99+L100</f>
        <v>0</v>
      </c>
      <c r="M101" s="42" t="n">
        <f aca="false">+M98+M99+M100</f>
        <v>0</v>
      </c>
      <c r="N101" s="42" t="n">
        <f aca="false">+N98+N99+N100</f>
        <v>0</v>
      </c>
      <c r="O101" s="27"/>
      <c r="P101" s="25"/>
    </row>
    <row r="102" customFormat="false" ht="11.25" hidden="false" customHeight="false" outlineLevel="0" collapsed="false">
      <c r="A102" s="26"/>
      <c r="B102" s="27"/>
      <c r="C102" s="26"/>
      <c r="D102" s="27"/>
      <c r="E102" s="27"/>
      <c r="F102" s="26"/>
      <c r="G102" s="27"/>
      <c r="H102" s="27"/>
      <c r="I102" s="28"/>
      <c r="J102" s="36"/>
      <c r="K102" s="57"/>
      <c r="L102" s="42"/>
      <c r="M102" s="42"/>
      <c r="N102" s="42"/>
      <c r="O102" s="94"/>
      <c r="P102" s="25"/>
    </row>
    <row r="103" customFormat="false" ht="12" hidden="false" customHeight="false" outlineLevel="0" collapsed="false">
      <c r="A103" s="26"/>
      <c r="B103" s="26"/>
      <c r="C103" s="26"/>
      <c r="D103" s="26"/>
      <c r="E103" s="26"/>
      <c r="F103" s="26"/>
      <c r="G103" s="95"/>
      <c r="H103" s="27"/>
      <c r="I103" s="27"/>
      <c r="J103" s="96" t="n">
        <f aca="false">+J101+J96+J91+J86+J81+J74+J70+J64+J59+J55+J51+J47</f>
        <v>460000</v>
      </c>
      <c r="K103" s="96" t="n">
        <f aca="false">+K101+K96+K91+K86+K81+K74+K70+K64+K59+K55+K51+K47</f>
        <v>5000</v>
      </c>
      <c r="L103" s="97" t="n">
        <f aca="false">+L101+L96+L91+L86+L81+L74+L70+L64+L59+L55+L51+L47</f>
        <v>571252.5</v>
      </c>
      <c r="M103" s="97" t="n">
        <f aca="false">+M101+M96+M91+M86+M81+M74+M70+M64+M59+M55+M51+M47</f>
        <v>0</v>
      </c>
      <c r="N103" s="97" t="n">
        <f aca="false">+N101+N96+N91+N86+N81+N74+N70+N64+N59+N55+N51+N47</f>
        <v>571252.5</v>
      </c>
      <c r="O103" s="97" t="n">
        <f aca="false">SUM(O36:O102)</f>
        <v>-465550</v>
      </c>
      <c r="P103" s="97" t="n">
        <f aca="false">SUM(P36:P102)</f>
        <v>26217299</v>
      </c>
    </row>
    <row r="104" customFormat="false" ht="11.1" hidden="false" customHeight="true" outlineLevel="0" collapsed="false">
      <c r="A104" s="98"/>
      <c r="B104" s="94"/>
      <c r="C104" s="98"/>
      <c r="D104" s="94"/>
      <c r="E104" s="94"/>
      <c r="F104" s="98"/>
      <c r="G104" s="94"/>
      <c r="H104" s="94"/>
      <c r="I104" s="94"/>
      <c r="J104" s="94"/>
      <c r="K104" s="94"/>
      <c r="L104" s="94"/>
      <c r="M104" s="99"/>
      <c r="N104" s="100" t="s">
        <v>91</v>
      </c>
    </row>
    <row r="105" customFormat="false" ht="11.25" hidden="false" customHeight="false" outlineLevel="0" collapsed="false">
      <c r="A105" s="101"/>
      <c r="B105" s="102"/>
      <c r="C105" s="101"/>
      <c r="D105" s="102"/>
      <c r="E105" s="102"/>
      <c r="F105" s="101"/>
      <c r="G105" s="102"/>
      <c r="H105" s="102"/>
      <c r="I105" s="102"/>
      <c r="J105" s="102"/>
      <c r="K105" s="102"/>
      <c r="L105" s="102"/>
      <c r="M105" s="102"/>
      <c r="N105" s="103"/>
      <c r="O105" s="4" t="s">
        <v>92</v>
      </c>
      <c r="P105" s="104" t="n">
        <f aca="false">+P103+O103</f>
        <v>25751749</v>
      </c>
    </row>
    <row r="106" customFormat="false" ht="9" hidden="false" customHeight="true" outlineLevel="0" collapsed="false">
      <c r="A106" s="105" t="s">
        <v>93</v>
      </c>
      <c r="B106" s="102"/>
      <c r="C106" s="101"/>
      <c r="D106" s="102"/>
      <c r="E106" s="102"/>
      <c r="F106" s="101"/>
      <c r="G106" s="102"/>
      <c r="H106" s="102"/>
      <c r="I106" s="102"/>
      <c r="J106" s="102"/>
      <c r="K106" s="102"/>
      <c r="L106" s="102"/>
      <c r="M106" s="102"/>
      <c r="N106" s="103"/>
    </row>
    <row r="107" customFormat="false" ht="9" hidden="false" customHeight="true" outlineLevel="0" collapsed="false">
      <c r="A107" s="101"/>
      <c r="B107" s="102"/>
      <c r="C107" s="101"/>
      <c r="D107" s="102"/>
      <c r="E107" s="102"/>
      <c r="F107" s="101"/>
      <c r="G107" s="102"/>
      <c r="H107" s="102"/>
      <c r="I107" s="102"/>
      <c r="J107" s="102"/>
      <c r="K107" s="102"/>
      <c r="L107" s="102"/>
      <c r="M107" s="102"/>
      <c r="N107" s="103"/>
    </row>
    <row r="108" customFormat="false" ht="9" hidden="false" customHeight="true" outlineLevel="0" collapsed="false">
      <c r="A108" s="101"/>
      <c r="B108" s="102"/>
      <c r="C108" s="101"/>
      <c r="D108" s="102"/>
      <c r="E108" s="102"/>
      <c r="F108" s="101"/>
      <c r="G108" s="102"/>
      <c r="H108" s="102"/>
      <c r="I108" s="102"/>
      <c r="J108" s="102"/>
      <c r="K108" s="102"/>
      <c r="L108" s="102"/>
      <c r="M108" s="102"/>
      <c r="N108" s="103"/>
    </row>
    <row r="109" customFormat="false" ht="9" hidden="false" customHeight="true" outlineLevel="0" collapsed="false">
      <c r="A109" s="101"/>
      <c r="B109" s="102"/>
      <c r="C109" s="101"/>
      <c r="D109" s="102"/>
      <c r="E109" s="102"/>
      <c r="F109" s="101"/>
      <c r="G109" s="102"/>
      <c r="H109" s="102"/>
      <c r="I109" s="102"/>
      <c r="J109" s="102"/>
      <c r="K109" s="102"/>
      <c r="L109" s="102"/>
      <c r="M109" s="102"/>
      <c r="N109" s="103"/>
    </row>
    <row r="110" customFormat="false" ht="11.25" hidden="false" customHeight="false" outlineLevel="0" collapsed="false">
      <c r="A110" s="3" t="s">
        <v>94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customFormat="false" ht="11.25" hidden="false" customHeight="false" outlineLevel="0" collapsed="false">
      <c r="A111" s="3" t="s">
        <v>2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customFormat="false" ht="11.25" hidden="false" customHeight="false" outlineLevel="0" collapsed="false">
      <c r="A112" s="2"/>
      <c r="K112" s="102"/>
    </row>
    <row r="113" customFormat="false" ht="11.25" hidden="false" customHeight="false" outlineLevel="0" collapsed="false">
      <c r="A113" s="2"/>
      <c r="K113" s="7"/>
      <c r="O113" s="7"/>
      <c r="P113" s="7"/>
    </row>
    <row r="114" customFormat="false" ht="10.5" hidden="false" customHeight="false" outlineLevel="0" collapsed="false">
      <c r="A114" s="8" t="s">
        <v>5</v>
      </c>
      <c r="B114" s="8" t="s">
        <v>6</v>
      </c>
      <c r="C114" s="8" t="s">
        <v>6</v>
      </c>
      <c r="D114" s="8" t="s">
        <v>6</v>
      </c>
      <c r="E114" s="8" t="s">
        <v>7</v>
      </c>
      <c r="F114" s="8" t="s">
        <v>8</v>
      </c>
      <c r="G114" s="8" t="s">
        <v>6</v>
      </c>
      <c r="H114" s="8" t="s">
        <v>9</v>
      </c>
      <c r="I114" s="8" t="s">
        <v>10</v>
      </c>
      <c r="J114" s="8" t="s">
        <v>6</v>
      </c>
      <c r="K114" s="9" t="s">
        <v>11</v>
      </c>
      <c r="L114" s="8"/>
      <c r="M114" s="8"/>
      <c r="N114" s="106"/>
      <c r="O114" s="107"/>
      <c r="P114" s="106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</row>
    <row r="115" customFormat="false" ht="10.5" hidden="false" customHeight="false" outlineLevel="0" collapsed="false">
      <c r="A115" s="9" t="s">
        <v>12</v>
      </c>
      <c r="B115" s="9" t="s">
        <v>12</v>
      </c>
      <c r="C115" s="9" t="s">
        <v>13</v>
      </c>
      <c r="D115" s="9" t="s">
        <v>14</v>
      </c>
      <c r="E115" s="9" t="s">
        <v>15</v>
      </c>
      <c r="F115" s="9" t="s">
        <v>16</v>
      </c>
      <c r="G115" s="9" t="s">
        <v>17</v>
      </c>
      <c r="H115" s="9" t="s">
        <v>18</v>
      </c>
      <c r="I115" s="9"/>
      <c r="J115" s="9" t="s">
        <v>19</v>
      </c>
      <c r="K115" s="9"/>
      <c r="L115" s="12" t="s">
        <v>95</v>
      </c>
      <c r="M115" s="12"/>
      <c r="N115" s="12"/>
      <c r="O115" s="12"/>
      <c r="P115" s="10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</row>
    <row r="116" customFormat="false" ht="10.5" hidden="false" customHeight="false" outlineLevel="0" collapsed="false">
      <c r="A116" s="9"/>
      <c r="B116" s="9"/>
      <c r="C116" s="9"/>
      <c r="D116" s="9"/>
      <c r="E116" s="9"/>
      <c r="F116" s="9"/>
      <c r="G116" s="9"/>
      <c r="H116" s="9" t="s">
        <v>21</v>
      </c>
      <c r="I116" s="9"/>
      <c r="J116" s="9" t="s">
        <v>96</v>
      </c>
      <c r="K116" s="9"/>
      <c r="L116" s="9" t="s">
        <v>23</v>
      </c>
      <c r="M116" s="9" t="s">
        <v>97</v>
      </c>
      <c r="N116" s="10" t="s">
        <v>98</v>
      </c>
      <c r="O116" s="108" t="s">
        <v>99</v>
      </c>
      <c r="P116" s="108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</row>
    <row r="117" customFormat="false" ht="10.5" hidden="false" customHeight="false" outlineLevel="0" collapsed="false">
      <c r="A117" s="9"/>
      <c r="B117" s="12"/>
      <c r="C117" s="12"/>
      <c r="D117" s="12"/>
      <c r="E117" s="12"/>
      <c r="F117" s="12"/>
      <c r="G117" s="12"/>
      <c r="H117" s="12" t="s">
        <v>27</v>
      </c>
      <c r="I117" s="12"/>
      <c r="J117" s="12" t="s">
        <v>100</v>
      </c>
      <c r="K117" s="109"/>
      <c r="L117" s="12" t="s">
        <v>29</v>
      </c>
      <c r="M117" s="12" t="s">
        <v>29</v>
      </c>
      <c r="N117" s="13" t="s">
        <v>29</v>
      </c>
      <c r="O117" s="110" t="s">
        <v>30</v>
      </c>
      <c r="P117" s="15" t="s">
        <v>31</v>
      </c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</row>
    <row r="118" customFormat="false" ht="22.5" hidden="true" customHeight="false" outlineLevel="0" collapsed="false">
      <c r="A118" s="111" t="s">
        <v>30</v>
      </c>
      <c r="B118" s="111" t="s">
        <v>46</v>
      </c>
      <c r="C118" s="111" t="n">
        <v>25834</v>
      </c>
      <c r="D118" s="111" t="s">
        <v>33</v>
      </c>
      <c r="E118" s="112" t="s">
        <v>47</v>
      </c>
      <c r="F118" s="113"/>
      <c r="G118" s="114" t="s">
        <v>101</v>
      </c>
      <c r="H118" s="113"/>
      <c r="I118" s="113"/>
      <c r="J118" s="115" t="n">
        <f aca="false">-Elpaso_6!F15</f>
        <v>15000000</v>
      </c>
      <c r="K118" s="116"/>
      <c r="L118" s="117" t="n">
        <f aca="false">-Elpaso_6!I15</f>
        <v>-17580000</v>
      </c>
      <c r="M118" s="113"/>
      <c r="N118" s="118" t="n">
        <f aca="false">+L118</f>
        <v>-17580000</v>
      </c>
      <c r="O118" s="113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  <c r="BF118" s="119"/>
      <c r="BG118" s="119"/>
      <c r="BH118" s="119"/>
      <c r="BI118" s="119"/>
      <c r="BJ118" s="119"/>
      <c r="BK118" s="119"/>
      <c r="BL118" s="119"/>
      <c r="BM118" s="119"/>
      <c r="BN118" s="119"/>
      <c r="BO118" s="119"/>
      <c r="BP118" s="119"/>
      <c r="BQ118" s="119"/>
      <c r="BR118" s="119"/>
      <c r="BS118" s="119"/>
      <c r="BT118" s="119"/>
      <c r="BU118" s="119"/>
      <c r="BV118" s="119"/>
      <c r="BW118" s="119"/>
      <c r="BX118" s="119"/>
      <c r="BY118" s="119"/>
      <c r="BZ118" s="119"/>
      <c r="CA118" s="119"/>
      <c r="CB118" s="119"/>
      <c r="CC118" s="119"/>
      <c r="CD118" s="119"/>
      <c r="CE118" s="119"/>
      <c r="CF118" s="119"/>
      <c r="CG118" s="119"/>
      <c r="CH118" s="119"/>
      <c r="CI118" s="119"/>
      <c r="CJ118" s="119"/>
      <c r="CK118" s="119"/>
      <c r="CL118" s="119"/>
      <c r="CM118" s="119"/>
      <c r="CN118" s="119"/>
      <c r="CO118" s="119"/>
      <c r="CP118" s="119"/>
      <c r="CQ118" s="119"/>
      <c r="CR118" s="119"/>
      <c r="CS118" s="119"/>
      <c r="CT118" s="119"/>
      <c r="CU118" s="119"/>
      <c r="CV118" s="119"/>
      <c r="CW118" s="119"/>
      <c r="CX118" s="119"/>
      <c r="CY118" s="119"/>
      <c r="CZ118" s="119"/>
      <c r="DA118" s="119"/>
      <c r="DB118" s="119"/>
      <c r="DC118" s="119"/>
      <c r="DD118" s="119"/>
      <c r="DE118" s="119"/>
      <c r="DF118" s="119"/>
      <c r="DG118" s="119"/>
      <c r="DH118" s="119"/>
      <c r="DI118" s="119"/>
      <c r="DJ118" s="119"/>
      <c r="DK118" s="119"/>
      <c r="DL118" s="119"/>
      <c r="DM118" s="119"/>
      <c r="DN118" s="119"/>
      <c r="DO118" s="119"/>
      <c r="DP118" s="119"/>
      <c r="DQ118" s="119"/>
      <c r="DR118" s="119"/>
      <c r="DS118" s="119"/>
      <c r="DT118" s="119"/>
      <c r="DU118" s="119"/>
      <c r="DV118" s="119"/>
      <c r="DW118" s="119"/>
      <c r="DX118" s="119"/>
      <c r="DY118" s="119"/>
      <c r="DZ118" s="119"/>
      <c r="EA118" s="119"/>
      <c r="EB118" s="119"/>
      <c r="EC118" s="119"/>
      <c r="ED118" s="119"/>
      <c r="EE118" s="119"/>
      <c r="EF118" s="119"/>
      <c r="EG118" s="119"/>
      <c r="EH118" s="119"/>
      <c r="EI118" s="119"/>
      <c r="EJ118" s="119"/>
      <c r="EK118" s="119"/>
      <c r="EL118" s="119"/>
      <c r="EM118" s="119"/>
      <c r="EN118" s="119"/>
      <c r="EO118" s="119"/>
      <c r="EP118" s="119"/>
      <c r="EQ118" s="119"/>
      <c r="ER118" s="119"/>
      <c r="ES118" s="119"/>
      <c r="ET118" s="119"/>
      <c r="EU118" s="119"/>
      <c r="EV118" s="119"/>
      <c r="EW118" s="119"/>
      <c r="EX118" s="119"/>
      <c r="EY118" s="119"/>
      <c r="EZ118" s="119"/>
      <c r="FA118" s="119"/>
      <c r="FB118" s="119"/>
      <c r="FC118" s="119"/>
      <c r="FD118" s="119"/>
      <c r="FE118" s="119"/>
      <c r="FF118" s="119"/>
      <c r="FG118" s="119"/>
      <c r="FH118" s="119"/>
      <c r="FI118" s="119"/>
      <c r="FJ118" s="119"/>
      <c r="FK118" s="119"/>
      <c r="FL118" s="119"/>
      <c r="FM118" s="119"/>
      <c r="FN118" s="119"/>
      <c r="FO118" s="119"/>
      <c r="FP118" s="119"/>
      <c r="FQ118" s="119"/>
      <c r="FR118" s="119"/>
      <c r="FS118" s="119"/>
      <c r="FT118" s="119"/>
      <c r="FU118" s="119"/>
      <c r="FV118" s="119"/>
      <c r="FW118" s="119"/>
      <c r="FX118" s="119"/>
      <c r="FY118" s="119"/>
      <c r="FZ118" s="119"/>
      <c r="GA118" s="119"/>
      <c r="GB118" s="119"/>
      <c r="GC118" s="119"/>
      <c r="GD118" s="119"/>
      <c r="GE118" s="119"/>
      <c r="GF118" s="119"/>
      <c r="GG118" s="119"/>
      <c r="GH118" s="119"/>
      <c r="GI118" s="119"/>
      <c r="GJ118" s="119"/>
      <c r="GK118" s="119"/>
      <c r="GL118" s="119"/>
      <c r="GM118" s="119"/>
      <c r="GN118" s="119"/>
      <c r="GO118" s="119"/>
      <c r="GP118" s="119"/>
      <c r="GQ118" s="119"/>
      <c r="GR118" s="119"/>
      <c r="GS118" s="119"/>
      <c r="GT118" s="119"/>
      <c r="GU118" s="119"/>
      <c r="GV118" s="119"/>
      <c r="GW118" s="119"/>
      <c r="GX118" s="119"/>
      <c r="GY118" s="119"/>
      <c r="GZ118" s="119"/>
      <c r="HA118" s="119"/>
      <c r="HB118" s="119"/>
      <c r="HC118" s="119"/>
      <c r="HD118" s="119"/>
      <c r="HE118" s="119"/>
      <c r="HF118" s="119"/>
      <c r="HG118" s="119"/>
      <c r="HH118" s="119"/>
      <c r="HI118" s="119"/>
      <c r="HJ118" s="119"/>
      <c r="HK118" s="119"/>
      <c r="HL118" s="119"/>
      <c r="HM118" s="119"/>
      <c r="HN118" s="119"/>
      <c r="HO118" s="119"/>
      <c r="HP118" s="119"/>
      <c r="HQ118" s="119"/>
      <c r="HR118" s="119"/>
      <c r="HS118" s="119"/>
      <c r="HT118" s="119"/>
      <c r="HU118" s="119"/>
      <c r="HV118" s="119"/>
      <c r="HW118" s="119"/>
      <c r="HX118" s="119"/>
      <c r="HY118" s="119"/>
      <c r="HZ118" s="119"/>
      <c r="IA118" s="119"/>
      <c r="IB118" s="119"/>
      <c r="IC118" s="119"/>
      <c r="ID118" s="119"/>
      <c r="IE118" s="119"/>
      <c r="IF118" s="119"/>
      <c r="IG118" s="119"/>
      <c r="IH118" s="119"/>
      <c r="II118" s="119"/>
      <c r="IJ118" s="119"/>
      <c r="IK118" s="119"/>
      <c r="IL118" s="119"/>
      <c r="IM118" s="119"/>
      <c r="IN118" s="119"/>
      <c r="IO118" s="119"/>
      <c r="IP118" s="119"/>
      <c r="IQ118" s="119"/>
      <c r="IR118" s="119"/>
      <c r="IS118" s="119"/>
      <c r="IT118" s="119"/>
      <c r="IU118" s="119"/>
      <c r="IV118" s="119"/>
      <c r="IW118" s="119"/>
    </row>
    <row r="119" customFormat="false" ht="11.25" hidden="false" customHeight="false" outlineLevel="0" collapsed="false">
      <c r="A119" s="16" t="s">
        <v>30</v>
      </c>
      <c r="B119" s="26" t="s">
        <v>50</v>
      </c>
      <c r="C119" s="111"/>
      <c r="D119" s="26" t="s">
        <v>43</v>
      </c>
      <c r="E119" s="112" t="s">
        <v>102</v>
      </c>
      <c r="F119" s="113"/>
      <c r="G119" s="120" t="n">
        <v>3.3</v>
      </c>
      <c r="H119" s="121" t="n">
        <f aca="false">SUM(Elpaso_6!G9:G13)+SUM(Elpaso_6!H9:H13)/5</f>
        <v>4.47</v>
      </c>
      <c r="I119" s="121" t="n">
        <f aca="false">+G119-H119</f>
        <v>-1.17</v>
      </c>
      <c r="J119" s="115" t="n">
        <v>15000000</v>
      </c>
      <c r="K119" s="115" t="n">
        <f aca="false">+J119/153</f>
        <v>98039.2156862745</v>
      </c>
      <c r="L119" s="117" t="n">
        <f aca="false">-Elpaso_6!I15</f>
        <v>-17580000</v>
      </c>
      <c r="M119" s="113"/>
      <c r="N119" s="118" t="n">
        <f aca="false">+L119</f>
        <v>-17580000</v>
      </c>
      <c r="O119" s="122" t="n">
        <f aca="false">-N119</f>
        <v>17580000</v>
      </c>
      <c r="P119" s="123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  <c r="BE119" s="119"/>
      <c r="BF119" s="119"/>
      <c r="BG119" s="119"/>
      <c r="BH119" s="119"/>
      <c r="BI119" s="119"/>
      <c r="BJ119" s="119"/>
      <c r="BK119" s="119"/>
      <c r="BL119" s="119"/>
      <c r="BM119" s="119"/>
      <c r="BN119" s="119"/>
      <c r="BO119" s="119"/>
      <c r="BP119" s="119"/>
      <c r="BQ119" s="119"/>
      <c r="BR119" s="119"/>
      <c r="BS119" s="119"/>
      <c r="BT119" s="119"/>
      <c r="BU119" s="119"/>
      <c r="BV119" s="119"/>
      <c r="BW119" s="119"/>
      <c r="BX119" s="119"/>
      <c r="BY119" s="119"/>
      <c r="BZ119" s="119"/>
      <c r="CA119" s="119"/>
      <c r="CB119" s="119"/>
      <c r="CC119" s="119"/>
      <c r="CD119" s="119"/>
      <c r="CE119" s="119"/>
      <c r="CF119" s="119"/>
      <c r="CG119" s="119"/>
      <c r="CH119" s="119"/>
      <c r="CI119" s="119"/>
      <c r="CJ119" s="119"/>
      <c r="CK119" s="119"/>
      <c r="CL119" s="119"/>
      <c r="CM119" s="119"/>
      <c r="CN119" s="119"/>
      <c r="CO119" s="119"/>
      <c r="CP119" s="119"/>
      <c r="CQ119" s="119"/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19"/>
      <c r="DF119" s="119"/>
      <c r="DG119" s="119"/>
      <c r="DH119" s="119"/>
      <c r="DI119" s="119"/>
      <c r="DJ119" s="119"/>
      <c r="DK119" s="119"/>
      <c r="DL119" s="119"/>
      <c r="DM119" s="119"/>
      <c r="DN119" s="119"/>
      <c r="DO119" s="119"/>
      <c r="DP119" s="119"/>
      <c r="DQ119" s="119"/>
      <c r="DR119" s="119"/>
      <c r="DS119" s="119"/>
      <c r="DT119" s="119"/>
      <c r="DU119" s="119"/>
      <c r="DV119" s="119"/>
      <c r="DW119" s="119"/>
      <c r="DX119" s="119"/>
      <c r="DY119" s="119"/>
      <c r="DZ119" s="119"/>
      <c r="EA119" s="119"/>
      <c r="EB119" s="119"/>
      <c r="EC119" s="119"/>
      <c r="ED119" s="119"/>
      <c r="EE119" s="119"/>
      <c r="EF119" s="119"/>
      <c r="EG119" s="119"/>
      <c r="EH119" s="119"/>
      <c r="EI119" s="119"/>
      <c r="EJ119" s="119"/>
      <c r="EK119" s="119"/>
      <c r="EL119" s="119"/>
      <c r="EM119" s="119"/>
      <c r="EN119" s="119"/>
      <c r="EO119" s="119"/>
      <c r="EP119" s="119"/>
      <c r="EQ119" s="119"/>
      <c r="ER119" s="119"/>
      <c r="ES119" s="119"/>
      <c r="ET119" s="119"/>
      <c r="EU119" s="119"/>
      <c r="EV119" s="119"/>
      <c r="EW119" s="119"/>
      <c r="EX119" s="119"/>
      <c r="EY119" s="119"/>
      <c r="EZ119" s="119"/>
      <c r="FA119" s="119"/>
      <c r="FB119" s="119"/>
      <c r="FC119" s="119"/>
      <c r="FD119" s="119"/>
      <c r="FE119" s="119"/>
      <c r="FF119" s="119"/>
      <c r="FG119" s="119"/>
      <c r="FH119" s="119"/>
      <c r="FI119" s="119"/>
      <c r="FJ119" s="119"/>
      <c r="FK119" s="119"/>
      <c r="FL119" s="119"/>
      <c r="FM119" s="119"/>
      <c r="FN119" s="119"/>
      <c r="FO119" s="119"/>
      <c r="FP119" s="119"/>
      <c r="FQ119" s="119"/>
      <c r="FR119" s="119"/>
      <c r="FS119" s="119"/>
      <c r="FT119" s="119"/>
      <c r="FU119" s="119"/>
      <c r="FV119" s="119"/>
      <c r="FW119" s="119"/>
      <c r="FX119" s="119"/>
      <c r="FY119" s="119"/>
      <c r="FZ119" s="119"/>
      <c r="GA119" s="119"/>
      <c r="GB119" s="119"/>
      <c r="GC119" s="119"/>
      <c r="GD119" s="119"/>
      <c r="GE119" s="119"/>
      <c r="GF119" s="119"/>
      <c r="GG119" s="119"/>
      <c r="GH119" s="119"/>
      <c r="GI119" s="119"/>
      <c r="GJ119" s="119"/>
      <c r="GK119" s="119"/>
      <c r="GL119" s="119"/>
      <c r="GM119" s="119"/>
      <c r="GN119" s="119"/>
      <c r="GO119" s="119"/>
      <c r="GP119" s="119"/>
      <c r="GQ119" s="119"/>
      <c r="GR119" s="119"/>
      <c r="GS119" s="119"/>
      <c r="GT119" s="119"/>
      <c r="GU119" s="119"/>
      <c r="GV119" s="119"/>
      <c r="GW119" s="119"/>
      <c r="GX119" s="119"/>
      <c r="GY119" s="119"/>
      <c r="GZ119" s="119"/>
      <c r="HA119" s="119"/>
      <c r="HB119" s="119"/>
      <c r="HC119" s="119"/>
      <c r="HD119" s="119"/>
      <c r="HE119" s="119"/>
      <c r="HF119" s="119"/>
      <c r="HG119" s="119"/>
      <c r="HH119" s="119"/>
      <c r="HI119" s="119"/>
      <c r="HJ119" s="119"/>
      <c r="HK119" s="119"/>
      <c r="HL119" s="119"/>
      <c r="HM119" s="119"/>
      <c r="HN119" s="119"/>
      <c r="HO119" s="119"/>
      <c r="HP119" s="119"/>
      <c r="HQ119" s="119"/>
      <c r="HR119" s="119"/>
      <c r="HS119" s="119"/>
      <c r="HT119" s="119"/>
      <c r="HU119" s="119"/>
      <c r="HV119" s="119"/>
      <c r="HW119" s="119"/>
      <c r="HX119" s="119"/>
      <c r="HY119" s="119"/>
      <c r="HZ119" s="119"/>
      <c r="IA119" s="119"/>
      <c r="IB119" s="119"/>
      <c r="IC119" s="119"/>
      <c r="ID119" s="119"/>
      <c r="IE119" s="119"/>
      <c r="IF119" s="119"/>
      <c r="IG119" s="119"/>
      <c r="IH119" s="119"/>
      <c r="II119" s="119"/>
      <c r="IJ119" s="119"/>
      <c r="IK119" s="119"/>
      <c r="IL119" s="119"/>
      <c r="IM119" s="119"/>
      <c r="IN119" s="119"/>
      <c r="IO119" s="119"/>
      <c r="IP119" s="119"/>
      <c r="IQ119" s="119"/>
      <c r="IR119" s="119"/>
      <c r="IS119" s="119"/>
      <c r="IT119" s="119"/>
      <c r="IU119" s="119"/>
      <c r="IV119" s="119"/>
      <c r="IW119" s="119"/>
    </row>
    <row r="120" customFormat="false" ht="11.25" hidden="false" customHeight="false" outlineLevel="0" collapsed="false">
      <c r="A120" s="26" t="s">
        <v>30</v>
      </c>
      <c r="B120" s="26" t="s">
        <v>46</v>
      </c>
      <c r="C120" s="111"/>
      <c r="D120" s="26" t="s">
        <v>43</v>
      </c>
      <c r="E120" s="112" t="s">
        <v>102</v>
      </c>
      <c r="F120" s="113"/>
      <c r="G120" s="124" t="n">
        <v>2.32</v>
      </c>
      <c r="H120" s="125" t="n">
        <f aca="false">SUM(Elpaso_6!G17:G21)+SUM(Elpaso_6!H17:H21)/5</f>
        <v>4.47</v>
      </c>
      <c r="I120" s="125" t="n">
        <f aca="false">+G120-H120</f>
        <v>-2.15</v>
      </c>
      <c r="J120" s="126" t="n">
        <v>-15000000</v>
      </c>
      <c r="K120" s="126" t="n">
        <f aca="false">+J120/153</f>
        <v>-98039.2156862745</v>
      </c>
      <c r="L120" s="127" t="n">
        <f aca="false">-Elpaso_6!I23</f>
        <v>32280000</v>
      </c>
      <c r="M120" s="113"/>
      <c r="N120" s="127" t="n">
        <f aca="false">+L120</f>
        <v>32280000</v>
      </c>
      <c r="O120" s="128" t="n">
        <f aca="false">-N120</f>
        <v>-32280000</v>
      </c>
      <c r="P120" s="12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  <c r="BE120" s="119"/>
      <c r="BF120" s="119"/>
      <c r="BG120" s="119"/>
      <c r="BH120" s="119"/>
      <c r="BI120" s="119"/>
      <c r="BJ120" s="119"/>
      <c r="BK120" s="119"/>
      <c r="BL120" s="119"/>
      <c r="BM120" s="119"/>
      <c r="BN120" s="119"/>
      <c r="BO120" s="119"/>
      <c r="BP120" s="119"/>
      <c r="BQ120" s="119"/>
      <c r="BR120" s="119"/>
      <c r="BS120" s="119"/>
      <c r="BT120" s="119"/>
      <c r="BU120" s="119"/>
      <c r="BV120" s="119"/>
      <c r="BW120" s="119"/>
      <c r="BX120" s="119"/>
      <c r="BY120" s="119"/>
      <c r="BZ120" s="119"/>
      <c r="CA120" s="119"/>
      <c r="CB120" s="119"/>
      <c r="CC120" s="119"/>
      <c r="CD120" s="119"/>
      <c r="CE120" s="119"/>
      <c r="CF120" s="119"/>
      <c r="CG120" s="119"/>
      <c r="CH120" s="119"/>
      <c r="CI120" s="119"/>
      <c r="CJ120" s="119"/>
      <c r="CK120" s="119"/>
      <c r="CL120" s="119"/>
      <c r="CM120" s="119"/>
      <c r="CN120" s="119"/>
      <c r="CO120" s="119"/>
      <c r="CP120" s="119"/>
      <c r="CQ120" s="119"/>
      <c r="CR120" s="119"/>
      <c r="CS120" s="119"/>
      <c r="CT120" s="119"/>
      <c r="CU120" s="119"/>
      <c r="CV120" s="119"/>
      <c r="CW120" s="119"/>
      <c r="CX120" s="119"/>
      <c r="CY120" s="119"/>
      <c r="CZ120" s="119"/>
      <c r="DA120" s="119"/>
      <c r="DB120" s="119"/>
      <c r="DC120" s="119"/>
      <c r="DD120" s="119"/>
      <c r="DE120" s="119"/>
      <c r="DF120" s="119"/>
      <c r="DG120" s="119"/>
      <c r="DH120" s="119"/>
      <c r="DI120" s="119"/>
      <c r="DJ120" s="119"/>
      <c r="DK120" s="119"/>
      <c r="DL120" s="119"/>
      <c r="DM120" s="119"/>
      <c r="DN120" s="119"/>
      <c r="DO120" s="119"/>
      <c r="DP120" s="119"/>
      <c r="DQ120" s="119"/>
      <c r="DR120" s="119"/>
      <c r="DS120" s="119"/>
      <c r="DT120" s="119"/>
      <c r="DU120" s="119"/>
      <c r="DV120" s="119"/>
      <c r="DW120" s="119"/>
      <c r="DX120" s="119"/>
      <c r="DY120" s="119"/>
      <c r="DZ120" s="119"/>
      <c r="EA120" s="119"/>
      <c r="EB120" s="119"/>
      <c r="EC120" s="119"/>
      <c r="ED120" s="119"/>
      <c r="EE120" s="119"/>
      <c r="EF120" s="119"/>
      <c r="EG120" s="119"/>
      <c r="EH120" s="119"/>
      <c r="EI120" s="119"/>
      <c r="EJ120" s="119"/>
      <c r="EK120" s="119"/>
      <c r="EL120" s="119"/>
      <c r="EM120" s="119"/>
      <c r="EN120" s="119"/>
      <c r="EO120" s="119"/>
      <c r="EP120" s="119"/>
      <c r="EQ120" s="119"/>
      <c r="ER120" s="119"/>
      <c r="ES120" s="119"/>
      <c r="ET120" s="119"/>
      <c r="EU120" s="119"/>
      <c r="EV120" s="119"/>
      <c r="EW120" s="119"/>
      <c r="EX120" s="119"/>
      <c r="EY120" s="119"/>
      <c r="EZ120" s="119"/>
      <c r="FA120" s="119"/>
      <c r="FB120" s="119"/>
      <c r="FC120" s="119"/>
      <c r="FD120" s="119"/>
      <c r="FE120" s="119"/>
      <c r="FF120" s="119"/>
      <c r="FG120" s="119"/>
      <c r="FH120" s="119"/>
      <c r="FI120" s="119"/>
      <c r="FJ120" s="119"/>
      <c r="FK120" s="119"/>
      <c r="FL120" s="119"/>
      <c r="FM120" s="119"/>
      <c r="FN120" s="119"/>
      <c r="FO120" s="119"/>
      <c r="FP120" s="119"/>
      <c r="FQ120" s="119"/>
      <c r="FR120" s="119"/>
      <c r="FS120" s="119"/>
      <c r="FT120" s="119"/>
      <c r="FU120" s="119"/>
      <c r="FV120" s="119"/>
      <c r="FW120" s="119"/>
      <c r="FX120" s="119"/>
      <c r="FY120" s="119"/>
      <c r="FZ120" s="119"/>
      <c r="GA120" s="119"/>
      <c r="GB120" s="119"/>
      <c r="GC120" s="119"/>
      <c r="GD120" s="119"/>
      <c r="GE120" s="119"/>
      <c r="GF120" s="119"/>
      <c r="GG120" s="119"/>
      <c r="GH120" s="119"/>
      <c r="GI120" s="119"/>
      <c r="GJ120" s="119"/>
      <c r="GK120" s="119"/>
      <c r="GL120" s="119"/>
      <c r="GM120" s="119"/>
      <c r="GN120" s="119"/>
      <c r="GO120" s="119"/>
      <c r="GP120" s="119"/>
      <c r="GQ120" s="119"/>
      <c r="GR120" s="119"/>
      <c r="GS120" s="119"/>
      <c r="GT120" s="119"/>
      <c r="GU120" s="119"/>
      <c r="GV120" s="119"/>
      <c r="GW120" s="119"/>
      <c r="GX120" s="119"/>
      <c r="GY120" s="119"/>
      <c r="GZ120" s="119"/>
      <c r="HA120" s="119"/>
      <c r="HB120" s="119"/>
      <c r="HC120" s="119"/>
      <c r="HD120" s="119"/>
      <c r="HE120" s="119"/>
      <c r="HF120" s="119"/>
      <c r="HG120" s="119"/>
      <c r="HH120" s="119"/>
      <c r="HI120" s="119"/>
      <c r="HJ120" s="119"/>
      <c r="HK120" s="119"/>
      <c r="HL120" s="119"/>
      <c r="HM120" s="119"/>
      <c r="HN120" s="119"/>
      <c r="HO120" s="119"/>
      <c r="HP120" s="119"/>
      <c r="HQ120" s="119"/>
      <c r="HR120" s="119"/>
      <c r="HS120" s="119"/>
      <c r="HT120" s="119"/>
      <c r="HU120" s="119"/>
      <c r="HV120" s="119"/>
      <c r="HW120" s="119"/>
      <c r="HX120" s="119"/>
      <c r="HY120" s="119"/>
      <c r="HZ120" s="119"/>
      <c r="IA120" s="119"/>
      <c r="IB120" s="119"/>
      <c r="IC120" s="119"/>
      <c r="ID120" s="119"/>
      <c r="IE120" s="119"/>
      <c r="IF120" s="119"/>
      <c r="IG120" s="119"/>
      <c r="IH120" s="119"/>
      <c r="II120" s="119"/>
      <c r="IJ120" s="119"/>
      <c r="IK120" s="119"/>
      <c r="IL120" s="119"/>
      <c r="IM120" s="119"/>
      <c r="IN120" s="119"/>
      <c r="IO120" s="119"/>
      <c r="IP120" s="119"/>
      <c r="IQ120" s="119"/>
      <c r="IR120" s="119"/>
      <c r="IS120" s="119"/>
      <c r="IT120" s="119"/>
      <c r="IU120" s="119"/>
      <c r="IV120" s="119"/>
      <c r="IW120" s="119"/>
    </row>
    <row r="121" customFormat="false" ht="11.25" hidden="false" customHeight="false" outlineLevel="0" collapsed="false">
      <c r="A121" s="26"/>
      <c r="B121" s="26"/>
      <c r="C121" s="111"/>
      <c r="D121" s="111"/>
      <c r="E121" s="112"/>
      <c r="F121" s="113"/>
      <c r="G121" s="120"/>
      <c r="H121" s="121"/>
      <c r="I121" s="121"/>
      <c r="J121" s="115" t="n">
        <f aca="false">+J119+J120</f>
        <v>0</v>
      </c>
      <c r="K121" s="115" t="n">
        <f aca="false">+J121/153</f>
        <v>0</v>
      </c>
      <c r="L121" s="117" t="n">
        <f aca="false">+L120+L119</f>
        <v>14700000</v>
      </c>
      <c r="M121" s="113"/>
      <c r="N121" s="118" t="n">
        <f aca="false">+N120+N119</f>
        <v>14700000</v>
      </c>
      <c r="O121" s="130"/>
      <c r="P121" s="12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  <c r="BE121" s="119"/>
      <c r="BF121" s="119"/>
      <c r="BG121" s="119"/>
      <c r="BH121" s="119"/>
      <c r="BI121" s="119"/>
      <c r="BJ121" s="119"/>
      <c r="BK121" s="119"/>
      <c r="BL121" s="119"/>
      <c r="BM121" s="119"/>
      <c r="BN121" s="119"/>
      <c r="BO121" s="119"/>
      <c r="BP121" s="119"/>
      <c r="BQ121" s="119"/>
      <c r="BR121" s="119"/>
      <c r="BS121" s="119"/>
      <c r="BT121" s="119"/>
      <c r="BU121" s="119"/>
      <c r="BV121" s="119"/>
      <c r="BW121" s="119"/>
      <c r="BX121" s="119"/>
      <c r="BY121" s="119"/>
      <c r="BZ121" s="119"/>
      <c r="CA121" s="119"/>
      <c r="CB121" s="119"/>
      <c r="CC121" s="119"/>
      <c r="CD121" s="119"/>
      <c r="CE121" s="119"/>
      <c r="CF121" s="119"/>
      <c r="CG121" s="119"/>
      <c r="CH121" s="119"/>
      <c r="CI121" s="119"/>
      <c r="CJ121" s="119"/>
      <c r="CK121" s="119"/>
      <c r="CL121" s="119"/>
      <c r="CM121" s="119"/>
      <c r="CN121" s="119"/>
      <c r="CO121" s="119"/>
      <c r="CP121" s="119"/>
      <c r="CQ121" s="119"/>
      <c r="CR121" s="119"/>
      <c r="CS121" s="119"/>
      <c r="CT121" s="119"/>
      <c r="CU121" s="119"/>
      <c r="CV121" s="119"/>
      <c r="CW121" s="119"/>
      <c r="CX121" s="119"/>
      <c r="CY121" s="119"/>
      <c r="CZ121" s="119"/>
      <c r="DA121" s="119"/>
      <c r="DB121" s="119"/>
      <c r="DC121" s="119"/>
      <c r="DD121" s="119"/>
      <c r="DE121" s="119"/>
      <c r="DF121" s="119"/>
      <c r="DG121" s="119"/>
      <c r="DH121" s="119"/>
      <c r="DI121" s="119"/>
      <c r="DJ121" s="119"/>
      <c r="DK121" s="119"/>
      <c r="DL121" s="119"/>
      <c r="DM121" s="119"/>
      <c r="DN121" s="119"/>
      <c r="DO121" s="119"/>
      <c r="DP121" s="119"/>
      <c r="DQ121" s="119"/>
      <c r="DR121" s="119"/>
      <c r="DS121" s="119"/>
      <c r="DT121" s="119"/>
      <c r="DU121" s="119"/>
      <c r="DV121" s="119"/>
      <c r="DW121" s="119"/>
      <c r="DX121" s="119"/>
      <c r="DY121" s="119"/>
      <c r="DZ121" s="119"/>
      <c r="EA121" s="119"/>
      <c r="EB121" s="119"/>
      <c r="EC121" s="119"/>
      <c r="ED121" s="119"/>
      <c r="EE121" s="119"/>
      <c r="EF121" s="119"/>
      <c r="EG121" s="119"/>
      <c r="EH121" s="119"/>
      <c r="EI121" s="119"/>
      <c r="EJ121" s="119"/>
      <c r="EK121" s="119"/>
      <c r="EL121" s="119"/>
      <c r="EM121" s="119"/>
      <c r="EN121" s="119"/>
      <c r="EO121" s="119"/>
      <c r="EP121" s="119"/>
      <c r="EQ121" s="119"/>
      <c r="ER121" s="119"/>
      <c r="ES121" s="119"/>
      <c r="ET121" s="119"/>
      <c r="EU121" s="119"/>
      <c r="EV121" s="119"/>
      <c r="EW121" s="119"/>
      <c r="EX121" s="119"/>
      <c r="EY121" s="119"/>
      <c r="EZ121" s="119"/>
      <c r="FA121" s="119"/>
      <c r="FB121" s="119"/>
      <c r="FC121" s="119"/>
      <c r="FD121" s="119"/>
      <c r="FE121" s="119"/>
      <c r="FF121" s="119"/>
      <c r="FG121" s="119"/>
      <c r="FH121" s="119"/>
      <c r="FI121" s="119"/>
      <c r="FJ121" s="119"/>
      <c r="FK121" s="119"/>
      <c r="FL121" s="119"/>
      <c r="FM121" s="119"/>
      <c r="FN121" s="119"/>
      <c r="FO121" s="119"/>
      <c r="FP121" s="119"/>
      <c r="FQ121" s="119"/>
      <c r="FR121" s="119"/>
      <c r="FS121" s="119"/>
      <c r="FT121" s="119"/>
      <c r="FU121" s="119"/>
      <c r="FV121" s="119"/>
      <c r="FW121" s="119"/>
      <c r="FX121" s="119"/>
      <c r="FY121" s="119"/>
      <c r="FZ121" s="119"/>
      <c r="GA121" s="119"/>
      <c r="GB121" s="119"/>
      <c r="GC121" s="119"/>
      <c r="GD121" s="119"/>
      <c r="GE121" s="119"/>
      <c r="GF121" s="119"/>
      <c r="GG121" s="119"/>
      <c r="GH121" s="119"/>
      <c r="GI121" s="119"/>
      <c r="GJ121" s="119"/>
      <c r="GK121" s="119"/>
      <c r="GL121" s="119"/>
      <c r="GM121" s="119"/>
      <c r="GN121" s="119"/>
      <c r="GO121" s="119"/>
      <c r="GP121" s="119"/>
      <c r="GQ121" s="119"/>
      <c r="GR121" s="119"/>
      <c r="GS121" s="119"/>
      <c r="GT121" s="119"/>
      <c r="GU121" s="119"/>
      <c r="GV121" s="119"/>
      <c r="GW121" s="119"/>
      <c r="GX121" s="119"/>
      <c r="GY121" s="119"/>
      <c r="GZ121" s="119"/>
      <c r="HA121" s="119"/>
      <c r="HB121" s="119"/>
      <c r="HC121" s="119"/>
      <c r="HD121" s="119"/>
      <c r="HE121" s="119"/>
      <c r="HF121" s="119"/>
      <c r="HG121" s="119"/>
      <c r="HH121" s="119"/>
      <c r="HI121" s="119"/>
      <c r="HJ121" s="119"/>
      <c r="HK121" s="119"/>
      <c r="HL121" s="119"/>
      <c r="HM121" s="119"/>
      <c r="HN121" s="119"/>
      <c r="HO121" s="119"/>
      <c r="HP121" s="119"/>
      <c r="HQ121" s="119"/>
      <c r="HR121" s="119"/>
      <c r="HS121" s="119"/>
      <c r="HT121" s="119"/>
      <c r="HU121" s="119"/>
      <c r="HV121" s="119"/>
      <c r="HW121" s="119"/>
      <c r="HX121" s="119"/>
      <c r="HY121" s="119"/>
      <c r="HZ121" s="119"/>
      <c r="IA121" s="119"/>
      <c r="IB121" s="119"/>
      <c r="IC121" s="119"/>
      <c r="ID121" s="119"/>
      <c r="IE121" s="119"/>
      <c r="IF121" s="119"/>
      <c r="IG121" s="119"/>
      <c r="IH121" s="119"/>
      <c r="II121" s="119"/>
      <c r="IJ121" s="119"/>
      <c r="IK121" s="119"/>
      <c r="IL121" s="119"/>
      <c r="IM121" s="119"/>
      <c r="IN121" s="119"/>
      <c r="IO121" s="119"/>
      <c r="IP121" s="119"/>
      <c r="IQ121" s="119"/>
      <c r="IR121" s="119"/>
      <c r="IS121" s="119"/>
      <c r="IT121" s="119"/>
      <c r="IU121" s="119"/>
      <c r="IV121" s="119"/>
      <c r="IW121" s="119"/>
    </row>
    <row r="122" customFormat="false" ht="11.25" hidden="false" customHeight="false" outlineLevel="0" collapsed="false">
      <c r="A122" s="26"/>
      <c r="B122" s="26"/>
      <c r="C122" s="111"/>
      <c r="D122" s="111"/>
      <c r="E122" s="112"/>
      <c r="F122" s="113"/>
      <c r="G122" s="120"/>
      <c r="H122" s="121"/>
      <c r="I122" s="121"/>
      <c r="J122" s="115"/>
      <c r="K122" s="115"/>
      <c r="L122" s="117"/>
      <c r="M122" s="113"/>
      <c r="N122" s="131"/>
      <c r="O122" s="130"/>
      <c r="P122" s="12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  <c r="BE122" s="119"/>
      <c r="BF122" s="119"/>
      <c r="BG122" s="119"/>
      <c r="BH122" s="119"/>
      <c r="BI122" s="119"/>
      <c r="BJ122" s="119"/>
      <c r="BK122" s="119"/>
      <c r="BL122" s="119"/>
      <c r="BM122" s="119"/>
      <c r="BN122" s="119"/>
      <c r="BO122" s="119"/>
      <c r="BP122" s="119"/>
      <c r="BQ122" s="119"/>
      <c r="BR122" s="119"/>
      <c r="BS122" s="119"/>
      <c r="BT122" s="119"/>
      <c r="BU122" s="119"/>
      <c r="BV122" s="119"/>
      <c r="BW122" s="119"/>
      <c r="BX122" s="119"/>
      <c r="BY122" s="119"/>
      <c r="BZ122" s="119"/>
      <c r="CA122" s="119"/>
      <c r="CB122" s="119"/>
      <c r="CC122" s="119"/>
      <c r="CD122" s="119"/>
      <c r="CE122" s="119"/>
      <c r="CF122" s="119"/>
      <c r="CG122" s="119"/>
      <c r="CH122" s="119"/>
      <c r="CI122" s="119"/>
      <c r="CJ122" s="119"/>
      <c r="CK122" s="119"/>
      <c r="CL122" s="119"/>
      <c r="CM122" s="119"/>
      <c r="CN122" s="119"/>
      <c r="CO122" s="119"/>
      <c r="CP122" s="119"/>
      <c r="CQ122" s="119"/>
      <c r="CR122" s="119"/>
      <c r="CS122" s="119"/>
      <c r="CT122" s="119"/>
      <c r="CU122" s="119"/>
      <c r="CV122" s="119"/>
      <c r="CW122" s="119"/>
      <c r="CX122" s="119"/>
      <c r="CY122" s="119"/>
      <c r="CZ122" s="119"/>
      <c r="DA122" s="119"/>
      <c r="DB122" s="119"/>
      <c r="DC122" s="119"/>
      <c r="DD122" s="119"/>
      <c r="DE122" s="119"/>
      <c r="DF122" s="119"/>
      <c r="DG122" s="119"/>
      <c r="DH122" s="119"/>
      <c r="DI122" s="119"/>
      <c r="DJ122" s="119"/>
      <c r="DK122" s="119"/>
      <c r="DL122" s="119"/>
      <c r="DM122" s="119"/>
      <c r="DN122" s="119"/>
      <c r="DO122" s="119"/>
      <c r="DP122" s="119"/>
      <c r="DQ122" s="119"/>
      <c r="DR122" s="119"/>
      <c r="DS122" s="119"/>
      <c r="DT122" s="119"/>
      <c r="DU122" s="119"/>
      <c r="DV122" s="119"/>
      <c r="DW122" s="119"/>
      <c r="DX122" s="119"/>
      <c r="DY122" s="119"/>
      <c r="DZ122" s="119"/>
      <c r="EA122" s="119"/>
      <c r="EB122" s="119"/>
      <c r="EC122" s="119"/>
      <c r="ED122" s="119"/>
      <c r="EE122" s="119"/>
      <c r="EF122" s="119"/>
      <c r="EG122" s="119"/>
      <c r="EH122" s="119"/>
      <c r="EI122" s="119"/>
      <c r="EJ122" s="119"/>
      <c r="EK122" s="119"/>
      <c r="EL122" s="119"/>
      <c r="EM122" s="119"/>
      <c r="EN122" s="119"/>
      <c r="EO122" s="119"/>
      <c r="EP122" s="119"/>
      <c r="EQ122" s="119"/>
      <c r="ER122" s="119"/>
      <c r="ES122" s="119"/>
      <c r="ET122" s="119"/>
      <c r="EU122" s="119"/>
      <c r="EV122" s="119"/>
      <c r="EW122" s="119"/>
      <c r="EX122" s="119"/>
      <c r="EY122" s="119"/>
      <c r="EZ122" s="119"/>
      <c r="FA122" s="119"/>
      <c r="FB122" s="119"/>
      <c r="FC122" s="119"/>
      <c r="FD122" s="119"/>
      <c r="FE122" s="119"/>
      <c r="FF122" s="119"/>
      <c r="FG122" s="119"/>
      <c r="FH122" s="119"/>
      <c r="FI122" s="119"/>
      <c r="FJ122" s="119"/>
      <c r="FK122" s="119"/>
      <c r="FL122" s="119"/>
      <c r="FM122" s="119"/>
      <c r="FN122" s="119"/>
      <c r="FO122" s="119"/>
      <c r="FP122" s="119"/>
      <c r="FQ122" s="119"/>
      <c r="FR122" s="119"/>
      <c r="FS122" s="119"/>
      <c r="FT122" s="119"/>
      <c r="FU122" s="119"/>
      <c r="FV122" s="119"/>
      <c r="FW122" s="119"/>
      <c r="FX122" s="119"/>
      <c r="FY122" s="119"/>
      <c r="FZ122" s="119"/>
      <c r="GA122" s="119"/>
      <c r="GB122" s="119"/>
      <c r="GC122" s="119"/>
      <c r="GD122" s="119"/>
      <c r="GE122" s="119"/>
      <c r="GF122" s="119"/>
      <c r="GG122" s="119"/>
      <c r="GH122" s="119"/>
      <c r="GI122" s="119"/>
      <c r="GJ122" s="119"/>
      <c r="GK122" s="119"/>
      <c r="GL122" s="119"/>
      <c r="GM122" s="119"/>
      <c r="GN122" s="119"/>
      <c r="GO122" s="119"/>
      <c r="GP122" s="119"/>
      <c r="GQ122" s="119"/>
      <c r="GR122" s="119"/>
      <c r="GS122" s="119"/>
      <c r="GT122" s="119"/>
      <c r="GU122" s="119"/>
      <c r="GV122" s="119"/>
      <c r="GW122" s="119"/>
      <c r="GX122" s="119"/>
      <c r="GY122" s="119"/>
      <c r="GZ122" s="119"/>
      <c r="HA122" s="119"/>
      <c r="HB122" s="119"/>
      <c r="HC122" s="119"/>
      <c r="HD122" s="119"/>
      <c r="HE122" s="119"/>
      <c r="HF122" s="119"/>
      <c r="HG122" s="119"/>
      <c r="HH122" s="119"/>
      <c r="HI122" s="119"/>
      <c r="HJ122" s="119"/>
      <c r="HK122" s="119"/>
      <c r="HL122" s="119"/>
      <c r="HM122" s="119"/>
      <c r="HN122" s="119"/>
      <c r="HO122" s="119"/>
      <c r="HP122" s="119"/>
      <c r="HQ122" s="119"/>
      <c r="HR122" s="119"/>
      <c r="HS122" s="119"/>
      <c r="HT122" s="119"/>
      <c r="HU122" s="119"/>
      <c r="HV122" s="119"/>
      <c r="HW122" s="119"/>
      <c r="HX122" s="119"/>
      <c r="HY122" s="119"/>
      <c r="HZ122" s="119"/>
      <c r="IA122" s="119"/>
      <c r="IB122" s="119"/>
      <c r="IC122" s="119"/>
      <c r="ID122" s="119"/>
      <c r="IE122" s="119"/>
      <c r="IF122" s="119"/>
      <c r="IG122" s="119"/>
      <c r="IH122" s="119"/>
      <c r="II122" s="119"/>
      <c r="IJ122" s="119"/>
      <c r="IK122" s="119"/>
      <c r="IL122" s="119"/>
      <c r="IM122" s="119"/>
      <c r="IN122" s="119"/>
      <c r="IO122" s="119"/>
      <c r="IP122" s="119"/>
      <c r="IQ122" s="119"/>
      <c r="IR122" s="119"/>
      <c r="IS122" s="119"/>
      <c r="IT122" s="119"/>
      <c r="IU122" s="119"/>
      <c r="IV122" s="119"/>
      <c r="IW122" s="119"/>
    </row>
    <row r="123" customFormat="false" ht="11.25" hidden="false" customHeight="false" outlineLevel="0" collapsed="false">
      <c r="A123" s="67" t="s">
        <v>30</v>
      </c>
      <c r="B123" s="67" t="s">
        <v>58</v>
      </c>
      <c r="C123" s="113"/>
      <c r="D123" s="67" t="s">
        <v>43</v>
      </c>
      <c r="E123" s="132" t="s">
        <v>103</v>
      </c>
      <c r="F123" s="113"/>
      <c r="G123" s="120" t="n">
        <v>0.94</v>
      </c>
      <c r="H123" s="120" t="n">
        <v>0.9</v>
      </c>
      <c r="I123" s="120" t="n">
        <v>0.04</v>
      </c>
      <c r="J123" s="115" t="n">
        <f aca="false">+[4]Summary!$F$36</f>
        <v>62401635.28848</v>
      </c>
      <c r="K123" s="115" t="n">
        <f aca="false">+J123/730</f>
        <v>85481.692176</v>
      </c>
      <c r="L123" s="117" t="n">
        <f aca="false">-[4]Summary!$I$36</f>
        <v>1577186.12762348</v>
      </c>
      <c r="M123" s="117" t="n">
        <f aca="false">-[4]Summary!$J$36</f>
        <v>194844.432130001</v>
      </c>
      <c r="N123" s="118" t="n">
        <f aca="false">-[4]Summary!$K$36</f>
        <v>1382341.69549348</v>
      </c>
      <c r="O123" s="128" t="n">
        <f aca="false">-N123</f>
        <v>-1382341.69549348</v>
      </c>
      <c r="P123" s="12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  <c r="BE123" s="119"/>
      <c r="BF123" s="119"/>
      <c r="BG123" s="119"/>
      <c r="BH123" s="119"/>
      <c r="BI123" s="119"/>
      <c r="BJ123" s="119"/>
      <c r="BK123" s="119"/>
      <c r="BL123" s="119"/>
      <c r="BM123" s="119"/>
      <c r="BN123" s="119"/>
      <c r="BO123" s="119"/>
      <c r="BP123" s="119"/>
      <c r="BQ123" s="119"/>
      <c r="BR123" s="119"/>
      <c r="BS123" s="119"/>
      <c r="BT123" s="119"/>
      <c r="BU123" s="119"/>
      <c r="BV123" s="119"/>
      <c r="BW123" s="119"/>
      <c r="BX123" s="119"/>
      <c r="BY123" s="119"/>
      <c r="BZ123" s="119"/>
      <c r="CA123" s="119"/>
      <c r="CB123" s="119"/>
      <c r="CC123" s="119"/>
      <c r="CD123" s="119"/>
      <c r="CE123" s="119"/>
      <c r="CF123" s="119"/>
      <c r="CG123" s="119"/>
      <c r="CH123" s="119"/>
      <c r="CI123" s="119"/>
      <c r="CJ123" s="119"/>
      <c r="CK123" s="119"/>
      <c r="CL123" s="119"/>
      <c r="CM123" s="119"/>
      <c r="CN123" s="119"/>
      <c r="CO123" s="119"/>
      <c r="CP123" s="119"/>
      <c r="CQ123" s="119"/>
      <c r="CR123" s="119"/>
      <c r="CS123" s="119"/>
      <c r="CT123" s="119"/>
      <c r="CU123" s="119"/>
      <c r="CV123" s="119"/>
      <c r="CW123" s="119"/>
      <c r="CX123" s="119"/>
      <c r="CY123" s="119"/>
      <c r="CZ123" s="119"/>
      <c r="DA123" s="119"/>
      <c r="DB123" s="119"/>
      <c r="DC123" s="119"/>
      <c r="DD123" s="119"/>
      <c r="DE123" s="119"/>
      <c r="DF123" s="119"/>
      <c r="DG123" s="119"/>
      <c r="DH123" s="119"/>
      <c r="DI123" s="119"/>
      <c r="DJ123" s="119"/>
      <c r="DK123" s="119"/>
      <c r="DL123" s="119"/>
      <c r="DM123" s="119"/>
      <c r="DN123" s="119"/>
      <c r="DO123" s="119"/>
      <c r="DP123" s="119"/>
      <c r="DQ123" s="119"/>
      <c r="DR123" s="119"/>
      <c r="DS123" s="119"/>
      <c r="DT123" s="119"/>
      <c r="DU123" s="119"/>
      <c r="DV123" s="119"/>
      <c r="DW123" s="119"/>
      <c r="DX123" s="119"/>
      <c r="DY123" s="119"/>
      <c r="DZ123" s="119"/>
      <c r="EA123" s="119"/>
      <c r="EB123" s="119"/>
      <c r="EC123" s="119"/>
      <c r="ED123" s="119"/>
      <c r="EE123" s="119"/>
      <c r="EF123" s="119"/>
      <c r="EG123" s="119"/>
      <c r="EH123" s="119"/>
      <c r="EI123" s="119"/>
      <c r="EJ123" s="119"/>
      <c r="EK123" s="119"/>
      <c r="EL123" s="119"/>
      <c r="EM123" s="119"/>
      <c r="EN123" s="119"/>
      <c r="EO123" s="119"/>
      <c r="EP123" s="119"/>
      <c r="EQ123" s="119"/>
      <c r="ER123" s="119"/>
      <c r="ES123" s="119"/>
      <c r="ET123" s="119"/>
      <c r="EU123" s="119"/>
      <c r="EV123" s="119"/>
      <c r="EW123" s="119"/>
      <c r="EX123" s="119"/>
      <c r="EY123" s="119"/>
      <c r="EZ123" s="119"/>
      <c r="FA123" s="119"/>
      <c r="FB123" s="119"/>
      <c r="FC123" s="119"/>
      <c r="FD123" s="119"/>
      <c r="FE123" s="119"/>
      <c r="FF123" s="119"/>
      <c r="FG123" s="119"/>
      <c r="FH123" s="119"/>
      <c r="FI123" s="119"/>
      <c r="FJ123" s="119"/>
      <c r="FK123" s="119"/>
      <c r="FL123" s="119"/>
      <c r="FM123" s="119"/>
      <c r="FN123" s="119"/>
      <c r="FO123" s="119"/>
      <c r="FP123" s="119"/>
      <c r="FQ123" s="119"/>
      <c r="FR123" s="119"/>
      <c r="FS123" s="119"/>
      <c r="FT123" s="119"/>
      <c r="FU123" s="119"/>
      <c r="FV123" s="119"/>
      <c r="FW123" s="119"/>
      <c r="FX123" s="119"/>
      <c r="FY123" s="119"/>
      <c r="FZ123" s="119"/>
      <c r="GA123" s="119"/>
      <c r="GB123" s="119"/>
      <c r="GC123" s="119"/>
      <c r="GD123" s="119"/>
      <c r="GE123" s="119"/>
      <c r="GF123" s="119"/>
      <c r="GG123" s="119"/>
      <c r="GH123" s="119"/>
      <c r="GI123" s="119"/>
      <c r="GJ123" s="119"/>
      <c r="GK123" s="119"/>
      <c r="GL123" s="119"/>
      <c r="GM123" s="119"/>
      <c r="GN123" s="119"/>
      <c r="GO123" s="119"/>
      <c r="GP123" s="119"/>
      <c r="GQ123" s="119"/>
      <c r="GR123" s="119"/>
      <c r="GS123" s="119"/>
      <c r="GT123" s="119"/>
      <c r="GU123" s="119"/>
      <c r="GV123" s="119"/>
      <c r="GW123" s="119"/>
      <c r="GX123" s="119"/>
      <c r="GY123" s="119"/>
      <c r="GZ123" s="119"/>
      <c r="HA123" s="119"/>
      <c r="HB123" s="119"/>
      <c r="HC123" s="119"/>
      <c r="HD123" s="119"/>
      <c r="HE123" s="119"/>
      <c r="HF123" s="119"/>
      <c r="HG123" s="119"/>
      <c r="HH123" s="119"/>
      <c r="HI123" s="119"/>
      <c r="HJ123" s="119"/>
      <c r="HK123" s="119"/>
      <c r="HL123" s="119"/>
      <c r="HM123" s="119"/>
      <c r="HN123" s="119"/>
      <c r="HO123" s="119"/>
      <c r="HP123" s="119"/>
      <c r="HQ123" s="119"/>
      <c r="HR123" s="119"/>
      <c r="HS123" s="119"/>
      <c r="HT123" s="119"/>
      <c r="HU123" s="119"/>
      <c r="HV123" s="119"/>
      <c r="HW123" s="119"/>
      <c r="HX123" s="119"/>
      <c r="HY123" s="119"/>
      <c r="HZ123" s="119"/>
      <c r="IA123" s="119"/>
      <c r="IB123" s="119"/>
      <c r="IC123" s="119"/>
      <c r="ID123" s="119"/>
      <c r="IE123" s="119"/>
      <c r="IF123" s="119"/>
      <c r="IG123" s="119"/>
      <c r="IH123" s="119"/>
      <c r="II123" s="119"/>
      <c r="IJ123" s="119"/>
      <c r="IK123" s="119"/>
      <c r="IL123" s="119"/>
      <c r="IM123" s="119"/>
      <c r="IN123" s="119"/>
      <c r="IO123" s="119"/>
      <c r="IP123" s="119"/>
      <c r="IQ123" s="119"/>
      <c r="IR123" s="119"/>
      <c r="IS123" s="119"/>
      <c r="IT123" s="119"/>
      <c r="IU123" s="119"/>
      <c r="IV123" s="119"/>
      <c r="IW123" s="119"/>
    </row>
    <row r="124" customFormat="false" ht="11.25" hidden="false" customHeight="false" outlineLevel="0" collapsed="false">
      <c r="A124" s="26" t="s">
        <v>30</v>
      </c>
      <c r="B124" s="67" t="s">
        <v>58</v>
      </c>
      <c r="C124" s="132" t="s">
        <v>104</v>
      </c>
      <c r="D124" s="26" t="s">
        <v>43</v>
      </c>
      <c r="E124" s="132" t="s">
        <v>105</v>
      </c>
      <c r="F124" s="133" t="n">
        <v>36894</v>
      </c>
      <c r="G124" s="134" t="n">
        <f aca="false">SUM(SW17!D6:D16)/11</f>
        <v>4.00781818181818</v>
      </c>
      <c r="H124" s="134" t="n">
        <f aca="false">SUM(SW17!G20:G30)/11</f>
        <v>3.46272727272727</v>
      </c>
      <c r="I124" s="134" t="n">
        <f aca="false">+G124-H124</f>
        <v>0.545090909090908</v>
      </c>
      <c r="J124" s="115" t="n">
        <f aca="false">+SW17!F35</f>
        <v>6680000</v>
      </c>
      <c r="K124" s="115" t="n">
        <f aca="false">+J124/334</f>
        <v>20000</v>
      </c>
      <c r="L124" s="118" t="n">
        <f aca="false">-SW17!I37</f>
        <v>6132920</v>
      </c>
      <c r="M124" s="118" t="n">
        <f aca="false">-SW17!J37</f>
        <v>-0</v>
      </c>
      <c r="N124" s="118" t="n">
        <f aca="false">-SW17!K37</f>
        <v>6132920</v>
      </c>
      <c r="O124" s="128" t="n">
        <f aca="false">-N124</f>
        <v>-6132920</v>
      </c>
      <c r="P124" s="12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  <c r="BE124" s="119"/>
      <c r="BF124" s="119"/>
      <c r="BG124" s="119"/>
      <c r="BH124" s="119"/>
      <c r="BI124" s="119"/>
      <c r="BJ124" s="119"/>
      <c r="BK124" s="119"/>
      <c r="BL124" s="119"/>
      <c r="BM124" s="119"/>
      <c r="BN124" s="119"/>
      <c r="BO124" s="119"/>
      <c r="BP124" s="119"/>
      <c r="BQ124" s="119"/>
      <c r="BR124" s="119"/>
      <c r="BS124" s="119"/>
      <c r="BT124" s="119"/>
      <c r="BU124" s="119"/>
      <c r="BV124" s="119"/>
      <c r="BW124" s="119"/>
      <c r="BX124" s="119"/>
      <c r="BY124" s="119"/>
      <c r="BZ124" s="119"/>
      <c r="CA124" s="119"/>
      <c r="CB124" s="119"/>
      <c r="CC124" s="119"/>
      <c r="CD124" s="119"/>
      <c r="CE124" s="119"/>
      <c r="CF124" s="119"/>
      <c r="CG124" s="119"/>
      <c r="CH124" s="119"/>
      <c r="CI124" s="119"/>
      <c r="CJ124" s="119"/>
      <c r="CK124" s="119"/>
      <c r="CL124" s="119"/>
      <c r="CM124" s="119"/>
      <c r="CN124" s="119"/>
      <c r="CO124" s="119"/>
      <c r="CP124" s="119"/>
      <c r="CQ124" s="119"/>
      <c r="CR124" s="119"/>
      <c r="CS124" s="119"/>
      <c r="CT124" s="119"/>
      <c r="CU124" s="119"/>
      <c r="CV124" s="119"/>
      <c r="CW124" s="119"/>
      <c r="CX124" s="119"/>
      <c r="CY124" s="119"/>
      <c r="CZ124" s="119"/>
      <c r="DA124" s="119"/>
      <c r="DB124" s="119"/>
      <c r="DC124" s="119"/>
      <c r="DD124" s="119"/>
      <c r="DE124" s="119"/>
      <c r="DF124" s="119"/>
      <c r="DG124" s="119"/>
      <c r="DH124" s="119"/>
      <c r="DI124" s="119"/>
      <c r="DJ124" s="119"/>
      <c r="DK124" s="119"/>
      <c r="DL124" s="119"/>
      <c r="DM124" s="119"/>
      <c r="DN124" s="119"/>
      <c r="DO124" s="119"/>
      <c r="DP124" s="119"/>
      <c r="DQ124" s="119"/>
      <c r="DR124" s="119"/>
      <c r="DS124" s="119"/>
      <c r="DT124" s="119"/>
      <c r="DU124" s="119"/>
      <c r="DV124" s="119"/>
      <c r="DW124" s="119"/>
      <c r="DX124" s="119"/>
      <c r="DY124" s="119"/>
      <c r="DZ124" s="119"/>
      <c r="EA124" s="119"/>
      <c r="EB124" s="119"/>
      <c r="EC124" s="119"/>
      <c r="ED124" s="119"/>
      <c r="EE124" s="119"/>
      <c r="EF124" s="119"/>
      <c r="EG124" s="119"/>
      <c r="EH124" s="119"/>
      <c r="EI124" s="119"/>
      <c r="EJ124" s="119"/>
      <c r="EK124" s="119"/>
      <c r="EL124" s="119"/>
      <c r="EM124" s="119"/>
      <c r="EN124" s="119"/>
      <c r="EO124" s="119"/>
      <c r="EP124" s="119"/>
      <c r="EQ124" s="119"/>
      <c r="ER124" s="119"/>
      <c r="ES124" s="119"/>
      <c r="ET124" s="119"/>
      <c r="EU124" s="119"/>
      <c r="EV124" s="119"/>
      <c r="EW124" s="119"/>
      <c r="EX124" s="119"/>
      <c r="EY124" s="119"/>
      <c r="EZ124" s="119"/>
      <c r="FA124" s="119"/>
      <c r="FB124" s="119"/>
      <c r="FC124" s="119"/>
      <c r="FD124" s="119"/>
      <c r="FE124" s="119"/>
      <c r="FF124" s="119"/>
      <c r="FG124" s="119"/>
      <c r="FH124" s="119"/>
      <c r="FI124" s="119"/>
      <c r="FJ124" s="119"/>
      <c r="FK124" s="119"/>
      <c r="FL124" s="119"/>
      <c r="FM124" s="119"/>
      <c r="FN124" s="119"/>
      <c r="FO124" s="119"/>
      <c r="FP124" s="119"/>
      <c r="FQ124" s="119"/>
      <c r="FR124" s="119"/>
      <c r="FS124" s="119"/>
      <c r="FT124" s="119"/>
      <c r="FU124" s="119"/>
      <c r="FV124" s="119"/>
      <c r="FW124" s="119"/>
      <c r="FX124" s="119"/>
      <c r="FY124" s="119"/>
      <c r="FZ124" s="119"/>
      <c r="GA124" s="119"/>
      <c r="GB124" s="119"/>
      <c r="GC124" s="119"/>
      <c r="GD124" s="119"/>
      <c r="GE124" s="119"/>
      <c r="GF124" s="119"/>
      <c r="GG124" s="119"/>
      <c r="GH124" s="119"/>
      <c r="GI124" s="119"/>
      <c r="GJ124" s="119"/>
      <c r="GK124" s="119"/>
      <c r="GL124" s="119"/>
      <c r="GM124" s="119"/>
      <c r="GN124" s="119"/>
      <c r="GO124" s="119"/>
      <c r="GP124" s="119"/>
      <c r="GQ124" s="119"/>
      <c r="GR124" s="119"/>
      <c r="GS124" s="119"/>
      <c r="GT124" s="119"/>
      <c r="GU124" s="119"/>
      <c r="GV124" s="119"/>
      <c r="GW124" s="119"/>
      <c r="GX124" s="119"/>
      <c r="GY124" s="119"/>
      <c r="GZ124" s="119"/>
      <c r="HA124" s="119"/>
      <c r="HB124" s="119"/>
      <c r="HC124" s="119"/>
      <c r="HD124" s="119"/>
      <c r="HE124" s="119"/>
      <c r="HF124" s="119"/>
      <c r="HG124" s="119"/>
      <c r="HH124" s="119"/>
      <c r="HI124" s="119"/>
      <c r="HJ124" s="119"/>
      <c r="HK124" s="119"/>
      <c r="HL124" s="119"/>
      <c r="HM124" s="119"/>
      <c r="HN124" s="119"/>
      <c r="HO124" s="119"/>
      <c r="HP124" s="119"/>
      <c r="HQ124" s="119"/>
      <c r="HR124" s="119"/>
      <c r="HS124" s="119"/>
      <c r="HT124" s="119"/>
      <c r="HU124" s="119"/>
      <c r="HV124" s="119"/>
      <c r="HW124" s="119"/>
      <c r="HX124" s="119"/>
      <c r="HY124" s="119"/>
      <c r="HZ124" s="119"/>
      <c r="IA124" s="119"/>
      <c r="IB124" s="119"/>
      <c r="IC124" s="119"/>
      <c r="ID124" s="119"/>
      <c r="IE124" s="119"/>
      <c r="IF124" s="119"/>
      <c r="IG124" s="119"/>
      <c r="IH124" s="119"/>
      <c r="II124" s="119"/>
      <c r="IJ124" s="119"/>
      <c r="IK124" s="119"/>
      <c r="IL124" s="119"/>
      <c r="IM124" s="119"/>
      <c r="IN124" s="119"/>
      <c r="IO124" s="119"/>
      <c r="IP124" s="119"/>
      <c r="IQ124" s="119"/>
      <c r="IR124" s="119"/>
      <c r="IS124" s="119"/>
      <c r="IT124" s="119"/>
      <c r="IU124" s="119"/>
      <c r="IV124" s="119"/>
      <c r="IW124" s="119"/>
    </row>
    <row r="125" customFormat="false" ht="11.25" hidden="false" customHeight="false" outlineLevel="0" collapsed="false">
      <c r="A125" s="26" t="s">
        <v>30</v>
      </c>
      <c r="B125" s="67" t="s">
        <v>58</v>
      </c>
      <c r="C125" s="132" t="s">
        <v>106</v>
      </c>
      <c r="D125" s="26" t="s">
        <v>43</v>
      </c>
      <c r="E125" s="132" t="s">
        <v>105</v>
      </c>
      <c r="F125" s="133" t="n">
        <v>36894</v>
      </c>
      <c r="G125" s="135" t="n">
        <f aca="false">SUM(SW18!D6:D16)/11</f>
        <v>3.94545454545455</v>
      </c>
      <c r="H125" s="135" t="n">
        <f aca="false">SUM(SW18!G20:G30)/11</f>
        <v>3.46272727272727</v>
      </c>
      <c r="I125" s="135" t="n">
        <f aca="false">+G125-H125</f>
        <v>0.482727272727272</v>
      </c>
      <c r="J125" s="136" t="n">
        <f aca="false">+SW17!F8</f>
        <v>0</v>
      </c>
      <c r="K125" s="126" t="n">
        <f aca="false">+J125/334</f>
        <v>0</v>
      </c>
      <c r="L125" s="127" t="n">
        <f aca="false">-SW18!I38</f>
        <v>-5478280</v>
      </c>
      <c r="M125" s="127" t="n">
        <f aca="false">-SW18!J38</f>
        <v>-0</v>
      </c>
      <c r="N125" s="127" t="n">
        <f aca="false">-SW18!K38</f>
        <v>-5478280</v>
      </c>
      <c r="O125" s="128" t="n">
        <f aca="false">-N125</f>
        <v>5478280</v>
      </c>
      <c r="P125" s="12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  <c r="BE125" s="119"/>
      <c r="BF125" s="119"/>
      <c r="BG125" s="119"/>
      <c r="BH125" s="119"/>
      <c r="BI125" s="119"/>
      <c r="BJ125" s="119"/>
      <c r="BK125" s="119"/>
      <c r="BL125" s="119"/>
      <c r="BM125" s="119"/>
      <c r="BN125" s="119"/>
      <c r="BO125" s="119"/>
      <c r="BP125" s="119"/>
      <c r="BQ125" s="119"/>
      <c r="BR125" s="119"/>
      <c r="BS125" s="119"/>
      <c r="BT125" s="119"/>
      <c r="BU125" s="119"/>
      <c r="BV125" s="119"/>
      <c r="BW125" s="119"/>
      <c r="BX125" s="119"/>
      <c r="BY125" s="119"/>
      <c r="BZ125" s="119"/>
      <c r="CA125" s="119"/>
      <c r="CB125" s="119"/>
      <c r="CC125" s="119"/>
      <c r="CD125" s="119"/>
      <c r="CE125" s="119"/>
      <c r="CF125" s="119"/>
      <c r="CG125" s="119"/>
      <c r="CH125" s="119"/>
      <c r="CI125" s="119"/>
      <c r="CJ125" s="119"/>
      <c r="CK125" s="119"/>
      <c r="CL125" s="119"/>
      <c r="CM125" s="119"/>
      <c r="CN125" s="119"/>
      <c r="CO125" s="119"/>
      <c r="CP125" s="119"/>
      <c r="CQ125" s="119"/>
      <c r="CR125" s="119"/>
      <c r="CS125" s="119"/>
      <c r="CT125" s="119"/>
      <c r="CU125" s="119"/>
      <c r="CV125" s="119"/>
      <c r="CW125" s="119"/>
      <c r="CX125" s="119"/>
      <c r="CY125" s="119"/>
      <c r="CZ125" s="119"/>
      <c r="DA125" s="119"/>
      <c r="DB125" s="119"/>
      <c r="DC125" s="119"/>
      <c r="DD125" s="119"/>
      <c r="DE125" s="119"/>
      <c r="DF125" s="119"/>
      <c r="DG125" s="119"/>
      <c r="DH125" s="119"/>
      <c r="DI125" s="119"/>
      <c r="DJ125" s="119"/>
      <c r="DK125" s="119"/>
      <c r="DL125" s="119"/>
      <c r="DM125" s="119"/>
      <c r="DN125" s="119"/>
      <c r="DO125" s="119"/>
      <c r="DP125" s="119"/>
      <c r="DQ125" s="119"/>
      <c r="DR125" s="119"/>
      <c r="DS125" s="119"/>
      <c r="DT125" s="119"/>
      <c r="DU125" s="119"/>
      <c r="DV125" s="119"/>
      <c r="DW125" s="119"/>
      <c r="DX125" s="119"/>
      <c r="DY125" s="119"/>
      <c r="DZ125" s="119"/>
      <c r="EA125" s="119"/>
      <c r="EB125" s="119"/>
      <c r="EC125" s="119"/>
      <c r="ED125" s="119"/>
      <c r="EE125" s="119"/>
      <c r="EF125" s="119"/>
      <c r="EG125" s="119"/>
      <c r="EH125" s="119"/>
      <c r="EI125" s="119"/>
      <c r="EJ125" s="119"/>
      <c r="EK125" s="119"/>
      <c r="EL125" s="119"/>
      <c r="EM125" s="119"/>
      <c r="EN125" s="119"/>
      <c r="EO125" s="119"/>
      <c r="EP125" s="119"/>
      <c r="EQ125" s="119"/>
      <c r="ER125" s="119"/>
      <c r="ES125" s="119"/>
      <c r="ET125" s="119"/>
      <c r="EU125" s="119"/>
      <c r="EV125" s="119"/>
      <c r="EW125" s="119"/>
      <c r="EX125" s="119"/>
      <c r="EY125" s="119"/>
      <c r="EZ125" s="119"/>
      <c r="FA125" s="119"/>
      <c r="FB125" s="119"/>
      <c r="FC125" s="119"/>
      <c r="FD125" s="119"/>
      <c r="FE125" s="119"/>
      <c r="FF125" s="119"/>
      <c r="FG125" s="119"/>
      <c r="FH125" s="119"/>
      <c r="FI125" s="119"/>
      <c r="FJ125" s="119"/>
      <c r="FK125" s="119"/>
      <c r="FL125" s="119"/>
      <c r="FM125" s="119"/>
      <c r="FN125" s="119"/>
      <c r="FO125" s="119"/>
      <c r="FP125" s="119"/>
      <c r="FQ125" s="119"/>
      <c r="FR125" s="119"/>
      <c r="FS125" s="119"/>
      <c r="FT125" s="119"/>
      <c r="FU125" s="119"/>
      <c r="FV125" s="119"/>
      <c r="FW125" s="119"/>
      <c r="FX125" s="119"/>
      <c r="FY125" s="119"/>
      <c r="FZ125" s="119"/>
      <c r="GA125" s="119"/>
      <c r="GB125" s="119"/>
      <c r="GC125" s="119"/>
      <c r="GD125" s="119"/>
      <c r="GE125" s="119"/>
      <c r="GF125" s="119"/>
      <c r="GG125" s="119"/>
      <c r="GH125" s="119"/>
      <c r="GI125" s="119"/>
      <c r="GJ125" s="119"/>
      <c r="GK125" s="119"/>
      <c r="GL125" s="119"/>
      <c r="GM125" s="119"/>
      <c r="GN125" s="119"/>
      <c r="GO125" s="119"/>
      <c r="GP125" s="119"/>
      <c r="GQ125" s="119"/>
      <c r="GR125" s="119"/>
      <c r="GS125" s="119"/>
      <c r="GT125" s="119"/>
      <c r="GU125" s="119"/>
      <c r="GV125" s="119"/>
      <c r="GW125" s="119"/>
      <c r="GX125" s="119"/>
      <c r="GY125" s="119"/>
      <c r="GZ125" s="119"/>
      <c r="HA125" s="119"/>
      <c r="HB125" s="119"/>
      <c r="HC125" s="119"/>
      <c r="HD125" s="119"/>
      <c r="HE125" s="119"/>
      <c r="HF125" s="119"/>
      <c r="HG125" s="119"/>
      <c r="HH125" s="119"/>
      <c r="HI125" s="119"/>
      <c r="HJ125" s="119"/>
      <c r="HK125" s="119"/>
      <c r="HL125" s="119"/>
      <c r="HM125" s="119"/>
      <c r="HN125" s="119"/>
      <c r="HO125" s="119"/>
      <c r="HP125" s="119"/>
      <c r="HQ125" s="119"/>
      <c r="HR125" s="119"/>
      <c r="HS125" s="119"/>
      <c r="HT125" s="119"/>
      <c r="HU125" s="119"/>
      <c r="HV125" s="119"/>
      <c r="HW125" s="119"/>
      <c r="HX125" s="119"/>
      <c r="HY125" s="119"/>
      <c r="HZ125" s="119"/>
      <c r="IA125" s="119"/>
      <c r="IB125" s="119"/>
      <c r="IC125" s="119"/>
      <c r="ID125" s="119"/>
      <c r="IE125" s="119"/>
      <c r="IF125" s="119"/>
      <c r="IG125" s="119"/>
      <c r="IH125" s="119"/>
      <c r="II125" s="119"/>
      <c r="IJ125" s="119"/>
      <c r="IK125" s="119"/>
      <c r="IL125" s="119"/>
      <c r="IM125" s="119"/>
      <c r="IN125" s="119"/>
      <c r="IO125" s="119"/>
      <c r="IP125" s="119"/>
      <c r="IQ125" s="119"/>
      <c r="IR125" s="119"/>
      <c r="IS125" s="119"/>
      <c r="IT125" s="119"/>
      <c r="IU125" s="119"/>
      <c r="IV125" s="119"/>
      <c r="IW125" s="119"/>
    </row>
    <row r="126" customFormat="false" ht="11.25" hidden="false" customHeight="false" outlineLevel="0" collapsed="false">
      <c r="A126" s="26"/>
      <c r="B126" s="67"/>
      <c r="C126" s="113"/>
      <c r="D126" s="26"/>
      <c r="E126" s="132"/>
      <c r="F126" s="113"/>
      <c r="G126" s="134" t="n">
        <f aca="false">+G124-G125</f>
        <v>0.062363636363636</v>
      </c>
      <c r="H126" s="134" t="n">
        <f aca="false">+H124-H125</f>
        <v>0</v>
      </c>
      <c r="I126" s="134" t="n">
        <f aca="false">+I124-I125</f>
        <v>0.062363636363636</v>
      </c>
      <c r="J126" s="115" t="n">
        <f aca="false">SUM(J123:J125)</f>
        <v>69081635.28848</v>
      </c>
      <c r="K126" s="115" t="n">
        <f aca="false">SUM(K123:K125)</f>
        <v>105481.692176</v>
      </c>
      <c r="L126" s="118" t="n">
        <f aca="false">SUM(L123:L125)</f>
        <v>2231826.12762348</v>
      </c>
      <c r="M126" s="118" t="n">
        <f aca="false">SUM(M123:M125)</f>
        <v>194844.432130001</v>
      </c>
      <c r="N126" s="118" t="n">
        <f aca="false">SUM(N123:N125)</f>
        <v>2036981.69549348</v>
      </c>
      <c r="O126" s="130"/>
      <c r="P126" s="137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  <c r="BE126" s="119"/>
      <c r="BF126" s="119"/>
      <c r="BG126" s="119"/>
      <c r="BH126" s="119"/>
      <c r="BI126" s="119"/>
      <c r="BJ126" s="119"/>
      <c r="BK126" s="119"/>
      <c r="BL126" s="119"/>
      <c r="BM126" s="119"/>
      <c r="BN126" s="119"/>
      <c r="BO126" s="119"/>
      <c r="BP126" s="119"/>
      <c r="BQ126" s="119"/>
      <c r="BR126" s="119"/>
      <c r="BS126" s="119"/>
      <c r="BT126" s="119"/>
      <c r="BU126" s="119"/>
      <c r="BV126" s="119"/>
      <c r="BW126" s="119"/>
      <c r="BX126" s="119"/>
      <c r="BY126" s="119"/>
      <c r="BZ126" s="119"/>
      <c r="CA126" s="119"/>
      <c r="CB126" s="119"/>
      <c r="CC126" s="119"/>
      <c r="CD126" s="119"/>
      <c r="CE126" s="119"/>
      <c r="CF126" s="119"/>
      <c r="CG126" s="119"/>
      <c r="CH126" s="119"/>
      <c r="CI126" s="119"/>
      <c r="CJ126" s="119"/>
      <c r="CK126" s="119"/>
      <c r="CL126" s="119"/>
      <c r="CM126" s="119"/>
      <c r="CN126" s="119"/>
      <c r="CO126" s="119"/>
      <c r="CP126" s="119"/>
      <c r="CQ126" s="119"/>
      <c r="CR126" s="119"/>
      <c r="CS126" s="119"/>
      <c r="CT126" s="119"/>
      <c r="CU126" s="119"/>
      <c r="CV126" s="119"/>
      <c r="CW126" s="119"/>
      <c r="CX126" s="119"/>
      <c r="CY126" s="119"/>
      <c r="CZ126" s="119"/>
      <c r="DA126" s="119"/>
      <c r="DB126" s="119"/>
      <c r="DC126" s="119"/>
      <c r="DD126" s="119"/>
      <c r="DE126" s="119"/>
      <c r="DF126" s="119"/>
      <c r="DG126" s="119"/>
      <c r="DH126" s="119"/>
      <c r="DI126" s="119"/>
      <c r="DJ126" s="119"/>
      <c r="DK126" s="119"/>
      <c r="DL126" s="119"/>
      <c r="DM126" s="119"/>
      <c r="DN126" s="119"/>
      <c r="DO126" s="119"/>
      <c r="DP126" s="119"/>
      <c r="DQ126" s="119"/>
      <c r="DR126" s="119"/>
      <c r="DS126" s="119"/>
      <c r="DT126" s="119"/>
      <c r="DU126" s="119"/>
      <c r="DV126" s="119"/>
      <c r="DW126" s="119"/>
      <c r="DX126" s="119"/>
      <c r="DY126" s="119"/>
      <c r="DZ126" s="119"/>
      <c r="EA126" s="119"/>
      <c r="EB126" s="119"/>
      <c r="EC126" s="119"/>
      <c r="ED126" s="119"/>
      <c r="EE126" s="119"/>
      <c r="EF126" s="119"/>
      <c r="EG126" s="119"/>
      <c r="EH126" s="119"/>
      <c r="EI126" s="119"/>
      <c r="EJ126" s="119"/>
      <c r="EK126" s="119"/>
      <c r="EL126" s="119"/>
      <c r="EM126" s="119"/>
      <c r="EN126" s="119"/>
      <c r="EO126" s="119"/>
      <c r="EP126" s="119"/>
      <c r="EQ126" s="119"/>
      <c r="ER126" s="119"/>
      <c r="ES126" s="119"/>
      <c r="ET126" s="119"/>
      <c r="EU126" s="119"/>
      <c r="EV126" s="119"/>
      <c r="EW126" s="119"/>
      <c r="EX126" s="119"/>
      <c r="EY126" s="119"/>
      <c r="EZ126" s="119"/>
      <c r="FA126" s="119"/>
      <c r="FB126" s="119"/>
      <c r="FC126" s="119"/>
      <c r="FD126" s="119"/>
      <c r="FE126" s="119"/>
      <c r="FF126" s="119"/>
      <c r="FG126" s="119"/>
      <c r="FH126" s="119"/>
      <c r="FI126" s="119"/>
      <c r="FJ126" s="119"/>
      <c r="FK126" s="119"/>
      <c r="FL126" s="119"/>
      <c r="FM126" s="119"/>
      <c r="FN126" s="119"/>
      <c r="FO126" s="119"/>
      <c r="FP126" s="119"/>
      <c r="FQ126" s="119"/>
      <c r="FR126" s="119"/>
      <c r="FS126" s="119"/>
      <c r="FT126" s="119"/>
      <c r="FU126" s="119"/>
      <c r="FV126" s="119"/>
      <c r="FW126" s="119"/>
      <c r="FX126" s="119"/>
      <c r="FY126" s="119"/>
      <c r="FZ126" s="119"/>
      <c r="GA126" s="119"/>
      <c r="GB126" s="119"/>
      <c r="GC126" s="119"/>
      <c r="GD126" s="119"/>
      <c r="GE126" s="119"/>
      <c r="GF126" s="119"/>
      <c r="GG126" s="119"/>
      <c r="GH126" s="119"/>
      <c r="GI126" s="119"/>
      <c r="GJ126" s="119"/>
      <c r="GK126" s="119"/>
      <c r="GL126" s="119"/>
      <c r="GM126" s="119"/>
      <c r="GN126" s="119"/>
      <c r="GO126" s="119"/>
      <c r="GP126" s="119"/>
      <c r="GQ126" s="119"/>
      <c r="GR126" s="119"/>
      <c r="GS126" s="119"/>
      <c r="GT126" s="119"/>
      <c r="GU126" s="119"/>
      <c r="GV126" s="119"/>
      <c r="GW126" s="119"/>
      <c r="GX126" s="119"/>
      <c r="GY126" s="119"/>
      <c r="GZ126" s="119"/>
      <c r="HA126" s="119"/>
      <c r="HB126" s="119"/>
      <c r="HC126" s="119"/>
      <c r="HD126" s="119"/>
      <c r="HE126" s="119"/>
      <c r="HF126" s="119"/>
      <c r="HG126" s="119"/>
      <c r="HH126" s="119"/>
      <c r="HI126" s="119"/>
      <c r="HJ126" s="119"/>
      <c r="HK126" s="119"/>
      <c r="HL126" s="119"/>
      <c r="HM126" s="119"/>
      <c r="HN126" s="119"/>
      <c r="HO126" s="119"/>
      <c r="HP126" s="119"/>
      <c r="HQ126" s="119"/>
      <c r="HR126" s="119"/>
      <c r="HS126" s="119"/>
      <c r="HT126" s="119"/>
      <c r="HU126" s="119"/>
      <c r="HV126" s="119"/>
      <c r="HW126" s="119"/>
      <c r="HX126" s="119"/>
      <c r="HY126" s="119"/>
      <c r="HZ126" s="119"/>
      <c r="IA126" s="119"/>
      <c r="IB126" s="119"/>
      <c r="IC126" s="119"/>
      <c r="ID126" s="119"/>
      <c r="IE126" s="119"/>
      <c r="IF126" s="119"/>
      <c r="IG126" s="119"/>
      <c r="IH126" s="119"/>
      <c r="II126" s="119"/>
      <c r="IJ126" s="119"/>
      <c r="IK126" s="119"/>
      <c r="IL126" s="119"/>
      <c r="IM126" s="119"/>
      <c r="IN126" s="119"/>
      <c r="IO126" s="119"/>
      <c r="IP126" s="119"/>
      <c r="IQ126" s="119"/>
      <c r="IR126" s="119"/>
      <c r="IS126" s="119"/>
      <c r="IT126" s="119"/>
      <c r="IU126" s="119"/>
      <c r="IV126" s="119"/>
      <c r="IW126" s="119"/>
    </row>
    <row r="127" customFormat="false" ht="11.25" hidden="false" customHeight="false" outlineLevel="0" collapsed="false">
      <c r="A127" s="67"/>
      <c r="B127" s="67"/>
      <c r="C127" s="113"/>
      <c r="D127" s="67"/>
      <c r="E127" s="132"/>
      <c r="F127" s="113"/>
      <c r="G127" s="120"/>
      <c r="H127" s="120"/>
      <c r="I127" s="120"/>
      <c r="J127" s="115"/>
      <c r="K127" s="115"/>
      <c r="L127" s="118"/>
      <c r="M127" s="138"/>
      <c r="N127" s="138"/>
      <c r="O127" s="130"/>
      <c r="P127" s="12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  <c r="BE127" s="119"/>
      <c r="BF127" s="119"/>
      <c r="BG127" s="119"/>
      <c r="BH127" s="119"/>
      <c r="BI127" s="119"/>
      <c r="BJ127" s="119"/>
      <c r="BK127" s="119"/>
      <c r="BL127" s="119"/>
      <c r="BM127" s="119"/>
      <c r="BN127" s="119"/>
      <c r="BO127" s="119"/>
      <c r="BP127" s="119"/>
      <c r="BQ127" s="119"/>
      <c r="BR127" s="119"/>
      <c r="BS127" s="119"/>
      <c r="BT127" s="119"/>
      <c r="BU127" s="119"/>
      <c r="BV127" s="119"/>
      <c r="BW127" s="119"/>
      <c r="BX127" s="119"/>
      <c r="BY127" s="119"/>
      <c r="BZ127" s="119"/>
      <c r="CA127" s="119"/>
      <c r="CB127" s="119"/>
      <c r="CC127" s="119"/>
      <c r="CD127" s="119"/>
      <c r="CE127" s="119"/>
      <c r="CF127" s="119"/>
      <c r="CG127" s="119"/>
      <c r="CH127" s="119"/>
      <c r="CI127" s="119"/>
      <c r="CJ127" s="119"/>
      <c r="CK127" s="119"/>
      <c r="CL127" s="119"/>
      <c r="CM127" s="119"/>
      <c r="CN127" s="119"/>
      <c r="CO127" s="119"/>
      <c r="CP127" s="119"/>
      <c r="CQ127" s="119"/>
      <c r="CR127" s="119"/>
      <c r="CS127" s="119"/>
      <c r="CT127" s="119"/>
      <c r="CU127" s="119"/>
      <c r="CV127" s="119"/>
      <c r="CW127" s="119"/>
      <c r="CX127" s="119"/>
      <c r="CY127" s="119"/>
      <c r="CZ127" s="119"/>
      <c r="DA127" s="119"/>
      <c r="DB127" s="119"/>
      <c r="DC127" s="119"/>
      <c r="DD127" s="119"/>
      <c r="DE127" s="119"/>
      <c r="DF127" s="119"/>
      <c r="DG127" s="119"/>
      <c r="DH127" s="119"/>
      <c r="DI127" s="119"/>
      <c r="DJ127" s="119"/>
      <c r="DK127" s="119"/>
      <c r="DL127" s="119"/>
      <c r="DM127" s="119"/>
      <c r="DN127" s="119"/>
      <c r="DO127" s="119"/>
      <c r="DP127" s="119"/>
      <c r="DQ127" s="119"/>
      <c r="DR127" s="119"/>
      <c r="DS127" s="119"/>
      <c r="DT127" s="119"/>
      <c r="DU127" s="119"/>
      <c r="DV127" s="119"/>
      <c r="DW127" s="119"/>
      <c r="DX127" s="119"/>
      <c r="DY127" s="119"/>
      <c r="DZ127" s="119"/>
      <c r="EA127" s="119"/>
      <c r="EB127" s="119"/>
      <c r="EC127" s="119"/>
      <c r="ED127" s="119"/>
      <c r="EE127" s="119"/>
      <c r="EF127" s="119"/>
      <c r="EG127" s="119"/>
      <c r="EH127" s="119"/>
      <c r="EI127" s="119"/>
      <c r="EJ127" s="119"/>
      <c r="EK127" s="119"/>
      <c r="EL127" s="119"/>
      <c r="EM127" s="119"/>
      <c r="EN127" s="119"/>
      <c r="EO127" s="119"/>
      <c r="EP127" s="119"/>
      <c r="EQ127" s="119"/>
      <c r="ER127" s="119"/>
      <c r="ES127" s="119"/>
      <c r="ET127" s="119"/>
      <c r="EU127" s="119"/>
      <c r="EV127" s="119"/>
      <c r="EW127" s="119"/>
      <c r="EX127" s="119"/>
      <c r="EY127" s="119"/>
      <c r="EZ127" s="119"/>
      <c r="FA127" s="119"/>
      <c r="FB127" s="119"/>
      <c r="FC127" s="119"/>
      <c r="FD127" s="119"/>
      <c r="FE127" s="119"/>
      <c r="FF127" s="119"/>
      <c r="FG127" s="119"/>
      <c r="FH127" s="119"/>
      <c r="FI127" s="119"/>
      <c r="FJ127" s="119"/>
      <c r="FK127" s="119"/>
      <c r="FL127" s="119"/>
      <c r="FM127" s="119"/>
      <c r="FN127" s="119"/>
      <c r="FO127" s="119"/>
      <c r="FP127" s="119"/>
      <c r="FQ127" s="119"/>
      <c r="FR127" s="119"/>
      <c r="FS127" s="119"/>
      <c r="FT127" s="119"/>
      <c r="FU127" s="119"/>
      <c r="FV127" s="119"/>
      <c r="FW127" s="119"/>
      <c r="FX127" s="119"/>
      <c r="FY127" s="119"/>
      <c r="FZ127" s="119"/>
      <c r="GA127" s="119"/>
      <c r="GB127" s="119"/>
      <c r="GC127" s="119"/>
      <c r="GD127" s="119"/>
      <c r="GE127" s="119"/>
      <c r="GF127" s="119"/>
      <c r="GG127" s="119"/>
      <c r="GH127" s="119"/>
      <c r="GI127" s="119"/>
      <c r="GJ127" s="119"/>
      <c r="GK127" s="119"/>
      <c r="GL127" s="119"/>
      <c r="GM127" s="119"/>
      <c r="GN127" s="119"/>
      <c r="GO127" s="119"/>
      <c r="GP127" s="119"/>
      <c r="GQ127" s="119"/>
      <c r="GR127" s="119"/>
      <c r="GS127" s="119"/>
      <c r="GT127" s="119"/>
      <c r="GU127" s="119"/>
      <c r="GV127" s="119"/>
      <c r="GW127" s="119"/>
      <c r="GX127" s="119"/>
      <c r="GY127" s="119"/>
      <c r="GZ127" s="119"/>
      <c r="HA127" s="119"/>
      <c r="HB127" s="119"/>
      <c r="HC127" s="119"/>
      <c r="HD127" s="119"/>
      <c r="HE127" s="119"/>
      <c r="HF127" s="119"/>
      <c r="HG127" s="119"/>
      <c r="HH127" s="119"/>
      <c r="HI127" s="119"/>
      <c r="HJ127" s="119"/>
      <c r="HK127" s="119"/>
      <c r="HL127" s="119"/>
      <c r="HM127" s="119"/>
      <c r="HN127" s="119"/>
      <c r="HO127" s="119"/>
      <c r="HP127" s="119"/>
      <c r="HQ127" s="119"/>
      <c r="HR127" s="119"/>
      <c r="HS127" s="119"/>
      <c r="HT127" s="119"/>
      <c r="HU127" s="119"/>
      <c r="HV127" s="119"/>
      <c r="HW127" s="119"/>
      <c r="HX127" s="119"/>
      <c r="HY127" s="119"/>
      <c r="HZ127" s="119"/>
      <c r="IA127" s="119"/>
      <c r="IB127" s="119"/>
      <c r="IC127" s="119"/>
      <c r="ID127" s="119"/>
      <c r="IE127" s="119"/>
      <c r="IF127" s="119"/>
      <c r="IG127" s="119"/>
      <c r="IH127" s="119"/>
      <c r="II127" s="119"/>
      <c r="IJ127" s="119"/>
      <c r="IK127" s="119"/>
      <c r="IL127" s="119"/>
      <c r="IM127" s="119"/>
      <c r="IN127" s="119"/>
      <c r="IO127" s="119"/>
      <c r="IP127" s="119"/>
      <c r="IQ127" s="119"/>
      <c r="IR127" s="119"/>
      <c r="IS127" s="119"/>
      <c r="IT127" s="119"/>
      <c r="IU127" s="119"/>
      <c r="IV127" s="119"/>
      <c r="IW127" s="119"/>
    </row>
    <row r="128" customFormat="false" ht="11.25" hidden="false" customHeight="false" outlineLevel="0" collapsed="false">
      <c r="A128" s="67" t="s">
        <v>30</v>
      </c>
      <c r="B128" s="67" t="s">
        <v>42</v>
      </c>
      <c r="C128" s="132" t="s">
        <v>107</v>
      </c>
      <c r="D128" s="67" t="s">
        <v>43</v>
      </c>
      <c r="E128" s="132" t="s">
        <v>108</v>
      </c>
      <c r="F128" s="133" t="n">
        <v>36837</v>
      </c>
      <c r="G128" s="120"/>
      <c r="H128" s="120"/>
      <c r="I128" s="120"/>
      <c r="J128" s="115"/>
      <c r="K128" s="115"/>
      <c r="L128" s="118" t="n">
        <f aca="false">-M337849!H36</f>
        <v>-32239.13754</v>
      </c>
      <c r="M128" s="138" t="n">
        <f aca="false">-M337849!I36</f>
        <v>-1823.80000000001</v>
      </c>
      <c r="N128" s="138" t="n">
        <f aca="false">-M337849!J36</f>
        <v>-30415.33754</v>
      </c>
      <c r="O128" s="128" t="n">
        <f aca="false">-N128</f>
        <v>30415.33754</v>
      </c>
      <c r="P128" s="12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  <c r="BE128" s="119"/>
      <c r="BF128" s="119"/>
      <c r="BG128" s="119"/>
      <c r="BH128" s="119"/>
      <c r="BI128" s="119"/>
      <c r="BJ128" s="119"/>
      <c r="BK128" s="119"/>
      <c r="BL128" s="119"/>
      <c r="BM128" s="119"/>
      <c r="BN128" s="119"/>
      <c r="BO128" s="119"/>
      <c r="BP128" s="119"/>
      <c r="BQ128" s="119"/>
      <c r="BR128" s="119"/>
      <c r="BS128" s="119"/>
      <c r="BT128" s="119"/>
      <c r="BU128" s="119"/>
      <c r="BV128" s="119"/>
      <c r="BW128" s="119"/>
      <c r="BX128" s="119"/>
      <c r="BY128" s="119"/>
      <c r="BZ128" s="119"/>
      <c r="CA128" s="119"/>
      <c r="CB128" s="119"/>
      <c r="CC128" s="119"/>
      <c r="CD128" s="119"/>
      <c r="CE128" s="119"/>
      <c r="CF128" s="119"/>
      <c r="CG128" s="119"/>
      <c r="CH128" s="119"/>
      <c r="CI128" s="119"/>
      <c r="CJ128" s="119"/>
      <c r="CK128" s="119"/>
      <c r="CL128" s="119"/>
      <c r="CM128" s="119"/>
      <c r="CN128" s="119"/>
      <c r="CO128" s="119"/>
      <c r="CP128" s="119"/>
      <c r="CQ128" s="119"/>
      <c r="CR128" s="119"/>
      <c r="CS128" s="119"/>
      <c r="CT128" s="119"/>
      <c r="CU128" s="119"/>
      <c r="CV128" s="119"/>
      <c r="CW128" s="119"/>
      <c r="CX128" s="119"/>
      <c r="CY128" s="119"/>
      <c r="CZ128" s="119"/>
      <c r="DA128" s="119"/>
      <c r="DB128" s="119"/>
      <c r="DC128" s="119"/>
      <c r="DD128" s="119"/>
      <c r="DE128" s="119"/>
      <c r="DF128" s="119"/>
      <c r="DG128" s="119"/>
      <c r="DH128" s="119"/>
      <c r="DI128" s="119"/>
      <c r="DJ128" s="119"/>
      <c r="DK128" s="119"/>
      <c r="DL128" s="119"/>
      <c r="DM128" s="119"/>
      <c r="DN128" s="119"/>
      <c r="DO128" s="119"/>
      <c r="DP128" s="119"/>
      <c r="DQ128" s="119"/>
      <c r="DR128" s="119"/>
      <c r="DS128" s="119"/>
      <c r="DT128" s="119"/>
      <c r="DU128" s="119"/>
      <c r="DV128" s="119"/>
      <c r="DW128" s="119"/>
      <c r="DX128" s="119"/>
      <c r="DY128" s="119"/>
      <c r="DZ128" s="119"/>
      <c r="EA128" s="119"/>
      <c r="EB128" s="119"/>
      <c r="EC128" s="119"/>
      <c r="ED128" s="119"/>
      <c r="EE128" s="119"/>
      <c r="EF128" s="119"/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19"/>
      <c r="ES128" s="119"/>
      <c r="ET128" s="119"/>
      <c r="EU128" s="119"/>
      <c r="EV128" s="119"/>
      <c r="EW128" s="119"/>
      <c r="EX128" s="119"/>
      <c r="EY128" s="119"/>
      <c r="EZ128" s="119"/>
      <c r="FA128" s="119"/>
      <c r="FB128" s="119"/>
      <c r="FC128" s="119"/>
      <c r="FD128" s="119"/>
      <c r="FE128" s="119"/>
      <c r="FF128" s="119"/>
      <c r="FG128" s="119"/>
      <c r="FH128" s="119"/>
      <c r="FI128" s="119"/>
      <c r="FJ128" s="119"/>
      <c r="FK128" s="119"/>
      <c r="FL128" s="119"/>
      <c r="FM128" s="119"/>
      <c r="FN128" s="119"/>
      <c r="FO128" s="119"/>
      <c r="FP128" s="119"/>
      <c r="FQ128" s="119"/>
      <c r="FR128" s="119"/>
      <c r="FS128" s="119"/>
      <c r="FT128" s="119"/>
      <c r="FU128" s="119"/>
      <c r="FV128" s="119"/>
      <c r="FW128" s="119"/>
      <c r="FX128" s="119"/>
      <c r="FY128" s="119"/>
      <c r="FZ128" s="119"/>
      <c r="GA128" s="119"/>
      <c r="GB128" s="119"/>
      <c r="GC128" s="119"/>
      <c r="GD128" s="119"/>
      <c r="GE128" s="119"/>
      <c r="GF128" s="119"/>
      <c r="GG128" s="119"/>
      <c r="GH128" s="119"/>
      <c r="GI128" s="119"/>
      <c r="GJ128" s="119"/>
      <c r="GK128" s="119"/>
      <c r="GL128" s="119"/>
      <c r="GM128" s="119"/>
      <c r="GN128" s="119"/>
      <c r="GO128" s="119"/>
      <c r="GP128" s="119"/>
      <c r="GQ128" s="119"/>
      <c r="GR128" s="119"/>
      <c r="GS128" s="119"/>
      <c r="GT128" s="119"/>
      <c r="GU128" s="119"/>
      <c r="GV128" s="119"/>
      <c r="GW128" s="119"/>
      <c r="GX128" s="119"/>
      <c r="GY128" s="119"/>
      <c r="GZ128" s="119"/>
      <c r="HA128" s="119"/>
      <c r="HB128" s="119"/>
      <c r="HC128" s="119"/>
      <c r="HD128" s="119"/>
      <c r="HE128" s="119"/>
      <c r="HF128" s="119"/>
      <c r="HG128" s="119"/>
      <c r="HH128" s="119"/>
      <c r="HI128" s="119"/>
      <c r="HJ128" s="119"/>
      <c r="HK128" s="119"/>
      <c r="HL128" s="119"/>
      <c r="HM128" s="119"/>
      <c r="HN128" s="119"/>
      <c r="HO128" s="119"/>
      <c r="HP128" s="119"/>
      <c r="HQ128" s="119"/>
      <c r="HR128" s="119"/>
      <c r="HS128" s="119"/>
      <c r="HT128" s="119"/>
      <c r="HU128" s="119"/>
      <c r="HV128" s="119"/>
      <c r="HW128" s="119"/>
      <c r="HX128" s="119"/>
      <c r="HY128" s="119"/>
      <c r="HZ128" s="119"/>
      <c r="IA128" s="119"/>
      <c r="IB128" s="119"/>
      <c r="IC128" s="119"/>
      <c r="ID128" s="119"/>
      <c r="IE128" s="119"/>
      <c r="IF128" s="119"/>
      <c r="IG128" s="119"/>
      <c r="IH128" s="119"/>
      <c r="II128" s="119"/>
      <c r="IJ128" s="119"/>
      <c r="IK128" s="119"/>
      <c r="IL128" s="119"/>
      <c r="IM128" s="119"/>
      <c r="IN128" s="119"/>
      <c r="IO128" s="119"/>
      <c r="IP128" s="119"/>
      <c r="IQ128" s="119"/>
      <c r="IR128" s="119"/>
      <c r="IS128" s="119"/>
      <c r="IT128" s="119"/>
      <c r="IU128" s="119"/>
      <c r="IV128" s="119"/>
      <c r="IW128" s="119"/>
    </row>
    <row r="129" customFormat="false" ht="11.25" hidden="false" customHeight="false" outlineLevel="0" collapsed="false">
      <c r="A129" s="26"/>
      <c r="B129" s="67"/>
      <c r="C129" s="113"/>
      <c r="D129" s="26"/>
      <c r="E129" s="132"/>
      <c r="F129" s="113"/>
      <c r="G129" s="120"/>
      <c r="H129" s="120"/>
      <c r="I129" s="120"/>
      <c r="J129" s="115"/>
      <c r="K129" s="115"/>
      <c r="L129" s="118"/>
      <c r="M129" s="138"/>
      <c r="N129" s="138"/>
      <c r="O129" s="128"/>
      <c r="P129" s="12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  <c r="BE129" s="119"/>
      <c r="BF129" s="119"/>
      <c r="BG129" s="119"/>
      <c r="BH129" s="119"/>
      <c r="BI129" s="119"/>
      <c r="BJ129" s="119"/>
      <c r="BK129" s="119"/>
      <c r="BL129" s="119"/>
      <c r="BM129" s="119"/>
      <c r="BN129" s="119"/>
      <c r="BO129" s="119"/>
      <c r="BP129" s="119"/>
      <c r="BQ129" s="119"/>
      <c r="BR129" s="119"/>
      <c r="BS129" s="119"/>
      <c r="BT129" s="119"/>
      <c r="BU129" s="119"/>
      <c r="BV129" s="119"/>
      <c r="BW129" s="119"/>
      <c r="BX129" s="119"/>
      <c r="BY129" s="119"/>
      <c r="BZ129" s="119"/>
      <c r="CA129" s="119"/>
      <c r="CB129" s="119"/>
      <c r="CC129" s="119"/>
      <c r="CD129" s="119"/>
      <c r="CE129" s="119"/>
      <c r="CF129" s="119"/>
      <c r="CG129" s="119"/>
      <c r="CH129" s="119"/>
      <c r="CI129" s="119"/>
      <c r="CJ129" s="119"/>
      <c r="CK129" s="119"/>
      <c r="CL129" s="119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  <c r="EC129" s="119"/>
      <c r="ED129" s="119"/>
      <c r="EE129" s="119"/>
      <c r="EF129" s="119"/>
      <c r="EG129" s="119"/>
      <c r="EH129" s="119"/>
      <c r="EI129" s="119"/>
      <c r="EJ129" s="119"/>
      <c r="EK129" s="119"/>
      <c r="EL129" s="119"/>
      <c r="EM129" s="119"/>
      <c r="EN129" s="119"/>
      <c r="EO129" s="119"/>
      <c r="EP129" s="119"/>
      <c r="EQ129" s="119"/>
      <c r="ER129" s="119"/>
      <c r="ES129" s="119"/>
      <c r="ET129" s="119"/>
      <c r="EU129" s="119"/>
      <c r="EV129" s="119"/>
      <c r="EW129" s="119"/>
      <c r="EX129" s="119"/>
      <c r="EY129" s="119"/>
      <c r="EZ129" s="119"/>
      <c r="FA129" s="119"/>
      <c r="FB129" s="119"/>
      <c r="FC129" s="119"/>
      <c r="FD129" s="119"/>
      <c r="FE129" s="119"/>
      <c r="FF129" s="119"/>
      <c r="FG129" s="119"/>
      <c r="FH129" s="119"/>
      <c r="FI129" s="119"/>
      <c r="FJ129" s="119"/>
      <c r="FK129" s="119"/>
      <c r="FL129" s="119"/>
      <c r="FM129" s="119"/>
      <c r="FN129" s="119"/>
      <c r="FO129" s="119"/>
      <c r="FP129" s="119"/>
      <c r="FQ129" s="119"/>
      <c r="FR129" s="119"/>
      <c r="FS129" s="119"/>
      <c r="FT129" s="119"/>
      <c r="FU129" s="119"/>
      <c r="FV129" s="119"/>
      <c r="FW129" s="119"/>
      <c r="FX129" s="119"/>
      <c r="FY129" s="119"/>
      <c r="FZ129" s="119"/>
      <c r="GA129" s="119"/>
      <c r="GB129" s="119"/>
      <c r="GC129" s="119"/>
      <c r="GD129" s="119"/>
      <c r="GE129" s="119"/>
      <c r="GF129" s="119"/>
      <c r="GG129" s="119"/>
      <c r="GH129" s="119"/>
      <c r="GI129" s="119"/>
      <c r="GJ129" s="119"/>
      <c r="GK129" s="119"/>
      <c r="GL129" s="119"/>
      <c r="GM129" s="119"/>
      <c r="GN129" s="119"/>
      <c r="GO129" s="119"/>
      <c r="GP129" s="119"/>
      <c r="GQ129" s="119"/>
      <c r="GR129" s="119"/>
      <c r="GS129" s="119"/>
      <c r="GT129" s="119"/>
      <c r="GU129" s="119"/>
      <c r="GV129" s="119"/>
      <c r="GW129" s="119"/>
      <c r="GX129" s="119"/>
      <c r="GY129" s="119"/>
      <c r="GZ129" s="119"/>
      <c r="HA129" s="119"/>
      <c r="HB129" s="119"/>
      <c r="HC129" s="119"/>
      <c r="HD129" s="119"/>
      <c r="HE129" s="119"/>
      <c r="HF129" s="119"/>
      <c r="HG129" s="119"/>
      <c r="HH129" s="119"/>
      <c r="HI129" s="119"/>
      <c r="HJ129" s="119"/>
      <c r="HK129" s="119"/>
      <c r="HL129" s="119"/>
      <c r="HM129" s="119"/>
      <c r="HN129" s="119"/>
      <c r="HO129" s="119"/>
      <c r="HP129" s="119"/>
      <c r="HQ129" s="119"/>
      <c r="HR129" s="119"/>
      <c r="HS129" s="119"/>
      <c r="HT129" s="119"/>
      <c r="HU129" s="119"/>
      <c r="HV129" s="119"/>
      <c r="HW129" s="119"/>
      <c r="HX129" s="119"/>
      <c r="HY129" s="119"/>
      <c r="HZ129" s="119"/>
      <c r="IA129" s="119"/>
      <c r="IB129" s="119"/>
      <c r="IC129" s="119"/>
      <c r="ID129" s="119"/>
      <c r="IE129" s="119"/>
      <c r="IF129" s="119"/>
      <c r="IG129" s="119"/>
      <c r="IH129" s="119"/>
      <c r="II129" s="119"/>
      <c r="IJ129" s="119"/>
      <c r="IK129" s="119"/>
      <c r="IL129" s="119"/>
      <c r="IM129" s="119"/>
      <c r="IN129" s="119"/>
      <c r="IO129" s="119"/>
      <c r="IP129" s="119"/>
      <c r="IQ129" s="119"/>
      <c r="IR129" s="119"/>
      <c r="IS129" s="119"/>
      <c r="IT129" s="119"/>
      <c r="IU129" s="119"/>
      <c r="IV129" s="119"/>
      <c r="IW129" s="119"/>
    </row>
    <row r="130" customFormat="false" ht="11.25" hidden="false" customHeight="false" outlineLevel="0" collapsed="false">
      <c r="A130" s="26" t="s">
        <v>30</v>
      </c>
      <c r="B130" s="67" t="s">
        <v>109</v>
      </c>
      <c r="C130" s="132" t="n">
        <v>12007624</v>
      </c>
      <c r="D130" s="26" t="s">
        <v>43</v>
      </c>
      <c r="E130" s="132" t="s">
        <v>110</v>
      </c>
      <c r="F130" s="133" t="n">
        <v>36901</v>
      </c>
      <c r="G130" s="134" t="n">
        <f aca="false">+'12007624'!D10</f>
        <v>4.63</v>
      </c>
      <c r="H130" s="134" t="n">
        <f aca="false">+'12007624'!G14</f>
        <v>4.59</v>
      </c>
      <c r="I130" s="134" t="n">
        <f aca="false">+G130-H130</f>
        <v>0.04</v>
      </c>
      <c r="J130" s="115" t="n">
        <v>500000</v>
      </c>
      <c r="K130" s="115" t="n">
        <f aca="false">+J130/30</f>
        <v>16666.6666666667</v>
      </c>
      <c r="L130" s="118" t="n">
        <f aca="false">-'12007624'!I19</f>
        <v>20000</v>
      </c>
      <c r="M130" s="118" t="n">
        <f aca="false">-'12007624'!J19</f>
        <v>-0</v>
      </c>
      <c r="N130" s="118" t="n">
        <f aca="false">-'12007624'!K19</f>
        <v>20000</v>
      </c>
      <c r="O130" s="128" t="n">
        <f aca="false">-N130</f>
        <v>-20000</v>
      </c>
      <c r="P130" s="12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  <c r="BE130" s="119"/>
      <c r="BF130" s="119"/>
      <c r="BG130" s="119"/>
      <c r="BH130" s="119"/>
      <c r="BI130" s="119"/>
      <c r="BJ130" s="119"/>
      <c r="BK130" s="119"/>
      <c r="BL130" s="119"/>
      <c r="BM130" s="119"/>
      <c r="BN130" s="119"/>
      <c r="BO130" s="119"/>
      <c r="BP130" s="119"/>
      <c r="BQ130" s="119"/>
      <c r="BR130" s="119"/>
      <c r="BS130" s="119"/>
      <c r="BT130" s="119"/>
      <c r="BU130" s="119"/>
      <c r="BV130" s="119"/>
      <c r="BW130" s="119"/>
      <c r="BX130" s="119"/>
      <c r="BY130" s="119"/>
      <c r="BZ130" s="119"/>
      <c r="CA130" s="119"/>
      <c r="CB130" s="119"/>
      <c r="CC130" s="119"/>
      <c r="CD130" s="119"/>
      <c r="CE130" s="119"/>
      <c r="CF130" s="119"/>
      <c r="CG130" s="119"/>
      <c r="CH130" s="119"/>
      <c r="CI130" s="119"/>
      <c r="CJ130" s="119"/>
      <c r="CK130" s="119"/>
      <c r="CL130" s="119"/>
      <c r="CM130" s="119"/>
      <c r="CN130" s="119"/>
      <c r="CO130" s="119"/>
      <c r="CP130" s="119"/>
      <c r="CQ130" s="119"/>
      <c r="CR130" s="119"/>
      <c r="CS130" s="119"/>
      <c r="CT130" s="119"/>
      <c r="CU130" s="119"/>
      <c r="CV130" s="119"/>
      <c r="CW130" s="119"/>
      <c r="CX130" s="119"/>
      <c r="CY130" s="119"/>
      <c r="CZ130" s="119"/>
      <c r="DA130" s="119"/>
      <c r="DB130" s="119"/>
      <c r="DC130" s="119"/>
      <c r="DD130" s="119"/>
      <c r="DE130" s="119"/>
      <c r="DF130" s="119"/>
      <c r="DG130" s="119"/>
      <c r="DH130" s="119"/>
      <c r="DI130" s="119"/>
      <c r="DJ130" s="119"/>
      <c r="DK130" s="119"/>
      <c r="DL130" s="119"/>
      <c r="DM130" s="119"/>
      <c r="DN130" s="119"/>
      <c r="DO130" s="119"/>
      <c r="DP130" s="119"/>
      <c r="DQ130" s="119"/>
      <c r="DR130" s="119"/>
      <c r="DS130" s="119"/>
      <c r="DT130" s="119"/>
      <c r="DU130" s="119"/>
      <c r="DV130" s="119"/>
      <c r="DW130" s="119"/>
      <c r="DX130" s="119"/>
      <c r="DY130" s="119"/>
      <c r="DZ130" s="119"/>
      <c r="EA130" s="119"/>
      <c r="EB130" s="119"/>
      <c r="EC130" s="119"/>
      <c r="ED130" s="119"/>
      <c r="EE130" s="119"/>
      <c r="EF130" s="119"/>
      <c r="EG130" s="119"/>
      <c r="EH130" s="119"/>
      <c r="EI130" s="119"/>
      <c r="EJ130" s="119"/>
      <c r="EK130" s="119"/>
      <c r="EL130" s="119"/>
      <c r="EM130" s="119"/>
      <c r="EN130" s="119"/>
      <c r="EO130" s="119"/>
      <c r="EP130" s="119"/>
      <c r="EQ130" s="119"/>
      <c r="ER130" s="119"/>
      <c r="ES130" s="119"/>
      <c r="ET130" s="119"/>
      <c r="EU130" s="119"/>
      <c r="EV130" s="119"/>
      <c r="EW130" s="119"/>
      <c r="EX130" s="119"/>
      <c r="EY130" s="119"/>
      <c r="EZ130" s="119"/>
      <c r="FA130" s="119"/>
      <c r="FB130" s="119"/>
      <c r="FC130" s="119"/>
      <c r="FD130" s="119"/>
      <c r="FE130" s="119"/>
      <c r="FF130" s="119"/>
      <c r="FG130" s="119"/>
      <c r="FH130" s="119"/>
      <c r="FI130" s="119"/>
      <c r="FJ130" s="119"/>
      <c r="FK130" s="119"/>
      <c r="FL130" s="119"/>
      <c r="FM130" s="119"/>
      <c r="FN130" s="119"/>
      <c r="FO130" s="119"/>
      <c r="FP130" s="119"/>
      <c r="FQ130" s="119"/>
      <c r="FR130" s="119"/>
      <c r="FS130" s="119"/>
      <c r="FT130" s="119"/>
      <c r="FU130" s="119"/>
      <c r="FV130" s="119"/>
      <c r="FW130" s="119"/>
      <c r="FX130" s="119"/>
      <c r="FY130" s="119"/>
      <c r="FZ130" s="119"/>
      <c r="GA130" s="119"/>
      <c r="GB130" s="119"/>
      <c r="GC130" s="119"/>
      <c r="GD130" s="119"/>
      <c r="GE130" s="119"/>
      <c r="GF130" s="119"/>
      <c r="GG130" s="119"/>
      <c r="GH130" s="119"/>
      <c r="GI130" s="119"/>
      <c r="GJ130" s="119"/>
      <c r="GK130" s="119"/>
      <c r="GL130" s="119"/>
      <c r="GM130" s="119"/>
      <c r="GN130" s="119"/>
      <c r="GO130" s="119"/>
      <c r="GP130" s="119"/>
      <c r="GQ130" s="119"/>
      <c r="GR130" s="119"/>
      <c r="GS130" s="119"/>
      <c r="GT130" s="119"/>
      <c r="GU130" s="119"/>
      <c r="GV130" s="119"/>
      <c r="GW130" s="119"/>
      <c r="GX130" s="119"/>
      <c r="GY130" s="119"/>
      <c r="GZ130" s="119"/>
      <c r="HA130" s="119"/>
      <c r="HB130" s="119"/>
      <c r="HC130" s="119"/>
      <c r="HD130" s="119"/>
      <c r="HE130" s="119"/>
      <c r="HF130" s="119"/>
      <c r="HG130" s="119"/>
      <c r="HH130" s="119"/>
      <c r="HI130" s="119"/>
      <c r="HJ130" s="119"/>
      <c r="HK130" s="119"/>
      <c r="HL130" s="119"/>
      <c r="HM130" s="119"/>
      <c r="HN130" s="119"/>
      <c r="HO130" s="119"/>
      <c r="HP130" s="119"/>
      <c r="HQ130" s="119"/>
      <c r="HR130" s="119"/>
      <c r="HS130" s="119"/>
      <c r="HT130" s="119"/>
      <c r="HU130" s="119"/>
      <c r="HV130" s="119"/>
      <c r="HW130" s="119"/>
      <c r="HX130" s="119"/>
      <c r="HY130" s="119"/>
      <c r="HZ130" s="119"/>
      <c r="IA130" s="119"/>
      <c r="IB130" s="119"/>
      <c r="IC130" s="119"/>
      <c r="ID130" s="119"/>
      <c r="IE130" s="119"/>
      <c r="IF130" s="119"/>
      <c r="IG130" s="119"/>
      <c r="IH130" s="119"/>
      <c r="II130" s="119"/>
      <c r="IJ130" s="119"/>
      <c r="IK130" s="119"/>
      <c r="IL130" s="119"/>
      <c r="IM130" s="119"/>
      <c r="IN130" s="119"/>
      <c r="IO130" s="119"/>
      <c r="IP130" s="119"/>
      <c r="IQ130" s="119"/>
      <c r="IR130" s="119"/>
      <c r="IS130" s="119"/>
      <c r="IT130" s="119"/>
      <c r="IU130" s="119"/>
      <c r="IV130" s="119"/>
      <c r="IW130" s="119"/>
    </row>
    <row r="131" customFormat="false" ht="11.25" hidden="false" customHeight="false" outlineLevel="0" collapsed="false">
      <c r="A131" s="26" t="s">
        <v>30</v>
      </c>
      <c r="B131" s="67" t="s">
        <v>71</v>
      </c>
      <c r="C131" s="132" t="s">
        <v>111</v>
      </c>
      <c r="D131" s="26" t="s">
        <v>43</v>
      </c>
      <c r="E131" s="132" t="s">
        <v>110</v>
      </c>
      <c r="F131" s="133" t="n">
        <v>36901</v>
      </c>
      <c r="G131" s="139" t="n">
        <f aca="false">+'QK7503.1'!G14</f>
        <v>4.59</v>
      </c>
      <c r="H131" s="139" t="n">
        <f aca="false">+'QK7503.1'!D10</f>
        <v>4.58</v>
      </c>
      <c r="I131" s="135" t="n">
        <f aca="false">+G131-H131</f>
        <v>0.00999999999999979</v>
      </c>
      <c r="J131" s="136" t="n">
        <v>-500000</v>
      </c>
      <c r="K131" s="136" t="n">
        <f aca="false">+J131/30</f>
        <v>-16666.6666666667</v>
      </c>
      <c r="L131" s="140" t="n">
        <f aca="false">-'QK7503.1'!I19</f>
        <v>5000</v>
      </c>
      <c r="M131" s="140" t="n">
        <f aca="false">-'QK7503.1'!J19</f>
        <v>-0</v>
      </c>
      <c r="N131" s="140" t="n">
        <f aca="false">-'QK7503.1'!K19</f>
        <v>5000</v>
      </c>
      <c r="O131" s="128" t="n">
        <f aca="false">-N131</f>
        <v>-5000</v>
      </c>
      <c r="P131" s="12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  <c r="BE131" s="119"/>
      <c r="BF131" s="119"/>
      <c r="BG131" s="119"/>
      <c r="BH131" s="119"/>
      <c r="BI131" s="119"/>
      <c r="BJ131" s="119"/>
      <c r="BK131" s="119"/>
      <c r="BL131" s="119"/>
      <c r="BM131" s="119"/>
      <c r="BN131" s="119"/>
      <c r="BO131" s="119"/>
      <c r="BP131" s="119"/>
      <c r="BQ131" s="119"/>
      <c r="BR131" s="119"/>
      <c r="BS131" s="119"/>
      <c r="BT131" s="119"/>
      <c r="BU131" s="119"/>
      <c r="BV131" s="119"/>
      <c r="BW131" s="119"/>
      <c r="BX131" s="119"/>
      <c r="BY131" s="119"/>
      <c r="BZ131" s="119"/>
      <c r="CA131" s="119"/>
      <c r="CB131" s="119"/>
      <c r="CC131" s="119"/>
      <c r="CD131" s="119"/>
      <c r="CE131" s="119"/>
      <c r="CF131" s="119"/>
      <c r="CG131" s="119"/>
      <c r="CH131" s="119"/>
      <c r="CI131" s="119"/>
      <c r="CJ131" s="119"/>
      <c r="CK131" s="119"/>
      <c r="CL131" s="119"/>
      <c r="CM131" s="119"/>
      <c r="CN131" s="119"/>
      <c r="CO131" s="119"/>
      <c r="CP131" s="119"/>
      <c r="CQ131" s="119"/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19"/>
      <c r="DF131" s="119"/>
      <c r="DG131" s="119"/>
      <c r="DH131" s="119"/>
      <c r="DI131" s="119"/>
      <c r="DJ131" s="119"/>
      <c r="DK131" s="119"/>
      <c r="DL131" s="119"/>
      <c r="DM131" s="119"/>
      <c r="DN131" s="119"/>
      <c r="DO131" s="119"/>
      <c r="DP131" s="119"/>
      <c r="DQ131" s="119"/>
      <c r="DR131" s="119"/>
      <c r="DS131" s="119"/>
      <c r="DT131" s="119"/>
      <c r="DU131" s="119"/>
      <c r="DV131" s="119"/>
      <c r="DW131" s="119"/>
      <c r="DX131" s="119"/>
      <c r="DY131" s="119"/>
      <c r="DZ131" s="119"/>
      <c r="EA131" s="119"/>
      <c r="EB131" s="119"/>
      <c r="EC131" s="119"/>
      <c r="ED131" s="119"/>
      <c r="EE131" s="119"/>
      <c r="EF131" s="119"/>
      <c r="EG131" s="119"/>
      <c r="EH131" s="119"/>
      <c r="EI131" s="119"/>
      <c r="EJ131" s="119"/>
      <c r="EK131" s="119"/>
      <c r="EL131" s="119"/>
      <c r="EM131" s="119"/>
      <c r="EN131" s="119"/>
      <c r="EO131" s="119"/>
      <c r="EP131" s="119"/>
      <c r="EQ131" s="119"/>
      <c r="ER131" s="119"/>
      <c r="ES131" s="119"/>
      <c r="ET131" s="119"/>
      <c r="EU131" s="119"/>
      <c r="EV131" s="119"/>
      <c r="EW131" s="119"/>
      <c r="EX131" s="119"/>
      <c r="EY131" s="119"/>
      <c r="EZ131" s="119"/>
      <c r="FA131" s="119"/>
      <c r="FB131" s="119"/>
      <c r="FC131" s="119"/>
      <c r="FD131" s="119"/>
      <c r="FE131" s="119"/>
      <c r="FF131" s="119"/>
      <c r="FG131" s="119"/>
      <c r="FH131" s="119"/>
      <c r="FI131" s="119"/>
      <c r="FJ131" s="119"/>
      <c r="FK131" s="119"/>
      <c r="FL131" s="119"/>
      <c r="FM131" s="119"/>
      <c r="FN131" s="119"/>
      <c r="FO131" s="119"/>
      <c r="FP131" s="119"/>
      <c r="FQ131" s="119"/>
      <c r="FR131" s="119"/>
      <c r="FS131" s="119"/>
      <c r="FT131" s="119"/>
      <c r="FU131" s="119"/>
      <c r="FV131" s="119"/>
      <c r="FW131" s="119"/>
      <c r="FX131" s="119"/>
      <c r="FY131" s="119"/>
      <c r="FZ131" s="119"/>
      <c r="GA131" s="119"/>
      <c r="GB131" s="119"/>
      <c r="GC131" s="119"/>
      <c r="GD131" s="119"/>
      <c r="GE131" s="119"/>
      <c r="GF131" s="119"/>
      <c r="GG131" s="119"/>
      <c r="GH131" s="119"/>
      <c r="GI131" s="119"/>
      <c r="GJ131" s="119"/>
      <c r="GK131" s="119"/>
      <c r="GL131" s="119"/>
      <c r="GM131" s="119"/>
      <c r="GN131" s="119"/>
      <c r="GO131" s="119"/>
      <c r="GP131" s="119"/>
      <c r="GQ131" s="119"/>
      <c r="GR131" s="119"/>
      <c r="GS131" s="119"/>
      <c r="GT131" s="119"/>
      <c r="GU131" s="119"/>
      <c r="GV131" s="119"/>
      <c r="GW131" s="119"/>
      <c r="GX131" s="119"/>
      <c r="GY131" s="119"/>
      <c r="GZ131" s="119"/>
      <c r="HA131" s="119"/>
      <c r="HB131" s="119"/>
      <c r="HC131" s="119"/>
      <c r="HD131" s="119"/>
      <c r="HE131" s="119"/>
      <c r="HF131" s="119"/>
      <c r="HG131" s="119"/>
      <c r="HH131" s="119"/>
      <c r="HI131" s="119"/>
      <c r="HJ131" s="119"/>
      <c r="HK131" s="119"/>
      <c r="HL131" s="119"/>
      <c r="HM131" s="119"/>
      <c r="HN131" s="119"/>
      <c r="HO131" s="119"/>
      <c r="HP131" s="119"/>
      <c r="HQ131" s="119"/>
      <c r="HR131" s="119"/>
      <c r="HS131" s="119"/>
      <c r="HT131" s="119"/>
      <c r="HU131" s="119"/>
      <c r="HV131" s="119"/>
      <c r="HW131" s="119"/>
      <c r="HX131" s="119"/>
      <c r="HY131" s="119"/>
      <c r="HZ131" s="119"/>
      <c r="IA131" s="119"/>
      <c r="IB131" s="119"/>
      <c r="IC131" s="119"/>
      <c r="ID131" s="119"/>
      <c r="IE131" s="119"/>
      <c r="IF131" s="119"/>
      <c r="IG131" s="119"/>
      <c r="IH131" s="119"/>
      <c r="II131" s="119"/>
      <c r="IJ131" s="119"/>
      <c r="IK131" s="119"/>
      <c r="IL131" s="119"/>
      <c r="IM131" s="119"/>
      <c r="IN131" s="119"/>
      <c r="IO131" s="119"/>
      <c r="IP131" s="119"/>
      <c r="IQ131" s="119"/>
      <c r="IR131" s="119"/>
      <c r="IS131" s="119"/>
      <c r="IT131" s="119"/>
      <c r="IU131" s="119"/>
      <c r="IV131" s="119"/>
      <c r="IW131" s="119"/>
    </row>
    <row r="132" customFormat="false" ht="11.25" hidden="false" customHeight="false" outlineLevel="0" collapsed="false">
      <c r="A132" s="26"/>
      <c r="B132" s="67"/>
      <c r="C132" s="113"/>
      <c r="D132" s="26"/>
      <c r="E132" s="132"/>
      <c r="F132" s="113"/>
      <c r="G132" s="120" t="n">
        <f aca="false">+G130-G131</f>
        <v>0.04</v>
      </c>
      <c r="H132" s="120" t="n">
        <f aca="false">+H130-H131</f>
        <v>0.00999999999999979</v>
      </c>
      <c r="I132" s="120" t="n">
        <f aca="false">SUM(I130:I131)</f>
        <v>0.0499999999999998</v>
      </c>
      <c r="J132" s="115" t="n">
        <f aca="false">SUM(J130:J131)</f>
        <v>0</v>
      </c>
      <c r="K132" s="115" t="n">
        <f aca="false">SUM(K130:K131)</f>
        <v>0</v>
      </c>
      <c r="L132" s="118" t="n">
        <f aca="false">SUM(L130:L131)</f>
        <v>25000</v>
      </c>
      <c r="M132" s="118" t="n">
        <f aca="false">SUM(M130:M131)</f>
        <v>0</v>
      </c>
      <c r="N132" s="118" t="n">
        <f aca="false">SUM(N130:N131)</f>
        <v>25000</v>
      </c>
      <c r="O132" s="128"/>
      <c r="P132" s="12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19"/>
      <c r="BM132" s="119"/>
      <c r="BN132" s="119"/>
      <c r="BO132" s="119"/>
      <c r="BP132" s="119"/>
      <c r="BQ132" s="119"/>
      <c r="BR132" s="119"/>
      <c r="BS132" s="119"/>
      <c r="BT132" s="119"/>
      <c r="BU132" s="119"/>
      <c r="BV132" s="119"/>
      <c r="BW132" s="119"/>
      <c r="BX132" s="119"/>
      <c r="BY132" s="119"/>
      <c r="BZ132" s="119"/>
      <c r="CA132" s="119"/>
      <c r="CB132" s="119"/>
      <c r="CC132" s="119"/>
      <c r="CD132" s="119"/>
      <c r="CE132" s="119"/>
      <c r="CF132" s="119"/>
      <c r="CG132" s="119"/>
      <c r="CH132" s="119"/>
      <c r="CI132" s="119"/>
      <c r="CJ132" s="119"/>
      <c r="CK132" s="119"/>
      <c r="CL132" s="119"/>
      <c r="CM132" s="119"/>
      <c r="CN132" s="119"/>
      <c r="CO132" s="119"/>
      <c r="CP132" s="119"/>
      <c r="CQ132" s="119"/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19"/>
      <c r="DF132" s="119"/>
      <c r="DG132" s="119"/>
      <c r="DH132" s="119"/>
      <c r="DI132" s="119"/>
      <c r="DJ132" s="119"/>
      <c r="DK132" s="119"/>
      <c r="DL132" s="119"/>
      <c r="DM132" s="119"/>
      <c r="DN132" s="119"/>
      <c r="DO132" s="119"/>
      <c r="DP132" s="119"/>
      <c r="DQ132" s="119"/>
      <c r="DR132" s="119"/>
      <c r="DS132" s="119"/>
      <c r="DT132" s="119"/>
      <c r="DU132" s="119"/>
      <c r="DV132" s="119"/>
      <c r="DW132" s="119"/>
      <c r="DX132" s="119"/>
      <c r="DY132" s="119"/>
      <c r="DZ132" s="119"/>
      <c r="EA132" s="119"/>
      <c r="EB132" s="119"/>
      <c r="EC132" s="119"/>
      <c r="ED132" s="119"/>
      <c r="EE132" s="119"/>
      <c r="EF132" s="119"/>
      <c r="EG132" s="119"/>
      <c r="EH132" s="119"/>
      <c r="EI132" s="119"/>
      <c r="EJ132" s="119"/>
      <c r="EK132" s="119"/>
      <c r="EL132" s="119"/>
      <c r="EM132" s="119"/>
      <c r="EN132" s="119"/>
      <c r="EO132" s="119"/>
      <c r="EP132" s="119"/>
      <c r="EQ132" s="119"/>
      <c r="ER132" s="119"/>
      <c r="ES132" s="119"/>
      <c r="ET132" s="119"/>
      <c r="EU132" s="119"/>
      <c r="EV132" s="119"/>
      <c r="EW132" s="119"/>
      <c r="EX132" s="119"/>
      <c r="EY132" s="119"/>
      <c r="EZ132" s="119"/>
      <c r="FA132" s="119"/>
      <c r="FB132" s="119"/>
      <c r="FC132" s="119"/>
      <c r="FD132" s="119"/>
      <c r="FE132" s="119"/>
      <c r="FF132" s="119"/>
      <c r="FG132" s="119"/>
      <c r="FH132" s="119"/>
      <c r="FI132" s="119"/>
      <c r="FJ132" s="119"/>
      <c r="FK132" s="119"/>
      <c r="FL132" s="119"/>
      <c r="FM132" s="119"/>
      <c r="FN132" s="119"/>
      <c r="FO132" s="119"/>
      <c r="FP132" s="119"/>
      <c r="FQ132" s="119"/>
      <c r="FR132" s="119"/>
      <c r="FS132" s="119"/>
      <c r="FT132" s="119"/>
      <c r="FU132" s="119"/>
      <c r="FV132" s="119"/>
      <c r="FW132" s="119"/>
      <c r="FX132" s="119"/>
      <c r="FY132" s="119"/>
      <c r="FZ132" s="119"/>
      <c r="GA132" s="119"/>
      <c r="GB132" s="119"/>
      <c r="GC132" s="119"/>
      <c r="GD132" s="119"/>
      <c r="GE132" s="119"/>
      <c r="GF132" s="119"/>
      <c r="GG132" s="119"/>
      <c r="GH132" s="119"/>
      <c r="GI132" s="119"/>
      <c r="GJ132" s="119"/>
      <c r="GK132" s="119"/>
      <c r="GL132" s="119"/>
      <c r="GM132" s="119"/>
      <c r="GN132" s="119"/>
      <c r="GO132" s="119"/>
      <c r="GP132" s="119"/>
      <c r="GQ132" s="119"/>
      <c r="GR132" s="119"/>
      <c r="GS132" s="119"/>
      <c r="GT132" s="119"/>
      <c r="GU132" s="119"/>
      <c r="GV132" s="119"/>
      <c r="GW132" s="119"/>
      <c r="GX132" s="119"/>
      <c r="GY132" s="119"/>
      <c r="GZ132" s="119"/>
      <c r="HA132" s="119"/>
      <c r="HB132" s="119"/>
      <c r="HC132" s="119"/>
      <c r="HD132" s="119"/>
      <c r="HE132" s="119"/>
      <c r="HF132" s="119"/>
      <c r="HG132" s="119"/>
      <c r="HH132" s="119"/>
      <c r="HI132" s="119"/>
      <c r="HJ132" s="119"/>
      <c r="HK132" s="119"/>
      <c r="HL132" s="119"/>
      <c r="HM132" s="119"/>
      <c r="HN132" s="119"/>
      <c r="HO132" s="119"/>
      <c r="HP132" s="119"/>
      <c r="HQ132" s="119"/>
      <c r="HR132" s="119"/>
      <c r="HS132" s="119"/>
      <c r="HT132" s="119"/>
      <c r="HU132" s="119"/>
      <c r="HV132" s="119"/>
      <c r="HW132" s="119"/>
      <c r="HX132" s="119"/>
      <c r="HY132" s="119"/>
      <c r="HZ132" s="119"/>
      <c r="IA132" s="119"/>
      <c r="IB132" s="119"/>
      <c r="IC132" s="119"/>
      <c r="ID132" s="119"/>
      <c r="IE132" s="119"/>
      <c r="IF132" s="119"/>
      <c r="IG132" s="119"/>
      <c r="IH132" s="119"/>
      <c r="II132" s="119"/>
      <c r="IJ132" s="119"/>
      <c r="IK132" s="119"/>
      <c r="IL132" s="119"/>
      <c r="IM132" s="119"/>
      <c r="IN132" s="119"/>
      <c r="IO132" s="119"/>
      <c r="IP132" s="119"/>
      <c r="IQ132" s="119"/>
      <c r="IR132" s="119"/>
      <c r="IS132" s="119"/>
      <c r="IT132" s="119"/>
      <c r="IU132" s="119"/>
      <c r="IV132" s="119"/>
      <c r="IW132" s="119"/>
    </row>
    <row r="133" customFormat="false" ht="11.25" hidden="false" customHeight="false" outlineLevel="0" collapsed="false">
      <c r="A133" s="26"/>
      <c r="B133" s="67"/>
      <c r="C133" s="113"/>
      <c r="D133" s="26"/>
      <c r="E133" s="132"/>
      <c r="F133" s="113"/>
      <c r="G133" s="120"/>
      <c r="H133" s="120"/>
      <c r="I133" s="120"/>
      <c r="J133" s="115"/>
      <c r="K133" s="115"/>
      <c r="L133" s="118"/>
      <c r="M133" s="138"/>
      <c r="N133" s="138"/>
      <c r="O133" s="128"/>
      <c r="P133" s="12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  <c r="BE133" s="119"/>
      <c r="BF133" s="119"/>
      <c r="BG133" s="119"/>
      <c r="BH133" s="119"/>
      <c r="BI133" s="119"/>
      <c r="BJ133" s="119"/>
      <c r="BK133" s="119"/>
      <c r="BL133" s="119"/>
      <c r="BM133" s="119"/>
      <c r="BN133" s="119"/>
      <c r="BO133" s="119"/>
      <c r="BP133" s="119"/>
      <c r="BQ133" s="119"/>
      <c r="BR133" s="119"/>
      <c r="BS133" s="119"/>
      <c r="BT133" s="119"/>
      <c r="BU133" s="119"/>
      <c r="BV133" s="119"/>
      <c r="BW133" s="119"/>
      <c r="BX133" s="119"/>
      <c r="BY133" s="119"/>
      <c r="BZ133" s="119"/>
      <c r="CA133" s="119"/>
      <c r="CB133" s="119"/>
      <c r="CC133" s="119"/>
      <c r="CD133" s="119"/>
      <c r="CE133" s="119"/>
      <c r="CF133" s="119"/>
      <c r="CG133" s="119"/>
      <c r="CH133" s="119"/>
      <c r="CI133" s="119"/>
      <c r="CJ133" s="119"/>
      <c r="CK133" s="119"/>
      <c r="CL133" s="119"/>
      <c r="CM133" s="119"/>
      <c r="CN133" s="119"/>
      <c r="CO133" s="119"/>
      <c r="CP133" s="119"/>
      <c r="CQ133" s="119"/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19"/>
      <c r="DF133" s="119"/>
      <c r="DG133" s="119"/>
      <c r="DH133" s="119"/>
      <c r="DI133" s="119"/>
      <c r="DJ133" s="119"/>
      <c r="DK133" s="119"/>
      <c r="DL133" s="119"/>
      <c r="DM133" s="119"/>
      <c r="DN133" s="119"/>
      <c r="DO133" s="119"/>
      <c r="DP133" s="119"/>
      <c r="DQ133" s="119"/>
      <c r="DR133" s="119"/>
      <c r="DS133" s="119"/>
      <c r="DT133" s="119"/>
      <c r="DU133" s="119"/>
      <c r="DV133" s="119"/>
      <c r="DW133" s="119"/>
      <c r="DX133" s="119"/>
      <c r="DY133" s="119"/>
      <c r="DZ133" s="119"/>
      <c r="EA133" s="119"/>
      <c r="EB133" s="119"/>
      <c r="EC133" s="119"/>
      <c r="ED133" s="119"/>
      <c r="EE133" s="119"/>
      <c r="EF133" s="119"/>
      <c r="EG133" s="119"/>
      <c r="EH133" s="119"/>
      <c r="EI133" s="119"/>
      <c r="EJ133" s="119"/>
      <c r="EK133" s="119"/>
      <c r="EL133" s="119"/>
      <c r="EM133" s="119"/>
      <c r="EN133" s="119"/>
      <c r="EO133" s="119"/>
      <c r="EP133" s="119"/>
      <c r="EQ133" s="119"/>
      <c r="ER133" s="119"/>
      <c r="ES133" s="119"/>
      <c r="ET133" s="119"/>
      <c r="EU133" s="119"/>
      <c r="EV133" s="119"/>
      <c r="EW133" s="119"/>
      <c r="EX133" s="119"/>
      <c r="EY133" s="119"/>
      <c r="EZ133" s="119"/>
      <c r="FA133" s="119"/>
      <c r="FB133" s="119"/>
      <c r="FC133" s="119"/>
      <c r="FD133" s="119"/>
      <c r="FE133" s="119"/>
      <c r="FF133" s="119"/>
      <c r="FG133" s="119"/>
      <c r="FH133" s="119"/>
      <c r="FI133" s="119"/>
      <c r="FJ133" s="119"/>
      <c r="FK133" s="119"/>
      <c r="FL133" s="119"/>
      <c r="FM133" s="119"/>
      <c r="FN133" s="119"/>
      <c r="FO133" s="119"/>
      <c r="FP133" s="119"/>
      <c r="FQ133" s="119"/>
      <c r="FR133" s="119"/>
      <c r="FS133" s="119"/>
      <c r="FT133" s="119"/>
      <c r="FU133" s="119"/>
      <c r="FV133" s="119"/>
      <c r="FW133" s="119"/>
      <c r="FX133" s="119"/>
      <c r="FY133" s="119"/>
      <c r="FZ133" s="119"/>
      <c r="GA133" s="119"/>
      <c r="GB133" s="119"/>
      <c r="GC133" s="119"/>
      <c r="GD133" s="119"/>
      <c r="GE133" s="119"/>
      <c r="GF133" s="119"/>
      <c r="GG133" s="119"/>
      <c r="GH133" s="119"/>
      <c r="GI133" s="119"/>
      <c r="GJ133" s="119"/>
      <c r="GK133" s="119"/>
      <c r="GL133" s="119"/>
      <c r="GM133" s="119"/>
      <c r="GN133" s="119"/>
      <c r="GO133" s="119"/>
      <c r="GP133" s="119"/>
      <c r="GQ133" s="119"/>
      <c r="GR133" s="119"/>
      <c r="GS133" s="119"/>
      <c r="GT133" s="119"/>
      <c r="GU133" s="119"/>
      <c r="GV133" s="119"/>
      <c r="GW133" s="119"/>
      <c r="GX133" s="119"/>
      <c r="GY133" s="119"/>
      <c r="GZ133" s="119"/>
      <c r="HA133" s="119"/>
      <c r="HB133" s="119"/>
      <c r="HC133" s="119"/>
      <c r="HD133" s="119"/>
      <c r="HE133" s="119"/>
      <c r="HF133" s="119"/>
      <c r="HG133" s="119"/>
      <c r="HH133" s="119"/>
      <c r="HI133" s="119"/>
      <c r="HJ133" s="119"/>
      <c r="HK133" s="119"/>
      <c r="HL133" s="119"/>
      <c r="HM133" s="119"/>
      <c r="HN133" s="119"/>
      <c r="HO133" s="119"/>
      <c r="HP133" s="119"/>
      <c r="HQ133" s="119"/>
      <c r="HR133" s="119"/>
      <c r="HS133" s="119"/>
      <c r="HT133" s="119"/>
      <c r="HU133" s="119"/>
      <c r="HV133" s="119"/>
      <c r="HW133" s="119"/>
      <c r="HX133" s="119"/>
      <c r="HY133" s="119"/>
      <c r="HZ133" s="119"/>
      <c r="IA133" s="119"/>
      <c r="IB133" s="119"/>
      <c r="IC133" s="119"/>
      <c r="ID133" s="119"/>
      <c r="IE133" s="119"/>
      <c r="IF133" s="119"/>
      <c r="IG133" s="119"/>
      <c r="IH133" s="119"/>
      <c r="II133" s="119"/>
      <c r="IJ133" s="119"/>
      <c r="IK133" s="119"/>
      <c r="IL133" s="119"/>
      <c r="IM133" s="119"/>
      <c r="IN133" s="119"/>
      <c r="IO133" s="119"/>
      <c r="IP133" s="119"/>
      <c r="IQ133" s="119"/>
      <c r="IR133" s="119"/>
      <c r="IS133" s="119"/>
      <c r="IT133" s="119"/>
      <c r="IU133" s="119"/>
      <c r="IV133" s="119"/>
      <c r="IW133" s="119"/>
    </row>
    <row r="134" customFormat="false" ht="11.25" hidden="false" customHeight="false" outlineLevel="0" collapsed="false">
      <c r="A134" s="26" t="s">
        <v>31</v>
      </c>
      <c r="B134" s="67" t="s">
        <v>50</v>
      </c>
      <c r="C134" s="132" t="s">
        <v>112</v>
      </c>
      <c r="D134" s="26" t="s">
        <v>43</v>
      </c>
      <c r="E134" s="132" t="s">
        <v>113</v>
      </c>
      <c r="F134" s="133" t="n">
        <v>36866</v>
      </c>
      <c r="G134" s="120" t="n">
        <f aca="false">SUM('Cal 02.a'!D10:D21)/12</f>
        <v>4.5</v>
      </c>
      <c r="H134" s="120" t="n">
        <f aca="false">SUM('Cal 02.a'!H10:H21)/12</f>
        <v>4.76041666666667</v>
      </c>
      <c r="I134" s="120" t="n">
        <f aca="false">+G134-H134</f>
        <v>-0.260416666666667</v>
      </c>
      <c r="J134" s="115" t="n">
        <f aca="false">-'Cal 02.a'!F22</f>
        <v>-1825000</v>
      </c>
      <c r="K134" s="115" t="n">
        <f aca="false">+J134/365</f>
        <v>-5000</v>
      </c>
      <c r="L134" s="118" t="n">
        <f aca="false">-'Cal 02.a'!I22</f>
        <v>-469825</v>
      </c>
      <c r="M134" s="118" t="n">
        <f aca="false">-'Cal 02.a'!J22</f>
        <v>-0</v>
      </c>
      <c r="N134" s="118" t="n">
        <f aca="false">-'Cal 02.a'!K22</f>
        <v>-469825</v>
      </c>
      <c r="O134" s="128"/>
      <c r="P134" s="137" t="n">
        <f aca="false">-N134</f>
        <v>469825</v>
      </c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  <c r="BE134" s="119"/>
      <c r="BF134" s="119"/>
      <c r="BG134" s="119"/>
      <c r="BH134" s="119"/>
      <c r="BI134" s="119"/>
      <c r="BJ134" s="119"/>
      <c r="BK134" s="119"/>
      <c r="BL134" s="119"/>
      <c r="BM134" s="119"/>
      <c r="BN134" s="119"/>
      <c r="BO134" s="119"/>
      <c r="BP134" s="119"/>
      <c r="BQ134" s="119"/>
      <c r="BR134" s="119"/>
      <c r="BS134" s="119"/>
      <c r="BT134" s="119"/>
      <c r="BU134" s="119"/>
      <c r="BV134" s="119"/>
      <c r="BW134" s="119"/>
      <c r="BX134" s="119"/>
      <c r="BY134" s="119"/>
      <c r="BZ134" s="119"/>
      <c r="CA134" s="119"/>
      <c r="CB134" s="119"/>
      <c r="CC134" s="119"/>
      <c r="CD134" s="119"/>
      <c r="CE134" s="119"/>
      <c r="CF134" s="119"/>
      <c r="CG134" s="119"/>
      <c r="CH134" s="119"/>
      <c r="CI134" s="119"/>
      <c r="CJ134" s="119"/>
      <c r="CK134" s="119"/>
      <c r="CL134" s="119"/>
      <c r="CM134" s="119"/>
      <c r="CN134" s="119"/>
      <c r="CO134" s="119"/>
      <c r="CP134" s="119"/>
      <c r="CQ134" s="119"/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19"/>
      <c r="DF134" s="119"/>
      <c r="DG134" s="119"/>
      <c r="DH134" s="119"/>
      <c r="DI134" s="119"/>
      <c r="DJ134" s="119"/>
      <c r="DK134" s="119"/>
      <c r="DL134" s="119"/>
      <c r="DM134" s="119"/>
      <c r="DN134" s="119"/>
      <c r="DO134" s="119"/>
      <c r="DP134" s="119"/>
      <c r="DQ134" s="119"/>
      <c r="DR134" s="119"/>
      <c r="DS134" s="119"/>
      <c r="DT134" s="119"/>
      <c r="DU134" s="119"/>
      <c r="DV134" s="119"/>
      <c r="DW134" s="119"/>
      <c r="DX134" s="119"/>
      <c r="DY134" s="119"/>
      <c r="DZ134" s="119"/>
      <c r="EA134" s="119"/>
      <c r="EB134" s="119"/>
      <c r="EC134" s="119"/>
      <c r="ED134" s="119"/>
      <c r="EE134" s="119"/>
      <c r="EF134" s="119"/>
      <c r="EG134" s="119"/>
      <c r="EH134" s="119"/>
      <c r="EI134" s="119"/>
      <c r="EJ134" s="119"/>
      <c r="EK134" s="119"/>
      <c r="EL134" s="119"/>
      <c r="EM134" s="119"/>
      <c r="EN134" s="119"/>
      <c r="EO134" s="119"/>
      <c r="EP134" s="119"/>
      <c r="EQ134" s="119"/>
      <c r="ER134" s="119"/>
      <c r="ES134" s="119"/>
      <c r="ET134" s="119"/>
      <c r="EU134" s="119"/>
      <c r="EV134" s="119"/>
      <c r="EW134" s="119"/>
      <c r="EX134" s="119"/>
      <c r="EY134" s="119"/>
      <c r="EZ134" s="119"/>
      <c r="FA134" s="119"/>
      <c r="FB134" s="119"/>
      <c r="FC134" s="119"/>
      <c r="FD134" s="119"/>
      <c r="FE134" s="119"/>
      <c r="FF134" s="119"/>
      <c r="FG134" s="119"/>
      <c r="FH134" s="119"/>
      <c r="FI134" s="119"/>
      <c r="FJ134" s="119"/>
      <c r="FK134" s="119"/>
      <c r="FL134" s="119"/>
      <c r="FM134" s="119"/>
      <c r="FN134" s="119"/>
      <c r="FO134" s="119"/>
      <c r="FP134" s="119"/>
      <c r="FQ134" s="119"/>
      <c r="FR134" s="119"/>
      <c r="FS134" s="119"/>
      <c r="FT134" s="119"/>
      <c r="FU134" s="119"/>
      <c r="FV134" s="119"/>
      <c r="FW134" s="119"/>
      <c r="FX134" s="119"/>
      <c r="FY134" s="119"/>
      <c r="FZ134" s="119"/>
      <c r="GA134" s="119"/>
      <c r="GB134" s="119"/>
      <c r="GC134" s="119"/>
      <c r="GD134" s="119"/>
      <c r="GE134" s="119"/>
      <c r="GF134" s="119"/>
      <c r="GG134" s="119"/>
      <c r="GH134" s="119"/>
      <c r="GI134" s="119"/>
      <c r="GJ134" s="119"/>
      <c r="GK134" s="119"/>
      <c r="GL134" s="119"/>
      <c r="GM134" s="119"/>
      <c r="GN134" s="119"/>
      <c r="GO134" s="119"/>
      <c r="GP134" s="119"/>
      <c r="GQ134" s="119"/>
      <c r="GR134" s="119"/>
      <c r="GS134" s="119"/>
      <c r="GT134" s="119"/>
      <c r="GU134" s="119"/>
      <c r="GV134" s="119"/>
      <c r="GW134" s="119"/>
      <c r="GX134" s="119"/>
      <c r="GY134" s="119"/>
      <c r="GZ134" s="119"/>
      <c r="HA134" s="119"/>
      <c r="HB134" s="119"/>
      <c r="HC134" s="119"/>
      <c r="HD134" s="119"/>
      <c r="HE134" s="119"/>
      <c r="HF134" s="119"/>
      <c r="HG134" s="119"/>
      <c r="HH134" s="119"/>
      <c r="HI134" s="119"/>
      <c r="HJ134" s="119"/>
      <c r="HK134" s="119"/>
      <c r="HL134" s="119"/>
      <c r="HM134" s="119"/>
      <c r="HN134" s="119"/>
      <c r="HO134" s="119"/>
      <c r="HP134" s="119"/>
      <c r="HQ134" s="119"/>
      <c r="HR134" s="119"/>
      <c r="HS134" s="119"/>
      <c r="HT134" s="119"/>
      <c r="HU134" s="119"/>
      <c r="HV134" s="119"/>
      <c r="HW134" s="119"/>
      <c r="HX134" s="119"/>
      <c r="HY134" s="119"/>
      <c r="HZ134" s="119"/>
      <c r="IA134" s="119"/>
      <c r="IB134" s="119"/>
      <c r="IC134" s="119"/>
      <c r="ID134" s="119"/>
      <c r="IE134" s="119"/>
      <c r="IF134" s="119"/>
      <c r="IG134" s="119"/>
      <c r="IH134" s="119"/>
      <c r="II134" s="119"/>
      <c r="IJ134" s="119"/>
      <c r="IK134" s="119"/>
      <c r="IL134" s="119"/>
      <c r="IM134" s="119"/>
      <c r="IN134" s="119"/>
      <c r="IO134" s="119"/>
      <c r="IP134" s="119"/>
      <c r="IQ134" s="119"/>
      <c r="IR134" s="119"/>
      <c r="IS134" s="119"/>
      <c r="IT134" s="119"/>
      <c r="IU134" s="119"/>
      <c r="IV134" s="119"/>
      <c r="IW134" s="119"/>
    </row>
    <row r="135" customFormat="false" ht="11.25" hidden="false" customHeight="false" outlineLevel="0" collapsed="false">
      <c r="A135" s="26" t="s">
        <v>31</v>
      </c>
      <c r="B135" s="67" t="s">
        <v>50</v>
      </c>
      <c r="C135" s="132" t="s">
        <v>112</v>
      </c>
      <c r="D135" s="26" t="s">
        <v>43</v>
      </c>
      <c r="E135" s="132" t="s">
        <v>113</v>
      </c>
      <c r="F135" s="133" t="n">
        <v>36867</v>
      </c>
      <c r="G135" s="140" t="n">
        <f aca="false">SUM('Cal 02.b'!D10:D21)/12</f>
        <v>4.43</v>
      </c>
      <c r="H135" s="140" t="n">
        <f aca="false">SUM('Cal 02.b'!H10:H21)/12</f>
        <v>4.76041666666667</v>
      </c>
      <c r="I135" s="140" t="n">
        <f aca="false">+G135-H135</f>
        <v>-0.330416666666667</v>
      </c>
      <c r="J135" s="136" t="n">
        <f aca="false">-'Cal 02.b'!F22</f>
        <v>1825000</v>
      </c>
      <c r="K135" s="126" t="n">
        <f aca="false">+J135/365</f>
        <v>5000</v>
      </c>
      <c r="L135" s="127" t="n">
        <f aca="false">-'Cal 02.b'!I22</f>
        <v>597575.000000001</v>
      </c>
      <c r="M135" s="127" t="n">
        <f aca="false">-'Cal 02.b'!J22</f>
        <v>-0</v>
      </c>
      <c r="N135" s="127" t="n">
        <f aca="false">-'Cal 02.b'!K22</f>
        <v>597575.000000001</v>
      </c>
      <c r="O135" s="128"/>
      <c r="P135" s="137" t="n">
        <f aca="false">-N135</f>
        <v>-597575.000000001</v>
      </c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/>
      <c r="BJ135" s="119"/>
      <c r="BK135" s="119"/>
      <c r="BL135" s="119"/>
      <c r="BM135" s="119"/>
      <c r="BN135" s="119"/>
      <c r="BO135" s="119"/>
      <c r="BP135" s="119"/>
      <c r="BQ135" s="119"/>
      <c r="BR135" s="119"/>
      <c r="BS135" s="119"/>
      <c r="BT135" s="119"/>
      <c r="BU135" s="119"/>
      <c r="BV135" s="119"/>
      <c r="BW135" s="119"/>
      <c r="BX135" s="119"/>
      <c r="BY135" s="119"/>
      <c r="BZ135" s="119"/>
      <c r="CA135" s="119"/>
      <c r="CB135" s="119"/>
      <c r="CC135" s="119"/>
      <c r="CD135" s="119"/>
      <c r="CE135" s="119"/>
      <c r="CF135" s="119"/>
      <c r="CG135" s="119"/>
      <c r="CH135" s="119"/>
      <c r="CI135" s="119"/>
      <c r="CJ135" s="119"/>
      <c r="CK135" s="119"/>
      <c r="CL135" s="119"/>
      <c r="CM135" s="119"/>
      <c r="CN135" s="119"/>
      <c r="CO135" s="119"/>
      <c r="CP135" s="119"/>
      <c r="CQ135" s="119"/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19"/>
      <c r="DF135" s="119"/>
      <c r="DG135" s="119"/>
      <c r="DH135" s="119"/>
      <c r="DI135" s="119"/>
      <c r="DJ135" s="119"/>
      <c r="DK135" s="119"/>
      <c r="DL135" s="119"/>
      <c r="DM135" s="119"/>
      <c r="DN135" s="119"/>
      <c r="DO135" s="119"/>
      <c r="DP135" s="119"/>
      <c r="DQ135" s="119"/>
      <c r="DR135" s="119"/>
      <c r="DS135" s="119"/>
      <c r="DT135" s="119"/>
      <c r="DU135" s="119"/>
      <c r="DV135" s="119"/>
      <c r="DW135" s="119"/>
      <c r="DX135" s="119"/>
      <c r="DY135" s="119"/>
      <c r="DZ135" s="119"/>
      <c r="EA135" s="119"/>
      <c r="EB135" s="119"/>
      <c r="EC135" s="119"/>
      <c r="ED135" s="119"/>
      <c r="EE135" s="119"/>
      <c r="EF135" s="119"/>
      <c r="EG135" s="119"/>
      <c r="EH135" s="119"/>
      <c r="EI135" s="119"/>
      <c r="EJ135" s="119"/>
      <c r="EK135" s="119"/>
      <c r="EL135" s="119"/>
      <c r="EM135" s="119"/>
      <c r="EN135" s="119"/>
      <c r="EO135" s="119"/>
      <c r="EP135" s="119"/>
      <c r="EQ135" s="119"/>
      <c r="ER135" s="119"/>
      <c r="ES135" s="119"/>
      <c r="ET135" s="119"/>
      <c r="EU135" s="119"/>
      <c r="EV135" s="119"/>
      <c r="EW135" s="119"/>
      <c r="EX135" s="119"/>
      <c r="EY135" s="119"/>
      <c r="EZ135" s="119"/>
      <c r="FA135" s="119"/>
      <c r="FB135" s="119"/>
      <c r="FC135" s="119"/>
      <c r="FD135" s="119"/>
      <c r="FE135" s="119"/>
      <c r="FF135" s="119"/>
      <c r="FG135" s="119"/>
      <c r="FH135" s="119"/>
      <c r="FI135" s="119"/>
      <c r="FJ135" s="119"/>
      <c r="FK135" s="119"/>
      <c r="FL135" s="119"/>
      <c r="FM135" s="119"/>
      <c r="FN135" s="119"/>
      <c r="FO135" s="119"/>
      <c r="FP135" s="119"/>
      <c r="FQ135" s="119"/>
      <c r="FR135" s="119"/>
      <c r="FS135" s="119"/>
      <c r="FT135" s="119"/>
      <c r="FU135" s="119"/>
      <c r="FV135" s="119"/>
      <c r="FW135" s="119"/>
      <c r="FX135" s="119"/>
      <c r="FY135" s="119"/>
      <c r="FZ135" s="119"/>
      <c r="GA135" s="119"/>
      <c r="GB135" s="119"/>
      <c r="GC135" s="119"/>
      <c r="GD135" s="119"/>
      <c r="GE135" s="119"/>
      <c r="GF135" s="119"/>
      <c r="GG135" s="119"/>
      <c r="GH135" s="119"/>
      <c r="GI135" s="119"/>
      <c r="GJ135" s="119"/>
      <c r="GK135" s="119"/>
      <c r="GL135" s="119"/>
      <c r="GM135" s="119"/>
      <c r="GN135" s="119"/>
      <c r="GO135" s="119"/>
      <c r="GP135" s="119"/>
      <c r="GQ135" s="119"/>
      <c r="GR135" s="119"/>
      <c r="GS135" s="119"/>
      <c r="GT135" s="119"/>
      <c r="GU135" s="119"/>
      <c r="GV135" s="119"/>
      <c r="GW135" s="119"/>
      <c r="GX135" s="119"/>
      <c r="GY135" s="119"/>
      <c r="GZ135" s="119"/>
      <c r="HA135" s="119"/>
      <c r="HB135" s="119"/>
      <c r="HC135" s="119"/>
      <c r="HD135" s="119"/>
      <c r="HE135" s="119"/>
      <c r="HF135" s="119"/>
      <c r="HG135" s="119"/>
      <c r="HH135" s="119"/>
      <c r="HI135" s="119"/>
      <c r="HJ135" s="119"/>
      <c r="HK135" s="119"/>
      <c r="HL135" s="119"/>
      <c r="HM135" s="119"/>
      <c r="HN135" s="119"/>
      <c r="HO135" s="119"/>
      <c r="HP135" s="119"/>
      <c r="HQ135" s="119"/>
      <c r="HR135" s="119"/>
      <c r="HS135" s="119"/>
      <c r="HT135" s="119"/>
      <c r="HU135" s="119"/>
      <c r="HV135" s="119"/>
      <c r="HW135" s="119"/>
      <c r="HX135" s="119"/>
      <c r="HY135" s="119"/>
      <c r="HZ135" s="119"/>
      <c r="IA135" s="119"/>
      <c r="IB135" s="119"/>
      <c r="IC135" s="119"/>
      <c r="ID135" s="119"/>
      <c r="IE135" s="119"/>
      <c r="IF135" s="119"/>
      <c r="IG135" s="119"/>
      <c r="IH135" s="119"/>
      <c r="II135" s="119"/>
      <c r="IJ135" s="119"/>
      <c r="IK135" s="119"/>
      <c r="IL135" s="119"/>
      <c r="IM135" s="119"/>
      <c r="IN135" s="119"/>
      <c r="IO135" s="119"/>
      <c r="IP135" s="119"/>
      <c r="IQ135" s="119"/>
      <c r="IR135" s="119"/>
      <c r="IS135" s="119"/>
      <c r="IT135" s="119"/>
      <c r="IU135" s="119"/>
      <c r="IV135" s="119"/>
      <c r="IW135" s="119"/>
    </row>
    <row r="136" customFormat="false" ht="11.25" hidden="false" customHeight="false" outlineLevel="0" collapsed="false">
      <c r="A136" s="26"/>
      <c r="B136" s="67"/>
      <c r="C136" s="113"/>
      <c r="D136" s="26"/>
      <c r="E136" s="132"/>
      <c r="F136" s="113"/>
      <c r="G136" s="120" t="n">
        <f aca="false">+G134-G135</f>
        <v>0.0700000000000003</v>
      </c>
      <c r="H136" s="120" t="n">
        <f aca="false">+H134-H135</f>
        <v>0</v>
      </c>
      <c r="I136" s="120" t="n">
        <f aca="false">+I134-I135</f>
        <v>0.0700000000000003</v>
      </c>
      <c r="J136" s="115" t="n">
        <f aca="false">+J134+J135</f>
        <v>0</v>
      </c>
      <c r="K136" s="115" t="n">
        <f aca="false">+K134+K135</f>
        <v>0</v>
      </c>
      <c r="L136" s="118" t="n">
        <f aca="false">+L135+L134</f>
        <v>127750.000000001</v>
      </c>
      <c r="M136" s="118" t="n">
        <f aca="false">+M135+M134</f>
        <v>-0</v>
      </c>
      <c r="N136" s="118" t="n">
        <f aca="false">+N135+N134</f>
        <v>127750.000000001</v>
      </c>
      <c r="O136" s="141"/>
      <c r="P136" s="12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BS136" s="119"/>
      <c r="BT136" s="119"/>
      <c r="BU136" s="119"/>
      <c r="BV136" s="119"/>
      <c r="BW136" s="119"/>
      <c r="BX136" s="119"/>
      <c r="BY136" s="119"/>
      <c r="BZ136" s="119"/>
      <c r="CA136" s="119"/>
      <c r="CB136" s="119"/>
      <c r="CC136" s="119"/>
      <c r="CD136" s="119"/>
      <c r="CE136" s="119"/>
      <c r="CF136" s="119"/>
      <c r="CG136" s="119"/>
      <c r="CH136" s="119"/>
      <c r="CI136" s="119"/>
      <c r="CJ136" s="119"/>
      <c r="CK136" s="119"/>
      <c r="CL136" s="119"/>
      <c r="CM136" s="119"/>
      <c r="CN136" s="119"/>
      <c r="CO136" s="119"/>
      <c r="CP136" s="119"/>
      <c r="CQ136" s="119"/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19"/>
      <c r="DF136" s="119"/>
      <c r="DG136" s="119"/>
      <c r="DH136" s="119"/>
      <c r="DI136" s="119"/>
      <c r="DJ136" s="119"/>
      <c r="DK136" s="119"/>
      <c r="DL136" s="119"/>
      <c r="DM136" s="119"/>
      <c r="DN136" s="119"/>
      <c r="DO136" s="119"/>
      <c r="DP136" s="119"/>
      <c r="DQ136" s="119"/>
      <c r="DR136" s="119"/>
      <c r="DS136" s="119"/>
      <c r="DT136" s="119"/>
      <c r="DU136" s="119"/>
      <c r="DV136" s="119"/>
      <c r="DW136" s="119"/>
      <c r="DX136" s="119"/>
      <c r="DY136" s="119"/>
      <c r="DZ136" s="119"/>
      <c r="EA136" s="119"/>
      <c r="EB136" s="119"/>
      <c r="EC136" s="119"/>
      <c r="ED136" s="119"/>
      <c r="EE136" s="119"/>
      <c r="EF136" s="119"/>
      <c r="EG136" s="119"/>
      <c r="EH136" s="119"/>
      <c r="EI136" s="119"/>
      <c r="EJ136" s="119"/>
      <c r="EK136" s="119"/>
      <c r="EL136" s="119"/>
      <c r="EM136" s="119"/>
      <c r="EN136" s="119"/>
      <c r="EO136" s="119"/>
      <c r="EP136" s="119"/>
      <c r="EQ136" s="119"/>
      <c r="ER136" s="119"/>
      <c r="ES136" s="119"/>
      <c r="ET136" s="119"/>
      <c r="EU136" s="119"/>
      <c r="EV136" s="119"/>
      <c r="EW136" s="119"/>
      <c r="EX136" s="119"/>
      <c r="EY136" s="119"/>
      <c r="EZ136" s="119"/>
      <c r="FA136" s="119"/>
      <c r="FB136" s="119"/>
      <c r="FC136" s="119"/>
      <c r="FD136" s="119"/>
      <c r="FE136" s="119"/>
      <c r="FF136" s="119"/>
      <c r="FG136" s="119"/>
      <c r="FH136" s="119"/>
      <c r="FI136" s="119"/>
      <c r="FJ136" s="119"/>
      <c r="FK136" s="119"/>
      <c r="FL136" s="119"/>
      <c r="FM136" s="119"/>
      <c r="FN136" s="119"/>
      <c r="FO136" s="119"/>
      <c r="FP136" s="119"/>
      <c r="FQ136" s="119"/>
      <c r="FR136" s="119"/>
      <c r="FS136" s="119"/>
      <c r="FT136" s="119"/>
      <c r="FU136" s="119"/>
      <c r="FV136" s="119"/>
      <c r="FW136" s="119"/>
      <c r="FX136" s="119"/>
      <c r="FY136" s="119"/>
      <c r="FZ136" s="119"/>
      <c r="GA136" s="119"/>
      <c r="GB136" s="119"/>
      <c r="GC136" s="119"/>
      <c r="GD136" s="119"/>
      <c r="GE136" s="119"/>
      <c r="GF136" s="119"/>
      <c r="GG136" s="119"/>
      <c r="GH136" s="119"/>
      <c r="GI136" s="119"/>
      <c r="GJ136" s="119"/>
      <c r="GK136" s="119"/>
      <c r="GL136" s="119"/>
      <c r="GM136" s="119"/>
      <c r="GN136" s="119"/>
      <c r="GO136" s="119"/>
      <c r="GP136" s="119"/>
      <c r="GQ136" s="119"/>
      <c r="GR136" s="119"/>
      <c r="GS136" s="119"/>
      <c r="GT136" s="119"/>
      <c r="GU136" s="119"/>
      <c r="GV136" s="119"/>
      <c r="GW136" s="119"/>
      <c r="GX136" s="119"/>
      <c r="GY136" s="119"/>
      <c r="GZ136" s="119"/>
      <c r="HA136" s="119"/>
      <c r="HB136" s="119"/>
      <c r="HC136" s="119"/>
      <c r="HD136" s="119"/>
      <c r="HE136" s="119"/>
      <c r="HF136" s="119"/>
      <c r="HG136" s="119"/>
      <c r="HH136" s="119"/>
      <c r="HI136" s="119"/>
      <c r="HJ136" s="119"/>
      <c r="HK136" s="119"/>
      <c r="HL136" s="119"/>
      <c r="HM136" s="119"/>
      <c r="HN136" s="119"/>
      <c r="HO136" s="119"/>
      <c r="HP136" s="119"/>
      <c r="HQ136" s="119"/>
      <c r="HR136" s="119"/>
      <c r="HS136" s="119"/>
      <c r="HT136" s="119"/>
      <c r="HU136" s="119"/>
      <c r="HV136" s="119"/>
      <c r="HW136" s="119"/>
      <c r="HX136" s="119"/>
      <c r="HY136" s="119"/>
      <c r="HZ136" s="119"/>
      <c r="IA136" s="119"/>
      <c r="IB136" s="119"/>
      <c r="IC136" s="119"/>
      <c r="ID136" s="119"/>
      <c r="IE136" s="119"/>
      <c r="IF136" s="119"/>
      <c r="IG136" s="119"/>
      <c r="IH136" s="119"/>
      <c r="II136" s="119"/>
      <c r="IJ136" s="119"/>
      <c r="IK136" s="119"/>
      <c r="IL136" s="119"/>
      <c r="IM136" s="119"/>
      <c r="IN136" s="119"/>
      <c r="IO136" s="119"/>
      <c r="IP136" s="119"/>
      <c r="IQ136" s="119"/>
      <c r="IR136" s="119"/>
      <c r="IS136" s="119"/>
      <c r="IT136" s="119"/>
      <c r="IU136" s="119"/>
      <c r="IV136" s="119"/>
      <c r="IW136" s="119"/>
    </row>
    <row r="137" customFormat="false" ht="11.25" hidden="false" customHeight="false" outlineLevel="0" collapsed="false">
      <c r="A137" s="26"/>
      <c r="B137" s="26"/>
      <c r="C137" s="26"/>
      <c r="D137" s="25"/>
      <c r="E137" s="25"/>
      <c r="F137" s="101"/>
      <c r="G137" s="27"/>
      <c r="H137" s="25"/>
      <c r="I137" s="142"/>
      <c r="J137" s="143"/>
      <c r="K137" s="57"/>
      <c r="L137" s="42"/>
      <c r="M137" s="42"/>
      <c r="N137" s="144"/>
      <c r="O137" s="24"/>
      <c r="P137" s="25"/>
    </row>
    <row r="138" customFormat="false" ht="12" hidden="false" customHeight="false" outlineLevel="0" collapsed="false">
      <c r="A138" s="26"/>
      <c r="B138" s="26"/>
      <c r="C138" s="26"/>
      <c r="D138" s="145"/>
      <c r="E138" s="25"/>
      <c r="F138" s="102"/>
      <c r="G138" s="27"/>
      <c r="H138" s="25"/>
      <c r="I138" s="25"/>
      <c r="J138" s="96" t="n">
        <f aca="false">+J132+J128+J126+J121+J136</f>
        <v>69081635.28848</v>
      </c>
      <c r="K138" s="96" t="n">
        <f aca="false">+K132+K128+K126+K121+K136</f>
        <v>105481.692176</v>
      </c>
      <c r="L138" s="97" t="n">
        <f aca="false">+L132+L128+L126+L121+L136</f>
        <v>17052336.9900835</v>
      </c>
      <c r="M138" s="97" t="n">
        <f aca="false">+M132+M128+M126+M121+M136</f>
        <v>193020.632130001</v>
      </c>
      <c r="N138" s="97" t="n">
        <f aca="false">+N132+N128+N126+N121+N136</f>
        <v>16859316.3579535</v>
      </c>
      <c r="O138" s="146" t="n">
        <f aca="false">SUM(O119:O137)</f>
        <v>-16731566.3579535</v>
      </c>
      <c r="P138" s="147" t="n">
        <f aca="false">SUM(P119:P137)</f>
        <v>-127750.000000001</v>
      </c>
    </row>
    <row r="139" customFormat="false" ht="12" hidden="false" customHeight="false" outlineLevel="0" collapsed="false">
      <c r="A139" s="98"/>
      <c r="B139" s="98"/>
      <c r="C139" s="98"/>
      <c r="D139" s="148"/>
      <c r="E139" s="99"/>
      <c r="F139" s="7"/>
      <c r="G139" s="94"/>
      <c r="H139" s="99"/>
      <c r="I139" s="99"/>
      <c r="J139" s="149"/>
      <c r="K139" s="149"/>
      <c r="L139" s="150"/>
      <c r="M139" s="150"/>
      <c r="N139" s="150"/>
      <c r="O139" s="151"/>
      <c r="P139" s="99"/>
    </row>
    <row r="140" customFormat="false" ht="11.25" hidden="false" customHeight="false" outlineLevel="0" collapsed="false">
      <c r="A140" s="102"/>
      <c r="B140" s="102"/>
      <c r="C140" s="101"/>
      <c r="D140" s="102"/>
      <c r="E140" s="102"/>
      <c r="F140" s="102"/>
      <c r="G140" s="102"/>
      <c r="H140" s="102"/>
      <c r="I140" s="102"/>
      <c r="J140" s="152"/>
      <c r="K140" s="152"/>
      <c r="L140" s="153"/>
      <c r="M140" s="153"/>
      <c r="N140" s="153"/>
    </row>
    <row r="141" customFormat="false" ht="12" hidden="false" customHeight="true" outlineLevel="0" collapsed="false">
      <c r="A141" s="5" t="s">
        <v>114</v>
      </c>
      <c r="B141" s="5"/>
      <c r="C141" s="6"/>
      <c r="D141" s="5"/>
      <c r="E141" s="5"/>
      <c r="L141" s="1" t="s">
        <v>115</v>
      </c>
      <c r="O141" s="59"/>
      <c r="P141" s="59" t="n">
        <v>16116710.37</v>
      </c>
    </row>
    <row r="142" customFormat="false" ht="11.25" hidden="false" customHeight="false" outlineLevel="0" collapsed="false">
      <c r="A142" s="5" t="s">
        <v>116</v>
      </c>
      <c r="B142" s="5"/>
      <c r="C142" s="6"/>
      <c r="D142" s="5"/>
      <c r="E142" s="5"/>
      <c r="L142" s="1" t="s">
        <v>117</v>
      </c>
    </row>
    <row r="143" customFormat="false" ht="11.25" hidden="false" customHeight="false" outlineLevel="0" collapsed="false">
      <c r="A143" s="5"/>
      <c r="B143" s="5"/>
      <c r="C143" s="6"/>
      <c r="D143" s="5"/>
      <c r="E143" s="5"/>
      <c r="L143" s="1" t="s">
        <v>118</v>
      </c>
      <c r="O143" s="59" t="n">
        <v>497.32</v>
      </c>
      <c r="P143" s="59"/>
    </row>
    <row r="144" customFormat="false" ht="11.25" hidden="false" customHeight="false" outlineLevel="0" collapsed="false">
      <c r="A144" s="5" t="s">
        <v>119</v>
      </c>
      <c r="B144" s="5"/>
      <c r="C144" s="6"/>
      <c r="D144" s="5"/>
      <c r="E144" s="5"/>
      <c r="L144" s="1" t="s">
        <v>120</v>
      </c>
      <c r="O144" s="59" t="n">
        <f aca="false">+N132+N124+N125+N136</f>
        <v>807390.000000001</v>
      </c>
      <c r="P144" s="59"/>
    </row>
    <row r="145" customFormat="false" ht="11.25" hidden="false" customHeight="false" outlineLevel="0" collapsed="false">
      <c r="A145" s="5" t="s">
        <v>121</v>
      </c>
      <c r="B145" s="5"/>
      <c r="C145" s="6"/>
      <c r="D145" s="5"/>
      <c r="E145" s="5"/>
      <c r="L145" s="1" t="s">
        <v>122</v>
      </c>
      <c r="O145" s="154" t="n">
        <f aca="false">-M138+129018.64-1279.34</f>
        <v>-65281.3321300014</v>
      </c>
      <c r="P145" s="155" t="n">
        <f aca="false">SUM(O143:O145)</f>
        <v>742605.987869999</v>
      </c>
    </row>
    <row r="146" customFormat="false" ht="11.25" hidden="false" customHeight="false" outlineLevel="0" collapsed="false">
      <c r="A146" s="5"/>
      <c r="B146" s="5"/>
      <c r="C146" s="6"/>
      <c r="D146" s="5"/>
      <c r="E146" s="5"/>
      <c r="P146" s="7"/>
    </row>
    <row r="147" customFormat="false" ht="11.25" hidden="false" customHeight="false" outlineLevel="0" collapsed="false">
      <c r="L147" s="1" t="s">
        <v>123</v>
      </c>
      <c r="O147" s="59"/>
      <c r="P147" s="59" t="n">
        <f aca="false">+P145+P141</f>
        <v>16859316.35787</v>
      </c>
    </row>
    <row r="148" customFormat="false" ht="11.25" hidden="false" customHeight="false" outlineLevel="0" collapsed="false">
      <c r="L148" s="1" t="s">
        <v>124</v>
      </c>
      <c r="O148" s="59"/>
      <c r="P148" s="103" t="n">
        <f aca="false">-O103-P103</f>
        <v>-25751749</v>
      </c>
    </row>
    <row r="149" customFormat="false" ht="12" hidden="false" customHeight="false" outlineLevel="0" collapsed="false">
      <c r="N149" s="1" t="s">
        <v>125</v>
      </c>
      <c r="O149" s="59"/>
      <c r="P149" s="156" t="n">
        <f aca="false">+P147+P148</f>
        <v>-8892432.64212999</v>
      </c>
    </row>
    <row r="150" customFormat="false" ht="12" hidden="false" customHeight="false" outlineLevel="0" collapsed="false"/>
  </sheetData>
  <mergeCells count="11">
    <mergeCell ref="A1:O1"/>
    <mergeCell ref="A2:O2"/>
    <mergeCell ref="A3:O3"/>
    <mergeCell ref="A5:O5"/>
    <mergeCell ref="A7:O7"/>
    <mergeCell ref="L10:O10"/>
    <mergeCell ref="O11:P11"/>
    <mergeCell ref="A110:O110"/>
    <mergeCell ref="A111:O111"/>
    <mergeCell ref="L115:O115"/>
    <mergeCell ref="O116:P116"/>
  </mergeCells>
  <printOptions headings="false" gridLines="false" gridLinesSet="true" horizontalCentered="true" verticalCentered="true"/>
  <pageMargins left="0.25" right="0.25" top="0.25" bottom="0.35" header="0.511811023622047" footer="0.220138888888889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Hedge/Fixed2_Summary</oddFooter>
  </headerFooter>
  <rowBreaks count="1" manualBreakCount="1">
    <brk id="107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D5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168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50</v>
      </c>
      <c r="E6" s="161"/>
      <c r="F6" s="161"/>
      <c r="G6" s="161"/>
      <c r="H6" s="161" t="s">
        <v>30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165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0.75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36892</v>
      </c>
      <c r="B10" s="173"/>
      <c r="C10" s="174" t="s">
        <v>50</v>
      </c>
      <c r="D10" s="175" t="n">
        <f aca="false">9.98+D9</f>
        <v>10.73</v>
      </c>
      <c r="E10" s="173"/>
      <c r="F10" s="176" t="n">
        <f aca="false">-5000*31</f>
        <v>-155000</v>
      </c>
      <c r="G10" s="175" t="n">
        <f aca="false">+D10-H10</f>
        <v>0.210000000000001</v>
      </c>
      <c r="H10" s="175" t="n">
        <v>10.52</v>
      </c>
      <c r="I10" s="177" t="n">
        <f aca="false">SUM(+D10-H10)*F10</f>
        <v>-32550.0000000001</v>
      </c>
      <c r="J10" s="178" t="n">
        <f aca="false">+I10</f>
        <v>-32550.0000000001</v>
      </c>
      <c r="K10" s="178"/>
    </row>
    <row r="11" customFormat="false" ht="12.75" hidden="false" customHeight="false" outlineLevel="0" collapsed="false">
      <c r="A11" s="172" t="n">
        <v>36923</v>
      </c>
      <c r="B11" s="173"/>
      <c r="C11" s="174" t="s">
        <v>50</v>
      </c>
      <c r="D11" s="175" t="n">
        <f aca="false">+D9+'[5]Henry Hub'!$E$12</f>
        <v>7.043</v>
      </c>
      <c r="E11" s="173"/>
      <c r="F11" s="176" t="n">
        <f aca="false">-5000*28</f>
        <v>-140000</v>
      </c>
      <c r="G11" s="175" t="n">
        <f aca="false">+D11-H11</f>
        <v>0.62</v>
      </c>
      <c r="H11" s="175" t="n">
        <f aca="false">+[5]Demarc!$E12</f>
        <v>6.423</v>
      </c>
      <c r="I11" s="177" t="n">
        <f aca="false">SUM(+D11-H11)*F11</f>
        <v>-86800</v>
      </c>
      <c r="J11" s="178"/>
      <c r="K11" s="178" t="n">
        <f aca="false">+I11</f>
        <v>-86800</v>
      </c>
    </row>
    <row r="12" customFormat="false" ht="12.75" hidden="false" customHeight="false" outlineLevel="0" collapsed="false">
      <c r="A12" s="172" t="n">
        <v>36951</v>
      </c>
      <c r="B12" s="173"/>
      <c r="C12" s="174" t="s">
        <v>50</v>
      </c>
      <c r="D12" s="175" t="n">
        <f aca="false">+D9+'[5]Henry Hub'!$E$13</f>
        <v>6.457</v>
      </c>
      <c r="E12" s="173"/>
      <c r="F12" s="176" t="n">
        <f aca="false">-5000*31</f>
        <v>-155000</v>
      </c>
      <c r="G12" s="175" t="n">
        <f aca="false">+D12-H12</f>
        <v>0.62</v>
      </c>
      <c r="H12" s="175" t="n">
        <f aca="false">+[5]Demarc!$E13</f>
        <v>5.837</v>
      </c>
      <c r="I12" s="177" t="n">
        <f aca="false">SUM(+D12-H12)*F12</f>
        <v>-96100</v>
      </c>
      <c r="J12" s="179"/>
      <c r="K12" s="178" t="n">
        <f aca="false">+I12</f>
        <v>-96100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96"/>
      <c r="G13" s="186" t="n">
        <f aca="false">SUM(G10:G12)/3</f>
        <v>0.483333333333334</v>
      </c>
      <c r="H13" s="175"/>
      <c r="I13" s="197"/>
      <c r="J13" s="192"/>
      <c r="K13" s="198"/>
    </row>
    <row r="14" customFormat="false" ht="12.75" hidden="false" customHeight="false" outlineLevel="0" collapsed="false">
      <c r="A14" s="172"/>
      <c r="B14" s="173"/>
      <c r="C14" s="174"/>
      <c r="D14" s="175" t="n">
        <f aca="false">SUM(D10:D12)/3</f>
        <v>8.07666666666667</v>
      </c>
      <c r="E14" s="173"/>
      <c r="F14" s="176" t="n">
        <f aca="false">SUM(F10:F13)</f>
        <v>-450000</v>
      </c>
      <c r="G14" s="173"/>
      <c r="H14" s="175" t="n">
        <f aca="false">SUM(H10:H12)/3</f>
        <v>7.59333333333333</v>
      </c>
      <c r="I14" s="177" t="n">
        <f aca="false">SUM(I10:I13)</f>
        <v>-215450</v>
      </c>
      <c r="J14" s="177" t="n">
        <f aca="false">SUM(J10:J13)</f>
        <v>-32550.0000000001</v>
      </c>
      <c r="K14" s="177" t="n">
        <f aca="false">SUM(K10:K13)</f>
        <v>-182900</v>
      </c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210" t="s">
        <v>157</v>
      </c>
      <c r="H16" s="210"/>
      <c r="I16" s="177"/>
      <c r="J16" s="179"/>
      <c r="K16" s="199"/>
    </row>
    <row r="17" customFormat="false" ht="12.75" hidden="false" customHeight="false" outlineLevel="0" collapsed="false">
      <c r="A17" s="172"/>
      <c r="B17" s="173"/>
      <c r="C17" s="174"/>
      <c r="D17" s="175"/>
      <c r="E17" s="173"/>
      <c r="F17" s="176"/>
      <c r="G17" s="211" t="s">
        <v>158</v>
      </c>
      <c r="H17" s="211"/>
      <c r="I17" s="177"/>
      <c r="J17" s="179"/>
      <c r="K17" s="199"/>
    </row>
    <row r="18" customFormat="false" ht="12.75" hidden="false" customHeight="false" outlineLevel="0" collapsed="false">
      <c r="A18" s="172"/>
      <c r="B18" s="173"/>
      <c r="C18" s="174"/>
      <c r="D18" s="175"/>
      <c r="E18" s="173"/>
      <c r="F18" s="176"/>
      <c r="G18" s="210" t="s">
        <v>159</v>
      </c>
      <c r="H18" s="210"/>
      <c r="I18" s="177"/>
      <c r="J18" s="179"/>
      <c r="K18" s="199"/>
    </row>
    <row r="19" customFormat="false" ht="12.75" hidden="false" customHeight="false" outlineLevel="0" collapsed="false">
      <c r="A19" s="172"/>
      <c r="B19" s="173"/>
      <c r="C19" s="174"/>
      <c r="D19" s="175"/>
      <c r="E19" s="173"/>
      <c r="F19" s="176"/>
      <c r="G19" s="212" t="s">
        <v>160</v>
      </c>
      <c r="H19" s="216" t="s">
        <v>161</v>
      </c>
      <c r="I19" s="177"/>
      <c r="J19" s="179"/>
      <c r="K19" s="199"/>
    </row>
    <row r="20" customFormat="false" ht="12.75" hidden="false" customHeight="false" outlineLevel="0" collapsed="false">
      <c r="A20" s="172" t="n">
        <v>36892</v>
      </c>
      <c r="B20" s="173"/>
      <c r="C20" s="174" t="s">
        <v>162</v>
      </c>
      <c r="D20" s="175"/>
      <c r="E20" s="173"/>
      <c r="F20" s="176" t="n">
        <f aca="false">5000*31</f>
        <v>155000</v>
      </c>
      <c r="G20" s="175" t="n">
        <v>10.52</v>
      </c>
      <c r="H20" s="214" t="n">
        <f aca="false">9.92+0.228</f>
        <v>10.148</v>
      </c>
      <c r="I20" s="177" t="n">
        <f aca="false">SUM(-G20+H20)*F20</f>
        <v>-57660</v>
      </c>
      <c r="J20" s="178" t="n">
        <f aca="false">+I20</f>
        <v>-57660</v>
      </c>
      <c r="K20" s="178"/>
    </row>
    <row r="21" customFormat="false" ht="12.75" hidden="false" customHeight="false" outlineLevel="0" collapsed="false">
      <c r="A21" s="172" t="n">
        <v>36923</v>
      </c>
      <c r="B21" s="173"/>
      <c r="C21" s="174" t="s">
        <v>162</v>
      </c>
      <c r="D21" s="175"/>
      <c r="E21" s="173"/>
      <c r="F21" s="176" t="n">
        <f aca="false">5000*28</f>
        <v>140000</v>
      </c>
      <c r="G21" s="175" t="n">
        <f aca="false">+[5]Demarc!$E12</f>
        <v>6.423</v>
      </c>
      <c r="H21" s="175" t="n">
        <f aca="false">+'[5]PEPL Tx, Ok'!$E12+0.228</f>
        <v>6.421</v>
      </c>
      <c r="I21" s="177" t="n">
        <f aca="false">SUM(-G21+H21)*F21</f>
        <v>-279.999999999969</v>
      </c>
      <c r="J21" s="179"/>
      <c r="K21" s="178" t="n">
        <f aca="false">+I21</f>
        <v>-279.999999999969</v>
      </c>
    </row>
    <row r="22" customFormat="false" ht="12.75" hidden="false" customHeight="false" outlineLevel="0" collapsed="false">
      <c r="A22" s="172" t="n">
        <v>36951</v>
      </c>
      <c r="B22" s="173"/>
      <c r="C22" s="174" t="s">
        <v>162</v>
      </c>
      <c r="D22" s="175"/>
      <c r="E22" s="173"/>
      <c r="F22" s="176" t="n">
        <f aca="false">5000*31</f>
        <v>155000</v>
      </c>
      <c r="G22" s="175" t="n">
        <f aca="false">+[5]Demarc!$E13</f>
        <v>5.837</v>
      </c>
      <c r="H22" s="175" t="n">
        <f aca="false">+'[5]PEPL Tx, Ok'!$E13+0.228</f>
        <v>5.865</v>
      </c>
      <c r="I22" s="177" t="n">
        <f aca="false">SUM(-G22+H22)*F22</f>
        <v>4339.99999999994</v>
      </c>
      <c r="J22" s="179"/>
      <c r="K22" s="178" t="n">
        <f aca="false">+I22</f>
        <v>4339.99999999994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173"/>
      <c r="H23" s="175"/>
      <c r="I23" s="177"/>
      <c r="J23" s="179"/>
      <c r="K23" s="178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215"/>
      <c r="H24" s="175"/>
      <c r="I24" s="175"/>
      <c r="J24" s="179"/>
      <c r="K24" s="178"/>
    </row>
    <row r="25" customFormat="false" ht="12.75" hidden="false" customHeight="false" outlineLevel="0" collapsed="false">
      <c r="A25" s="172"/>
      <c r="B25" s="173"/>
      <c r="C25" s="174"/>
      <c r="D25" s="175"/>
      <c r="E25" s="173"/>
      <c r="F25" s="196"/>
      <c r="G25" s="173"/>
      <c r="H25" s="175"/>
      <c r="I25" s="197"/>
      <c r="J25" s="192"/>
      <c r="K25" s="198"/>
    </row>
    <row r="26" customFormat="false" ht="12.75" hidden="false" customHeight="false" outlineLevel="0" collapsed="false">
      <c r="A26" s="172"/>
      <c r="B26" s="173"/>
      <c r="C26" s="174"/>
      <c r="D26" s="175"/>
      <c r="E26" s="173"/>
      <c r="F26" s="176" t="n">
        <f aca="false">SUM(F20:F25)</f>
        <v>450000</v>
      </c>
      <c r="G26" s="173"/>
      <c r="H26" s="175"/>
      <c r="I26" s="177" t="n">
        <f aca="false">SUM(I20:I25)</f>
        <v>-53600</v>
      </c>
      <c r="J26" s="177" t="n">
        <f aca="false">SUM(J20:J25)</f>
        <v>-57660</v>
      </c>
      <c r="K26" s="177" t="n">
        <f aca="false">SUM(K20:K25)</f>
        <v>4059.99999999997</v>
      </c>
    </row>
    <row r="27" customFormat="false" ht="12.75" hidden="false" customHeight="false" outlineLevel="0" collapsed="false">
      <c r="A27" s="172"/>
      <c r="B27" s="173"/>
      <c r="C27" s="174"/>
      <c r="D27" s="175"/>
      <c r="E27" s="173"/>
      <c r="F27" s="176"/>
      <c r="G27" s="173"/>
      <c r="H27" s="175"/>
      <c r="I27" s="177"/>
      <c r="J27" s="179"/>
      <c r="K27" s="199"/>
    </row>
    <row r="28" customFormat="false" ht="13.5" hidden="false" customHeight="false" outlineLevel="0" collapsed="false">
      <c r="A28" s="172"/>
      <c r="B28" s="173"/>
      <c r="C28" s="174"/>
      <c r="D28" s="175"/>
      <c r="E28" s="173"/>
      <c r="F28" s="200" t="n">
        <f aca="false">+F14+F26</f>
        <v>0</v>
      </c>
      <c r="G28" s="173"/>
      <c r="H28" s="175"/>
      <c r="I28" s="201" t="n">
        <f aca="false">+I26+I14</f>
        <v>-269050</v>
      </c>
      <c r="J28" s="201" t="n">
        <f aca="false">+J26+J14</f>
        <v>-90210.0000000001</v>
      </c>
      <c r="K28" s="201" t="n">
        <f aca="false">+K26+K14</f>
        <v>-178840</v>
      </c>
    </row>
    <row r="29" customFormat="false" ht="13.5" hidden="false" customHeight="false" outlineLevel="0" collapsed="false">
      <c r="A29" s="192"/>
      <c r="B29" s="192"/>
      <c r="C29" s="192"/>
      <c r="D29" s="192"/>
      <c r="E29" s="192"/>
      <c r="F29" s="192"/>
      <c r="G29" s="192"/>
      <c r="H29" s="192"/>
      <c r="I29" s="192"/>
      <c r="J29" s="193"/>
      <c r="K29" s="193"/>
    </row>
    <row r="31" customFormat="false" ht="12.75" hidden="false" customHeight="false" outlineLevel="0" collapsed="false">
      <c r="A31" s="5" t="s">
        <v>138</v>
      </c>
    </row>
  </sheetData>
  <mergeCells count="8">
    <mergeCell ref="A1:K1"/>
    <mergeCell ref="A2:K2"/>
    <mergeCell ref="A3:K3"/>
    <mergeCell ref="A4:K4"/>
    <mergeCell ref="I6:K6"/>
    <mergeCell ref="G16:H16"/>
    <mergeCell ref="G17:H17"/>
    <mergeCell ref="G18:H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H12" activeCellId="0" sqref="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169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50</v>
      </c>
      <c r="E6" s="161"/>
      <c r="F6" s="161"/>
      <c r="G6" s="161"/>
      <c r="H6" s="161" t="s">
        <v>30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170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0.55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36892</v>
      </c>
      <c r="B10" s="173"/>
      <c r="C10" s="174" t="s">
        <v>50</v>
      </c>
      <c r="D10" s="175" t="n">
        <f aca="false">9.98+D9</f>
        <v>10.53</v>
      </c>
      <c r="E10" s="173"/>
      <c r="F10" s="176" t="n">
        <v>-155000</v>
      </c>
      <c r="G10" s="175" t="n">
        <f aca="false">+D10-H10</f>
        <v>0.0100000000000016</v>
      </c>
      <c r="H10" s="175" t="n">
        <v>10.52</v>
      </c>
      <c r="I10" s="177" t="n">
        <f aca="false">(+D10-H10)*F10</f>
        <v>-1550.00000000024</v>
      </c>
      <c r="J10" s="178" t="n">
        <f aca="false">+I10</f>
        <v>-1550.00000000024</v>
      </c>
      <c r="K10" s="178"/>
    </row>
    <row r="11" customFormat="false" ht="12.75" hidden="false" customHeight="false" outlineLevel="0" collapsed="false">
      <c r="A11" s="172" t="n">
        <v>36923</v>
      </c>
      <c r="B11" s="173"/>
      <c r="C11" s="174" t="s">
        <v>50</v>
      </c>
      <c r="D11" s="175" t="n">
        <f aca="false">+D9+'[5]Henry Hub'!$E$12</f>
        <v>6.843</v>
      </c>
      <c r="E11" s="173"/>
      <c r="F11" s="176" t="n">
        <v>-140000</v>
      </c>
      <c r="G11" s="175" t="n">
        <f aca="false">+D11-H11</f>
        <v>0.42</v>
      </c>
      <c r="H11" s="175" t="n">
        <f aca="false">+[5]Demarc!$E12</f>
        <v>6.423</v>
      </c>
      <c r="I11" s="177" t="n">
        <f aca="false">(+D11-H11)*F11</f>
        <v>-58800</v>
      </c>
      <c r="J11" s="178"/>
      <c r="K11" s="178" t="n">
        <f aca="false">+I11</f>
        <v>-58800</v>
      </c>
    </row>
    <row r="12" customFormat="false" ht="12.75" hidden="false" customHeight="false" outlineLevel="0" collapsed="false">
      <c r="A12" s="172" t="n">
        <v>36951</v>
      </c>
      <c r="B12" s="173"/>
      <c r="C12" s="174" t="s">
        <v>50</v>
      </c>
      <c r="D12" s="175" t="n">
        <f aca="false">+D9+'[5]Henry Hub'!$E$13</f>
        <v>6.257</v>
      </c>
      <c r="E12" s="173"/>
      <c r="F12" s="176" t="n">
        <v>-155000</v>
      </c>
      <c r="G12" s="175" t="n">
        <f aca="false">+D12-H12</f>
        <v>0.42</v>
      </c>
      <c r="H12" s="175" t="n">
        <f aca="false">+[5]Demarc!$E13</f>
        <v>5.837</v>
      </c>
      <c r="I12" s="177" t="n">
        <f aca="false">(+D12-H12)*F12</f>
        <v>-65100</v>
      </c>
      <c r="J12" s="179"/>
      <c r="K12" s="178" t="n">
        <f aca="false">+I12</f>
        <v>-65100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96"/>
      <c r="G13" s="186" t="n">
        <f aca="false">SUM(G10:G12)/3</f>
        <v>0.283333333333334</v>
      </c>
      <c r="H13" s="175"/>
      <c r="I13" s="197"/>
      <c r="J13" s="192"/>
      <c r="K13" s="198"/>
    </row>
    <row r="14" customFormat="false" ht="12.75" hidden="false" customHeight="false" outlineLevel="0" collapsed="false">
      <c r="A14" s="172"/>
      <c r="B14" s="173"/>
      <c r="C14" s="174"/>
      <c r="D14" s="175" t="n">
        <f aca="false">SUM(D10:D12)/3</f>
        <v>7.87666666666667</v>
      </c>
      <c r="E14" s="173"/>
      <c r="F14" s="176" t="n">
        <f aca="false">SUM(F10:F13)</f>
        <v>-450000</v>
      </c>
      <c r="G14" s="173"/>
      <c r="H14" s="175" t="n">
        <f aca="false">SUM(H10:H12)/3</f>
        <v>7.59333333333333</v>
      </c>
      <c r="I14" s="177" t="n">
        <f aca="false">SUM(I10:I13)</f>
        <v>-125450</v>
      </c>
      <c r="J14" s="177" t="n">
        <f aca="false">SUM(J10:J13)</f>
        <v>-1550.00000000024</v>
      </c>
      <c r="K14" s="177" t="n">
        <f aca="false">SUM(K10:K13)</f>
        <v>-123900</v>
      </c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3.5" hidden="false" customHeight="false" outlineLevel="0" collapsed="false">
      <c r="A16" s="172"/>
      <c r="B16" s="173"/>
      <c r="C16" s="174"/>
      <c r="D16" s="175"/>
      <c r="E16" s="173"/>
      <c r="F16" s="200" t="n">
        <f aca="false">+F14</f>
        <v>-450000</v>
      </c>
      <c r="G16" s="173"/>
      <c r="H16" s="175"/>
      <c r="I16" s="201" t="n">
        <f aca="false">+I14</f>
        <v>-125450</v>
      </c>
      <c r="J16" s="201" t="n">
        <f aca="false">+J14</f>
        <v>-1550.00000000024</v>
      </c>
      <c r="K16" s="201" t="n">
        <f aca="false">+K14</f>
        <v>-123900</v>
      </c>
    </row>
    <row r="17" customFormat="false" ht="13.5" hidden="false" customHeight="false" outlineLevel="0" collapsed="false">
      <c r="A17" s="192"/>
      <c r="B17" s="192"/>
      <c r="C17" s="192"/>
      <c r="D17" s="192"/>
      <c r="E17" s="192"/>
      <c r="F17" s="192"/>
      <c r="G17" s="192"/>
      <c r="H17" s="192"/>
      <c r="I17" s="192"/>
      <c r="J17" s="193"/>
      <c r="K17" s="193"/>
      <c r="L17" s="217" t="n">
        <f aca="false">+K16+J16-I16</f>
        <v>0</v>
      </c>
    </row>
    <row r="19" customFormat="false" ht="12.75" hidden="false" customHeight="false" outlineLevel="0" collapsed="false">
      <c r="A19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0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171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30</v>
      </c>
      <c r="E6" s="161"/>
      <c r="F6" s="161"/>
      <c r="G6" s="161"/>
      <c r="H6" s="161" t="s">
        <v>50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155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0.02</v>
      </c>
      <c r="E9" s="167"/>
      <c r="F9" s="167"/>
      <c r="G9" s="169"/>
      <c r="H9" s="170" t="s">
        <v>172</v>
      </c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36892</v>
      </c>
      <c r="B10" s="173"/>
      <c r="C10" s="174" t="s">
        <v>50</v>
      </c>
      <c r="D10" s="175" t="n">
        <f aca="false">9.98+D9</f>
        <v>10</v>
      </c>
      <c r="E10" s="173"/>
      <c r="F10" s="176" t="n">
        <f aca="false">5000*31</f>
        <v>155000</v>
      </c>
      <c r="G10" s="175" t="n">
        <f aca="false">+D10-H10</f>
        <v>0.0800000000000001</v>
      </c>
      <c r="H10" s="175" t="n">
        <v>9.92</v>
      </c>
      <c r="I10" s="177" t="n">
        <f aca="false">(D10-H10)*F10</f>
        <v>12400</v>
      </c>
      <c r="J10" s="178" t="n">
        <f aca="false">+I10</f>
        <v>12400</v>
      </c>
      <c r="K10" s="178"/>
    </row>
    <row r="11" customFormat="false" ht="12.75" hidden="false" customHeight="false" outlineLevel="0" collapsed="false">
      <c r="A11" s="172" t="n">
        <v>36923</v>
      </c>
      <c r="B11" s="173"/>
      <c r="C11" s="174" t="s">
        <v>50</v>
      </c>
      <c r="D11" s="175" t="n">
        <f aca="false">+D9+'[5]Henry Hub'!$E$12</f>
        <v>6.313</v>
      </c>
      <c r="E11" s="173"/>
      <c r="F11" s="176" t="n">
        <f aca="false">5000*28</f>
        <v>140000</v>
      </c>
      <c r="G11" s="175" t="n">
        <f aca="false">+D11-H11</f>
        <v>0.119999999999999</v>
      </c>
      <c r="H11" s="175" t="n">
        <f aca="false">+'[5]PEPL Tx, Ok'!$E12</f>
        <v>6.193</v>
      </c>
      <c r="I11" s="177" t="n">
        <f aca="false">(D11-H11)*F11</f>
        <v>16799.9999999999</v>
      </c>
      <c r="J11" s="178"/>
      <c r="K11" s="178" t="n">
        <f aca="false">+I11</f>
        <v>16799.9999999999</v>
      </c>
    </row>
    <row r="12" customFormat="false" ht="12.75" hidden="false" customHeight="false" outlineLevel="0" collapsed="false">
      <c r="A12" s="172" t="n">
        <v>36951</v>
      </c>
      <c r="B12" s="173"/>
      <c r="C12" s="174" t="s">
        <v>50</v>
      </c>
      <c r="D12" s="175" t="n">
        <f aca="false">+D9+'[5]Henry Hub'!$E$13</f>
        <v>5.727</v>
      </c>
      <c r="E12" s="173"/>
      <c r="F12" s="176" t="n">
        <f aca="false">5000*31</f>
        <v>155000</v>
      </c>
      <c r="G12" s="175" t="n">
        <f aca="false">+D12-H12</f>
        <v>0.0899999999999999</v>
      </c>
      <c r="H12" s="175" t="n">
        <f aca="false">+'[5]PEPL Tx, Ok'!$E13</f>
        <v>5.637</v>
      </c>
      <c r="I12" s="177" t="n">
        <f aca="false">(D12-H12)*F12</f>
        <v>13950</v>
      </c>
      <c r="J12" s="179"/>
      <c r="K12" s="178" t="n">
        <f aca="false">+I12</f>
        <v>13950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96"/>
      <c r="G13" s="173"/>
      <c r="H13" s="175"/>
      <c r="I13" s="197"/>
      <c r="J13" s="192"/>
      <c r="K13" s="198"/>
    </row>
    <row r="14" customFormat="false" ht="12.75" hidden="false" customHeight="false" outlineLevel="0" collapsed="false">
      <c r="A14" s="172"/>
      <c r="B14" s="173"/>
      <c r="C14" s="174"/>
      <c r="D14" s="175" t="n">
        <f aca="false">SUM(D10:D12)/3</f>
        <v>7.34666666666667</v>
      </c>
      <c r="E14" s="173"/>
      <c r="F14" s="176" t="n">
        <f aca="false">SUM(F10:F13)</f>
        <v>450000</v>
      </c>
      <c r="G14" s="186" t="n">
        <f aca="false">SUM(G10:G13)/3</f>
        <v>0.0966666666666664</v>
      </c>
      <c r="H14" s="175" t="n">
        <f aca="false">SUM(H10:H12)/3</f>
        <v>7.25</v>
      </c>
      <c r="I14" s="177" t="n">
        <f aca="false">SUM(I10:I13)</f>
        <v>43149.9999999999</v>
      </c>
      <c r="J14" s="177" t="n">
        <f aca="false">SUM(J10:J13)</f>
        <v>12400</v>
      </c>
      <c r="K14" s="177" t="n">
        <f aca="false">SUM(K10:K13)</f>
        <v>30749.9999999999</v>
      </c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173"/>
      <c r="H16" s="175"/>
      <c r="I16" s="177"/>
      <c r="J16" s="179"/>
      <c r="K16" s="199"/>
    </row>
    <row r="17" customFormat="false" ht="13.5" hidden="false" customHeight="false" outlineLevel="0" collapsed="false">
      <c r="A17" s="172"/>
      <c r="B17" s="173"/>
      <c r="C17" s="174"/>
      <c r="D17" s="175"/>
      <c r="E17" s="173"/>
      <c r="F17" s="200" t="n">
        <f aca="false">+F14</f>
        <v>450000</v>
      </c>
      <c r="G17" s="173"/>
      <c r="H17" s="175"/>
      <c r="I17" s="201" t="n">
        <f aca="false">+I14</f>
        <v>43149.9999999999</v>
      </c>
      <c r="J17" s="201" t="n">
        <f aca="false">+J14</f>
        <v>12400</v>
      </c>
      <c r="K17" s="201" t="n">
        <f aca="false">+K14</f>
        <v>30749.9999999999</v>
      </c>
    </row>
    <row r="18" customFormat="false" ht="13.5" hidden="false" customHeight="false" outlineLevel="0" collapsed="false">
      <c r="A18" s="192"/>
      <c r="B18" s="192"/>
      <c r="C18" s="192"/>
      <c r="D18" s="192"/>
      <c r="E18" s="192"/>
      <c r="F18" s="192"/>
      <c r="G18" s="192"/>
      <c r="H18" s="192"/>
      <c r="I18" s="192"/>
      <c r="J18" s="193"/>
      <c r="K18" s="193"/>
    </row>
    <row r="20" customFormat="false" ht="12.75" hidden="false" customHeight="false" outlineLevel="0" collapsed="false">
      <c r="A20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2"/>
  <sheetViews>
    <sheetView showFormulas="false" showGridLines="true" showRowColHeaders="true" showZeros="true" rightToLeft="false" tabSelected="false" showOutlineSymbols="true" defaultGridColor="true" view="normal" topLeftCell="C10" colorId="64" zoomScale="100" zoomScaleNormal="100" zoomScalePageLayoutView="100" workbookViewId="0">
      <selection pane="topLeft" activeCell="G11" activeCellId="0" sqref="G11:G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4.28"/>
    <col collapsed="false" customWidth="true" hidden="false" outlineLevel="0" max="3" min="3" style="0" width="13.7"/>
    <col collapsed="false" customWidth="true" hidden="false" outlineLevel="0" max="4" min="4" style="0" width="15.85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5.85"/>
    <col collapsed="false" customWidth="true" hidden="false" outlineLevel="0" max="8" min="8" style="218" width="12.56"/>
    <col collapsed="false" customWidth="true" hidden="false" outlineLevel="0" max="9" min="9" style="0" width="15.41"/>
    <col collapsed="false" customWidth="true" hidden="false" outlineLevel="0" max="10" min="10" style="0" width="14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173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219" t="s">
        <v>174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30</v>
      </c>
      <c r="E6" s="161"/>
      <c r="F6" s="161" t="s">
        <v>19</v>
      </c>
      <c r="G6" s="161" t="s">
        <v>150</v>
      </c>
      <c r="H6" s="162" t="s">
        <v>131</v>
      </c>
      <c r="I6" s="162"/>
      <c r="J6" s="162"/>
      <c r="K6" s="220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175</v>
      </c>
      <c r="E7" s="164"/>
      <c r="F7" s="164" t="s">
        <v>133</v>
      </c>
      <c r="G7" s="164" t="s">
        <v>176</v>
      </c>
      <c r="H7" s="164" t="s">
        <v>23</v>
      </c>
      <c r="I7" s="164" t="s">
        <v>24</v>
      </c>
      <c r="J7" s="165" t="s">
        <v>25</v>
      </c>
      <c r="K7" s="220"/>
    </row>
    <row r="8" customFormat="false" ht="12.75" hidden="false" customHeight="false" outlineLevel="0" collapsed="false">
      <c r="A8" s="166"/>
      <c r="B8" s="167"/>
      <c r="C8" s="167"/>
      <c r="D8" s="221" t="s">
        <v>177</v>
      </c>
      <c r="E8" s="167"/>
      <c r="F8" s="167"/>
      <c r="G8" s="169" t="s">
        <v>178</v>
      </c>
      <c r="H8" s="170" t="s">
        <v>136</v>
      </c>
      <c r="I8" s="170" t="s">
        <v>136</v>
      </c>
      <c r="J8" s="171" t="s">
        <v>136</v>
      </c>
    </row>
    <row r="9" customFormat="false" ht="12.75" hidden="false" customHeight="false" outlineLevel="0" collapsed="false">
      <c r="A9" s="222" t="n">
        <v>36831</v>
      </c>
      <c r="B9" s="223" t="s">
        <v>179</v>
      </c>
      <c r="C9" s="224" t="s">
        <v>71</v>
      </c>
      <c r="D9" s="175" t="n">
        <v>63754.1</v>
      </c>
      <c r="E9" s="223"/>
      <c r="F9" s="176"/>
      <c r="G9" s="175" t="n">
        <v>65033.44</v>
      </c>
      <c r="H9" s="225" t="n">
        <f aca="false">+G9-D9</f>
        <v>1279.34</v>
      </c>
      <c r="I9" s="177" t="n">
        <f aca="false">+H9</f>
        <v>1279.34</v>
      </c>
      <c r="J9" s="226"/>
      <c r="K9" s="227"/>
      <c r="L9" s="228"/>
    </row>
    <row r="10" customFormat="false" ht="12.75" hidden="false" customHeight="false" outlineLevel="0" collapsed="false">
      <c r="A10" s="172" t="n">
        <v>36861</v>
      </c>
      <c r="B10" s="223" t="s">
        <v>179</v>
      </c>
      <c r="C10" s="224" t="s">
        <v>71</v>
      </c>
      <c r="D10" s="175" t="n">
        <v>65879.34</v>
      </c>
      <c r="E10" s="223"/>
      <c r="F10" s="176"/>
      <c r="G10" s="175" t="n">
        <v>66423.8</v>
      </c>
      <c r="H10" s="225" t="n">
        <f aca="false">+G10-D10</f>
        <v>544.460000000006</v>
      </c>
      <c r="I10" s="177" t="n">
        <f aca="false">+H10</f>
        <v>544.460000000006</v>
      </c>
      <c r="J10" s="177"/>
      <c r="K10" s="229"/>
      <c r="L10" s="230"/>
    </row>
    <row r="11" customFormat="false" ht="12.75" hidden="false" customHeight="false" outlineLevel="0" collapsed="false">
      <c r="A11" s="172" t="n">
        <v>36892</v>
      </c>
      <c r="B11" s="223" t="s">
        <v>179</v>
      </c>
      <c r="C11" s="224" t="s">
        <v>71</v>
      </c>
      <c r="D11" s="175" t="n">
        <v>65879.34</v>
      </c>
      <c r="E11" s="173"/>
      <c r="F11" s="176"/>
      <c r="G11" s="175" t="n">
        <f aca="false">100466*0.66777</f>
        <v>67088.18082</v>
      </c>
      <c r="H11" s="225" t="n">
        <f aca="false">+G11-D11</f>
        <v>1208.84082</v>
      </c>
      <c r="I11" s="177" t="n">
        <f aca="false">+H11*F11</f>
        <v>0</v>
      </c>
      <c r="J11" s="177" t="n">
        <f aca="false">+H11</f>
        <v>1208.84082</v>
      </c>
      <c r="K11" s="229"/>
      <c r="L11" s="230"/>
    </row>
    <row r="12" customFormat="false" ht="12.75" hidden="false" customHeight="false" outlineLevel="0" collapsed="false">
      <c r="A12" s="172" t="n">
        <v>36923</v>
      </c>
      <c r="B12" s="223" t="s">
        <v>179</v>
      </c>
      <c r="C12" s="224" t="s">
        <v>71</v>
      </c>
      <c r="D12" s="175" t="n">
        <v>59504.26</v>
      </c>
      <c r="E12" s="173"/>
      <c r="F12" s="176"/>
      <c r="G12" s="175" t="n">
        <f aca="false">90744*0.66777</f>
        <v>60596.12088</v>
      </c>
      <c r="H12" s="225" t="n">
        <f aca="false">+G12-D12</f>
        <v>1091.86087999999</v>
      </c>
      <c r="I12" s="177" t="n">
        <f aca="false">+H12*F12</f>
        <v>0</v>
      </c>
      <c r="J12" s="177" t="n">
        <f aca="false">+H12</f>
        <v>1091.86087999999</v>
      </c>
      <c r="K12" s="229"/>
      <c r="L12" s="230"/>
    </row>
    <row r="13" customFormat="false" ht="12.75" hidden="false" customHeight="false" outlineLevel="0" collapsed="false">
      <c r="A13" s="172" t="n">
        <v>36951</v>
      </c>
      <c r="B13" s="223" t="s">
        <v>179</v>
      </c>
      <c r="C13" s="224" t="s">
        <v>71</v>
      </c>
      <c r="D13" s="175" t="n">
        <v>65879.34</v>
      </c>
      <c r="E13" s="173"/>
      <c r="F13" s="176"/>
      <c r="G13" s="175" t="n">
        <f aca="false">100466*0.66777</f>
        <v>67088.18082</v>
      </c>
      <c r="H13" s="225" t="n">
        <f aca="false">+G13-D13</f>
        <v>1208.84082</v>
      </c>
      <c r="I13" s="177" t="n">
        <f aca="false">+H13*F13</f>
        <v>0</v>
      </c>
      <c r="J13" s="177" t="n">
        <f aca="false">+H13</f>
        <v>1208.84082</v>
      </c>
      <c r="K13" s="229"/>
      <c r="L13" s="230"/>
    </row>
    <row r="14" customFormat="false" ht="12.75" hidden="false" customHeight="false" outlineLevel="0" collapsed="false">
      <c r="A14" s="172" t="n">
        <v>36982</v>
      </c>
      <c r="B14" s="223" t="s">
        <v>179</v>
      </c>
      <c r="C14" s="224" t="s">
        <v>71</v>
      </c>
      <c r="D14" s="175" t="n">
        <v>63754.1</v>
      </c>
      <c r="E14" s="173"/>
      <c r="F14" s="176"/>
      <c r="G14" s="175" t="n">
        <f aca="false">97225*0.66777</f>
        <v>64923.93825</v>
      </c>
      <c r="H14" s="225" t="n">
        <f aca="false">+G14-D14</f>
        <v>1169.83825</v>
      </c>
      <c r="I14" s="177" t="n">
        <f aca="false">+H14*F14</f>
        <v>0</v>
      </c>
      <c r="J14" s="177" t="n">
        <f aca="false">+H14</f>
        <v>1169.83825</v>
      </c>
      <c r="K14" s="229"/>
      <c r="L14" s="230"/>
    </row>
    <row r="15" customFormat="false" ht="12.75" hidden="false" customHeight="false" outlineLevel="0" collapsed="false">
      <c r="A15" s="172" t="n">
        <v>37012</v>
      </c>
      <c r="B15" s="223" t="s">
        <v>179</v>
      </c>
      <c r="C15" s="224" t="s">
        <v>71</v>
      </c>
      <c r="D15" s="175" t="n">
        <v>65879.34</v>
      </c>
      <c r="E15" s="173"/>
      <c r="F15" s="176"/>
      <c r="G15" s="175" t="n">
        <f aca="false">100466*0.66777</f>
        <v>67088.18082</v>
      </c>
      <c r="H15" s="225" t="n">
        <f aca="false">+G15-D15</f>
        <v>1208.84082</v>
      </c>
      <c r="I15" s="177" t="n">
        <f aca="false">+H15*F15</f>
        <v>0</v>
      </c>
      <c r="J15" s="177" t="n">
        <f aca="false">+H15</f>
        <v>1208.84082</v>
      </c>
      <c r="K15" s="229"/>
      <c r="L15" s="230"/>
    </row>
    <row r="16" customFormat="false" ht="12.75" hidden="false" customHeight="false" outlineLevel="0" collapsed="false">
      <c r="A16" s="172" t="n">
        <v>37043</v>
      </c>
      <c r="B16" s="223" t="s">
        <v>179</v>
      </c>
      <c r="C16" s="224" t="s">
        <v>71</v>
      </c>
      <c r="D16" s="175" t="n">
        <v>63754.1</v>
      </c>
      <c r="E16" s="173"/>
      <c r="F16" s="176"/>
      <c r="G16" s="175" t="n">
        <f aca="false">97225*0.66777</f>
        <v>64923.93825</v>
      </c>
      <c r="H16" s="225" t="n">
        <f aca="false">+G16-D16</f>
        <v>1169.83825</v>
      </c>
      <c r="I16" s="177" t="n">
        <f aca="false">+H16*F16</f>
        <v>0</v>
      </c>
      <c r="J16" s="177" t="n">
        <f aca="false">+H16</f>
        <v>1169.83825</v>
      </c>
      <c r="K16" s="229"/>
      <c r="L16" s="230"/>
    </row>
    <row r="17" customFormat="false" ht="12.75" hidden="false" customHeight="false" outlineLevel="0" collapsed="false">
      <c r="A17" s="172" t="n">
        <v>37073</v>
      </c>
      <c r="B17" s="223" t="s">
        <v>179</v>
      </c>
      <c r="C17" s="224" t="s">
        <v>71</v>
      </c>
      <c r="D17" s="175" t="n">
        <v>65879.34</v>
      </c>
      <c r="E17" s="173"/>
      <c r="F17" s="176"/>
      <c r="G17" s="175" t="n">
        <f aca="false">100466*0.66777</f>
        <v>67088.18082</v>
      </c>
      <c r="H17" s="225" t="n">
        <f aca="false">+G17-D17</f>
        <v>1208.84082</v>
      </c>
      <c r="I17" s="177" t="n">
        <f aca="false">+H17*F17</f>
        <v>0</v>
      </c>
      <c r="J17" s="177" t="n">
        <f aca="false">+H17</f>
        <v>1208.84082</v>
      </c>
      <c r="K17" s="229"/>
      <c r="L17" s="230"/>
    </row>
    <row r="18" customFormat="false" ht="12.75" hidden="false" customHeight="false" outlineLevel="0" collapsed="false">
      <c r="A18" s="172" t="n">
        <v>37104</v>
      </c>
      <c r="B18" s="223" t="s">
        <v>179</v>
      </c>
      <c r="C18" s="224" t="s">
        <v>71</v>
      </c>
      <c r="D18" s="175" t="n">
        <v>65879.34</v>
      </c>
      <c r="E18" s="173"/>
      <c r="F18" s="176"/>
      <c r="G18" s="175" t="n">
        <f aca="false">100466*0.66777</f>
        <v>67088.18082</v>
      </c>
      <c r="H18" s="225" t="n">
        <f aca="false">+G18-D18</f>
        <v>1208.84082</v>
      </c>
      <c r="I18" s="177" t="n">
        <f aca="false">+H18*F18</f>
        <v>0</v>
      </c>
      <c r="J18" s="177" t="n">
        <f aca="false">+H18</f>
        <v>1208.84082</v>
      </c>
      <c r="K18" s="229"/>
      <c r="L18" s="230"/>
    </row>
    <row r="19" customFormat="false" ht="12.75" hidden="false" customHeight="false" outlineLevel="0" collapsed="false">
      <c r="A19" s="172" t="n">
        <v>37135</v>
      </c>
      <c r="B19" s="223" t="s">
        <v>179</v>
      </c>
      <c r="C19" s="224" t="s">
        <v>71</v>
      </c>
      <c r="D19" s="175" t="n">
        <v>63754.1</v>
      </c>
      <c r="E19" s="173"/>
      <c r="F19" s="176"/>
      <c r="G19" s="175" t="n">
        <f aca="false">97225*0.66777</f>
        <v>64923.93825</v>
      </c>
      <c r="H19" s="225" t="n">
        <f aca="false">+G19-D19</f>
        <v>1169.83825</v>
      </c>
      <c r="I19" s="177" t="n">
        <f aca="false">+H19*F19</f>
        <v>0</v>
      </c>
      <c r="J19" s="177" t="n">
        <f aca="false">+H19</f>
        <v>1169.83825</v>
      </c>
      <c r="K19" s="229"/>
      <c r="L19" s="230"/>
    </row>
    <row r="20" customFormat="false" ht="12.75" hidden="false" customHeight="false" outlineLevel="0" collapsed="false">
      <c r="A20" s="172" t="n">
        <v>37165</v>
      </c>
      <c r="B20" s="223" t="s">
        <v>179</v>
      </c>
      <c r="C20" s="224" t="s">
        <v>71</v>
      </c>
      <c r="D20" s="175" t="n">
        <v>65879.34</v>
      </c>
      <c r="E20" s="173"/>
      <c r="F20" s="176"/>
      <c r="G20" s="175" t="n">
        <f aca="false">100466*0.66777</f>
        <v>67088.18082</v>
      </c>
      <c r="H20" s="225" t="n">
        <f aca="false">+G20-D20</f>
        <v>1208.84082</v>
      </c>
      <c r="I20" s="177" t="n">
        <f aca="false">+H20*F20</f>
        <v>0</v>
      </c>
      <c r="J20" s="177" t="n">
        <f aca="false">+H20</f>
        <v>1208.84082</v>
      </c>
      <c r="K20" s="229"/>
      <c r="L20" s="230"/>
    </row>
    <row r="21" customFormat="false" ht="12.75" hidden="false" customHeight="false" outlineLevel="0" collapsed="false">
      <c r="A21" s="172" t="n">
        <v>37196</v>
      </c>
      <c r="B21" s="223" t="s">
        <v>179</v>
      </c>
      <c r="C21" s="224" t="s">
        <v>71</v>
      </c>
      <c r="D21" s="175" t="n">
        <v>63754.1</v>
      </c>
      <c r="E21" s="173"/>
      <c r="F21" s="176"/>
      <c r="G21" s="175" t="n">
        <f aca="false">97225*0.66777</f>
        <v>64923.93825</v>
      </c>
      <c r="H21" s="225" t="n">
        <f aca="false">+G21-D21</f>
        <v>1169.83825</v>
      </c>
      <c r="I21" s="177" t="n">
        <f aca="false">+H21*F21</f>
        <v>0</v>
      </c>
      <c r="J21" s="177" t="n">
        <f aca="false">+H21</f>
        <v>1169.83825</v>
      </c>
      <c r="K21" s="229"/>
      <c r="L21" s="230"/>
    </row>
    <row r="22" customFormat="false" ht="12.75" hidden="false" customHeight="false" outlineLevel="0" collapsed="false">
      <c r="A22" s="172" t="n">
        <v>37226</v>
      </c>
      <c r="B22" s="223" t="s">
        <v>179</v>
      </c>
      <c r="C22" s="224" t="s">
        <v>71</v>
      </c>
      <c r="D22" s="175" t="n">
        <v>65879.34</v>
      </c>
      <c r="E22" s="173"/>
      <c r="F22" s="176"/>
      <c r="G22" s="175" t="n">
        <f aca="false">100466*0.66777</f>
        <v>67088.18082</v>
      </c>
      <c r="H22" s="225" t="n">
        <f aca="false">+G22-D22</f>
        <v>1208.84082</v>
      </c>
      <c r="I22" s="177" t="n">
        <f aca="false">+H22*F22</f>
        <v>0</v>
      </c>
      <c r="J22" s="177" t="n">
        <f aca="false">+H22</f>
        <v>1208.84082</v>
      </c>
      <c r="K22" s="229"/>
      <c r="L22" s="230"/>
    </row>
    <row r="23" customFormat="false" ht="12.75" hidden="false" customHeight="false" outlineLevel="0" collapsed="false">
      <c r="A23" s="172" t="n">
        <v>37257</v>
      </c>
      <c r="B23" s="223" t="s">
        <v>179</v>
      </c>
      <c r="C23" s="224" t="s">
        <v>71</v>
      </c>
      <c r="D23" s="175" t="n">
        <v>65879.34</v>
      </c>
      <c r="E23" s="173"/>
      <c r="F23" s="176"/>
      <c r="G23" s="175" t="n">
        <f aca="false">100466*0.66777</f>
        <v>67088.18082</v>
      </c>
      <c r="H23" s="225" t="n">
        <f aca="false">+G23-D23</f>
        <v>1208.84082</v>
      </c>
      <c r="I23" s="177" t="n">
        <f aca="false">+H23*F23</f>
        <v>0</v>
      </c>
      <c r="J23" s="177" t="n">
        <f aca="false">+H23</f>
        <v>1208.84082</v>
      </c>
      <c r="K23" s="229"/>
      <c r="L23" s="230"/>
    </row>
    <row r="24" customFormat="false" ht="12.75" hidden="false" customHeight="false" outlineLevel="0" collapsed="false">
      <c r="A24" s="172" t="n">
        <v>37288</v>
      </c>
      <c r="B24" s="223" t="s">
        <v>179</v>
      </c>
      <c r="C24" s="224" t="s">
        <v>71</v>
      </c>
      <c r="D24" s="175" t="n">
        <v>59504.26</v>
      </c>
      <c r="E24" s="173"/>
      <c r="F24" s="176"/>
      <c r="G24" s="175" t="n">
        <f aca="false">97225*0.66777</f>
        <v>64923.93825</v>
      </c>
      <c r="H24" s="225" t="n">
        <f aca="false">+G24-D24</f>
        <v>5419.67825</v>
      </c>
      <c r="I24" s="177" t="n">
        <f aca="false">+H24*F24</f>
        <v>0</v>
      </c>
      <c r="J24" s="177" t="n">
        <f aca="false">+H24</f>
        <v>5419.67825</v>
      </c>
      <c r="K24" s="229"/>
      <c r="L24" s="230"/>
    </row>
    <row r="25" customFormat="false" ht="12.75" hidden="false" customHeight="false" outlineLevel="0" collapsed="false">
      <c r="A25" s="172" t="n">
        <v>37316</v>
      </c>
      <c r="B25" s="223" t="s">
        <v>179</v>
      </c>
      <c r="C25" s="224" t="s">
        <v>71</v>
      </c>
      <c r="D25" s="175" t="n">
        <v>65879.34</v>
      </c>
      <c r="E25" s="173"/>
      <c r="F25" s="176"/>
      <c r="G25" s="175" t="n">
        <f aca="false">100466*0.66777</f>
        <v>67088.18082</v>
      </c>
      <c r="H25" s="225" t="n">
        <f aca="false">+G25-D25</f>
        <v>1208.84082</v>
      </c>
      <c r="I25" s="177" t="n">
        <f aca="false">+H25*F25</f>
        <v>0</v>
      </c>
      <c r="J25" s="177" t="n">
        <f aca="false">+H25</f>
        <v>1208.84082</v>
      </c>
      <c r="K25" s="229"/>
      <c r="L25" s="230"/>
    </row>
    <row r="26" customFormat="false" ht="12.75" hidden="false" customHeight="false" outlineLevel="0" collapsed="false">
      <c r="A26" s="172" t="n">
        <v>37347</v>
      </c>
      <c r="B26" s="223" t="s">
        <v>179</v>
      </c>
      <c r="C26" s="224" t="s">
        <v>71</v>
      </c>
      <c r="D26" s="175" t="n">
        <v>63754.1</v>
      </c>
      <c r="E26" s="173"/>
      <c r="F26" s="176"/>
      <c r="G26" s="175" t="n">
        <f aca="false">97225*0.66777</f>
        <v>64923.93825</v>
      </c>
      <c r="H26" s="225" t="n">
        <f aca="false">+G26-D26</f>
        <v>1169.83825</v>
      </c>
      <c r="I26" s="177" t="n">
        <f aca="false">+H26*F26</f>
        <v>0</v>
      </c>
      <c r="J26" s="177" t="n">
        <f aca="false">+H26</f>
        <v>1169.83825</v>
      </c>
      <c r="K26" s="229"/>
      <c r="L26" s="230"/>
    </row>
    <row r="27" customFormat="false" ht="12.75" hidden="false" customHeight="false" outlineLevel="0" collapsed="false">
      <c r="A27" s="172" t="n">
        <v>37377</v>
      </c>
      <c r="B27" s="223" t="s">
        <v>179</v>
      </c>
      <c r="C27" s="224" t="s">
        <v>71</v>
      </c>
      <c r="D27" s="175" t="n">
        <v>65879.34</v>
      </c>
      <c r="E27" s="173"/>
      <c r="F27" s="176"/>
      <c r="G27" s="175" t="n">
        <f aca="false">100466*0.66777</f>
        <v>67088.18082</v>
      </c>
      <c r="H27" s="225" t="n">
        <f aca="false">+G27-D27</f>
        <v>1208.84082</v>
      </c>
      <c r="I27" s="177" t="n">
        <f aca="false">+H27*F27</f>
        <v>0</v>
      </c>
      <c r="J27" s="177" t="n">
        <f aca="false">+H27</f>
        <v>1208.84082</v>
      </c>
      <c r="K27" s="229"/>
      <c r="L27" s="230"/>
    </row>
    <row r="28" customFormat="false" ht="12.75" hidden="false" customHeight="false" outlineLevel="0" collapsed="false">
      <c r="A28" s="172" t="n">
        <v>37408</v>
      </c>
      <c r="B28" s="223" t="s">
        <v>179</v>
      </c>
      <c r="C28" s="224" t="s">
        <v>71</v>
      </c>
      <c r="D28" s="175" t="n">
        <v>63754.1</v>
      </c>
      <c r="E28" s="173"/>
      <c r="F28" s="176"/>
      <c r="G28" s="175" t="n">
        <f aca="false">97225*0.66777</f>
        <v>64923.93825</v>
      </c>
      <c r="H28" s="225" t="n">
        <f aca="false">+G28-D28</f>
        <v>1169.83825</v>
      </c>
      <c r="I28" s="177" t="n">
        <f aca="false">+H28*F28</f>
        <v>0</v>
      </c>
      <c r="J28" s="177" t="n">
        <f aca="false">+H28</f>
        <v>1169.83825</v>
      </c>
      <c r="K28" s="229"/>
      <c r="L28" s="230"/>
    </row>
    <row r="29" customFormat="false" ht="12.75" hidden="false" customHeight="false" outlineLevel="0" collapsed="false">
      <c r="A29" s="172" t="n">
        <v>37438</v>
      </c>
      <c r="B29" s="223" t="s">
        <v>179</v>
      </c>
      <c r="C29" s="224" t="s">
        <v>71</v>
      </c>
      <c r="D29" s="175" t="n">
        <v>65879.34</v>
      </c>
      <c r="E29" s="173"/>
      <c r="F29" s="176"/>
      <c r="G29" s="175" t="n">
        <f aca="false">100466*0.66777</f>
        <v>67088.18082</v>
      </c>
      <c r="H29" s="225" t="n">
        <f aca="false">+G29-D29</f>
        <v>1208.84082</v>
      </c>
      <c r="I29" s="177" t="n">
        <f aca="false">+H29*F29</f>
        <v>0</v>
      </c>
      <c r="J29" s="177" t="n">
        <f aca="false">+H29</f>
        <v>1208.84082</v>
      </c>
      <c r="K29" s="229"/>
      <c r="L29" s="230"/>
    </row>
    <row r="30" customFormat="false" ht="12.75" hidden="false" customHeight="false" outlineLevel="0" collapsed="false">
      <c r="A30" s="172" t="n">
        <v>37469</v>
      </c>
      <c r="B30" s="223" t="s">
        <v>179</v>
      </c>
      <c r="C30" s="224" t="s">
        <v>71</v>
      </c>
      <c r="D30" s="175" t="n">
        <v>65879.34</v>
      </c>
      <c r="E30" s="173"/>
      <c r="F30" s="176"/>
      <c r="G30" s="175" t="n">
        <f aca="false">100466*0.66777</f>
        <v>67088.18082</v>
      </c>
      <c r="H30" s="225" t="n">
        <f aca="false">+G30-D30</f>
        <v>1208.84082</v>
      </c>
      <c r="I30" s="177" t="n">
        <f aca="false">+H30*F30</f>
        <v>0</v>
      </c>
      <c r="J30" s="177" t="n">
        <f aca="false">+H30</f>
        <v>1208.84082</v>
      </c>
      <c r="K30" s="229"/>
      <c r="L30" s="230"/>
    </row>
    <row r="31" customFormat="false" ht="12.75" hidden="false" customHeight="false" outlineLevel="0" collapsed="false">
      <c r="A31" s="172" t="n">
        <v>37500</v>
      </c>
      <c r="B31" s="223" t="s">
        <v>179</v>
      </c>
      <c r="C31" s="224" t="s">
        <v>71</v>
      </c>
      <c r="D31" s="175" t="n">
        <v>63754.1</v>
      </c>
      <c r="E31" s="173"/>
      <c r="F31" s="176"/>
      <c r="G31" s="175" t="n">
        <f aca="false">97225*0.66777</f>
        <v>64923.93825</v>
      </c>
      <c r="H31" s="225" t="n">
        <f aca="false">+G31-D31</f>
        <v>1169.83825</v>
      </c>
      <c r="I31" s="177" t="n">
        <f aca="false">+H31*F31</f>
        <v>0</v>
      </c>
      <c r="J31" s="177" t="n">
        <f aca="false">+H31</f>
        <v>1169.83825</v>
      </c>
      <c r="K31" s="229"/>
      <c r="L31" s="230"/>
    </row>
    <row r="32" customFormat="false" ht="12.75" hidden="false" customHeight="false" outlineLevel="0" collapsed="false">
      <c r="A32" s="172" t="n">
        <v>37530</v>
      </c>
      <c r="B32" s="223" t="s">
        <v>179</v>
      </c>
      <c r="C32" s="224" t="s">
        <v>71</v>
      </c>
      <c r="D32" s="175" t="n">
        <v>65879.34</v>
      </c>
      <c r="E32" s="173"/>
      <c r="F32" s="176"/>
      <c r="G32" s="175" t="n">
        <f aca="false">100466*0.66777</f>
        <v>67088.18082</v>
      </c>
      <c r="H32" s="225" t="n">
        <f aca="false">+G32-D32</f>
        <v>1208.84082</v>
      </c>
      <c r="I32" s="177" t="n">
        <f aca="false">+H32*F32</f>
        <v>0</v>
      </c>
      <c r="J32" s="177" t="n">
        <f aca="false">+H32</f>
        <v>1208.84082</v>
      </c>
      <c r="K32" s="229"/>
      <c r="L32" s="230"/>
    </row>
    <row r="33" customFormat="false" ht="12.75" hidden="false" customHeight="false" outlineLevel="0" collapsed="false">
      <c r="A33" s="172"/>
      <c r="B33" s="223"/>
      <c r="C33" s="174"/>
      <c r="D33" s="175"/>
      <c r="E33" s="173"/>
      <c r="F33" s="176"/>
      <c r="G33" s="175"/>
      <c r="H33" s="225"/>
      <c r="I33" s="177"/>
      <c r="J33" s="177"/>
      <c r="K33" s="229"/>
    </row>
    <row r="34" customFormat="false" ht="12.75" hidden="false" customHeight="false" outlineLevel="0" collapsed="false">
      <c r="A34" s="172"/>
      <c r="B34" s="173"/>
      <c r="C34" s="174"/>
      <c r="D34" s="175"/>
      <c r="E34" s="173"/>
      <c r="F34" s="176"/>
      <c r="G34" s="175"/>
      <c r="H34" s="225"/>
      <c r="I34" s="177"/>
      <c r="J34" s="177"/>
      <c r="K34" s="229"/>
    </row>
    <row r="35" customFormat="false" ht="12.75" hidden="false" customHeight="false" outlineLevel="0" collapsed="false">
      <c r="A35" s="172"/>
      <c r="B35" s="173"/>
      <c r="C35" s="174"/>
      <c r="D35" s="175"/>
      <c r="E35" s="173"/>
      <c r="F35" s="176"/>
      <c r="G35" s="175"/>
      <c r="H35" s="225"/>
      <c r="I35" s="177"/>
      <c r="J35" s="177"/>
      <c r="K35" s="229"/>
    </row>
    <row r="36" customFormat="false" ht="13.5" hidden="false" customHeight="false" outlineLevel="0" collapsed="false">
      <c r="A36" s="172"/>
      <c r="B36" s="173"/>
      <c r="C36" s="174"/>
      <c r="D36" s="231" t="n">
        <f aca="false">SUM(D9:D35)</f>
        <v>1551352.08</v>
      </c>
      <c r="E36" s="207"/>
      <c r="F36" s="232" t="n">
        <f aca="false">SUM(F9:F35)</f>
        <v>0</v>
      </c>
      <c r="G36" s="231" t="n">
        <f aca="false">SUM(G9:G35)</f>
        <v>1583591.21754</v>
      </c>
      <c r="H36" s="201" t="n">
        <f aca="false">SUM(H9:H35)</f>
        <v>32239.13754</v>
      </c>
      <c r="I36" s="201" t="n">
        <f aca="false">SUM(I9:I35)</f>
        <v>1823.80000000001</v>
      </c>
      <c r="J36" s="201" t="n">
        <f aca="false">SUM(J9:J35)</f>
        <v>30415.33754</v>
      </c>
      <c r="K36" s="233"/>
    </row>
    <row r="37" customFormat="false" ht="13.5" hidden="false" customHeight="false" outlineLevel="0" collapsed="false">
      <c r="A37" s="172"/>
      <c r="B37" s="173"/>
      <c r="C37" s="174"/>
      <c r="D37" s="175"/>
      <c r="E37" s="173"/>
      <c r="G37" s="173"/>
      <c r="H37" s="225"/>
      <c r="I37" s="177"/>
      <c r="J37" s="234"/>
      <c r="K37" s="233"/>
    </row>
    <row r="38" customFormat="false" ht="12.75" hidden="false" customHeight="false" outlineLevel="0" collapsed="false">
      <c r="A38" s="192"/>
      <c r="B38" s="192"/>
      <c r="C38" s="192"/>
      <c r="D38" s="192"/>
      <c r="E38" s="192"/>
      <c r="F38" s="192"/>
      <c r="G38" s="192"/>
      <c r="H38" s="235"/>
      <c r="I38" s="197"/>
      <c r="J38" s="236"/>
      <c r="K38" s="237"/>
    </row>
    <row r="39" customFormat="false" ht="12.75" hidden="false" customHeight="false" outlineLevel="0" collapsed="false">
      <c r="I39" s="233"/>
      <c r="J39" s="233"/>
      <c r="K39" s="237"/>
    </row>
    <row r="40" customFormat="false" ht="12.75" hidden="false" customHeight="false" outlineLevel="0" collapsed="false">
      <c r="A40" s="5"/>
      <c r="I40" s="233"/>
      <c r="J40" s="233"/>
    </row>
    <row r="41" customFormat="false" ht="12.75" hidden="false" customHeight="false" outlineLevel="0" collapsed="false">
      <c r="I41" s="233"/>
      <c r="J41" s="233"/>
    </row>
    <row r="42" customFormat="false" ht="12.75" hidden="false" customHeight="false" outlineLevel="0" collapsed="false">
      <c r="I42" s="233"/>
      <c r="J42" s="233"/>
    </row>
    <row r="43" customFormat="false" ht="12.75" hidden="false" customHeight="false" outlineLevel="0" collapsed="false">
      <c r="I43" s="233"/>
      <c r="J43" s="233"/>
    </row>
    <row r="44" customFormat="false" ht="12.75" hidden="false" customHeight="false" outlineLevel="0" collapsed="false">
      <c r="I44" s="233"/>
      <c r="J44" s="233"/>
    </row>
    <row r="45" customFormat="false" ht="12.75" hidden="false" customHeight="false" outlineLevel="0" collapsed="false">
      <c r="I45" s="233"/>
      <c r="J45" s="233"/>
    </row>
    <row r="46" customFormat="false" ht="12.75" hidden="false" customHeight="false" outlineLevel="0" collapsed="false">
      <c r="I46" s="233"/>
      <c r="J46" s="233"/>
    </row>
    <row r="47" customFormat="false" ht="12.75" hidden="false" customHeight="false" outlineLevel="0" collapsed="false">
      <c r="I47" s="233"/>
      <c r="J47" s="233"/>
    </row>
    <row r="48" customFormat="false" ht="12.75" hidden="false" customHeight="false" outlineLevel="0" collapsed="false">
      <c r="I48" s="233"/>
      <c r="J48" s="233"/>
    </row>
    <row r="49" customFormat="false" ht="12.75" hidden="false" customHeight="false" outlineLevel="0" collapsed="false">
      <c r="I49" s="233"/>
      <c r="J49" s="233"/>
    </row>
    <row r="50" customFormat="false" ht="12.75" hidden="false" customHeight="false" outlineLevel="0" collapsed="false">
      <c r="I50" s="233"/>
      <c r="J50" s="233"/>
    </row>
    <row r="51" customFormat="false" ht="12.75" hidden="false" customHeight="false" outlineLevel="0" collapsed="false">
      <c r="I51" s="233"/>
      <c r="J51" s="233"/>
    </row>
    <row r="52" customFormat="false" ht="12.75" hidden="false" customHeight="false" outlineLevel="0" collapsed="false">
      <c r="I52" s="233"/>
      <c r="J52" s="233"/>
    </row>
    <row r="53" customFormat="false" ht="12.75" hidden="false" customHeight="false" outlineLevel="0" collapsed="false">
      <c r="I53" s="233"/>
      <c r="J53" s="233"/>
    </row>
    <row r="54" customFormat="false" ht="12.75" hidden="false" customHeight="false" outlineLevel="0" collapsed="false">
      <c r="I54" s="233"/>
      <c r="J54" s="233"/>
    </row>
    <row r="55" customFormat="false" ht="12.75" hidden="false" customHeight="false" outlineLevel="0" collapsed="false">
      <c r="I55" s="233"/>
      <c r="J55" s="233"/>
    </row>
    <row r="56" customFormat="false" ht="12.75" hidden="false" customHeight="false" outlineLevel="0" collapsed="false">
      <c r="I56" s="233"/>
      <c r="J56" s="233"/>
    </row>
    <row r="57" customFormat="false" ht="12.75" hidden="false" customHeight="false" outlineLevel="0" collapsed="false">
      <c r="I57" s="233"/>
      <c r="J57" s="233"/>
    </row>
    <row r="58" customFormat="false" ht="12.75" hidden="false" customHeight="false" outlineLevel="0" collapsed="false">
      <c r="I58" s="233"/>
      <c r="J58" s="233"/>
    </row>
    <row r="59" customFormat="false" ht="12.75" hidden="false" customHeight="false" outlineLevel="0" collapsed="false">
      <c r="I59" s="233"/>
      <c r="J59" s="233"/>
    </row>
    <row r="60" customFormat="false" ht="12.75" hidden="false" customHeight="false" outlineLevel="0" collapsed="false">
      <c r="I60" s="233"/>
      <c r="J60" s="233"/>
    </row>
    <row r="61" customFormat="false" ht="12.75" hidden="false" customHeight="false" outlineLevel="0" collapsed="false">
      <c r="I61" s="233"/>
      <c r="J61" s="233"/>
    </row>
    <row r="62" customFormat="false" ht="12.75" hidden="false" customHeight="false" outlineLevel="0" collapsed="false">
      <c r="I62" s="233"/>
      <c r="J62" s="233"/>
    </row>
  </sheetData>
  <mergeCells count="5">
    <mergeCell ref="A1:K1"/>
    <mergeCell ref="A2:K2"/>
    <mergeCell ref="A3:K3"/>
    <mergeCell ref="A4:K4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C3" colorId="64" zoomScale="100" zoomScaleNormal="100" zoomScalePageLayoutView="100" workbookViewId="0">
      <selection pane="topLeft" activeCell="G14" activeCellId="0" sqref="G1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3.7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9" min="9" style="1" width="14.99"/>
    <col collapsed="false" customWidth="true" hidden="false" outlineLevel="0" max="10" min="10" style="1" width="13.41"/>
    <col collapsed="false" customWidth="true" hidden="false" outlineLevel="0" max="11" min="11" style="1" width="14.99"/>
    <col collapsed="false" customWidth="false" hidden="false" outlineLevel="0" max="257" min="12" style="1" width="9.14"/>
  </cols>
  <sheetData>
    <row r="1" customFormat="false" ht="10.5" hidden="false" customHeight="false" outlineLevel="0" collapsed="false">
      <c r="A1" s="3" t="s">
        <v>144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180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 t="s">
        <v>181</v>
      </c>
      <c r="B3" s="3"/>
      <c r="C3" s="3"/>
      <c r="D3" s="3"/>
      <c r="E3" s="3"/>
      <c r="F3" s="3"/>
      <c r="G3" s="3"/>
      <c r="H3" s="3"/>
      <c r="I3" s="3"/>
      <c r="J3" s="3"/>
      <c r="K3" s="3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  <c r="IW3" s="238"/>
    </row>
    <row r="4" customFormat="false" ht="11.25" hidden="false" customHeight="false" outlineLevel="0" collapsed="false">
      <c r="A4" s="239" t="s">
        <v>182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38"/>
      <c r="HG4" s="238"/>
      <c r="HH4" s="238"/>
      <c r="HI4" s="238"/>
      <c r="HJ4" s="238"/>
      <c r="HK4" s="238"/>
      <c r="HL4" s="238"/>
      <c r="HM4" s="238"/>
      <c r="HN4" s="238"/>
      <c r="HO4" s="238"/>
      <c r="HP4" s="238"/>
      <c r="HQ4" s="238"/>
      <c r="HR4" s="238"/>
      <c r="HS4" s="238"/>
      <c r="HT4" s="238"/>
      <c r="HU4" s="238"/>
      <c r="HV4" s="238"/>
      <c r="HW4" s="238"/>
      <c r="HX4" s="238"/>
      <c r="HY4" s="238"/>
      <c r="HZ4" s="238"/>
      <c r="IA4" s="238"/>
      <c r="IB4" s="238"/>
      <c r="IC4" s="238"/>
      <c r="ID4" s="238"/>
      <c r="IE4" s="238"/>
      <c r="IF4" s="238"/>
      <c r="IG4" s="238"/>
      <c r="IH4" s="238"/>
      <c r="II4" s="238"/>
      <c r="IJ4" s="238"/>
      <c r="IK4" s="238"/>
      <c r="IL4" s="238"/>
      <c r="IM4" s="238"/>
      <c r="IN4" s="238"/>
      <c r="IO4" s="238"/>
      <c r="IP4" s="238"/>
      <c r="IQ4" s="238"/>
      <c r="IR4" s="238"/>
      <c r="IS4" s="238"/>
      <c r="IT4" s="238"/>
      <c r="IU4" s="238"/>
      <c r="IV4" s="238"/>
      <c r="IW4" s="238"/>
    </row>
    <row r="6" customFormat="false" ht="10.5" hidden="false" customHeight="false" outlineLevel="0" collapsed="false">
      <c r="A6" s="240" t="s">
        <v>129</v>
      </c>
      <c r="B6" s="241" t="s">
        <v>6</v>
      </c>
      <c r="C6" s="241" t="s">
        <v>6</v>
      </c>
      <c r="D6" s="241" t="s">
        <v>30</v>
      </c>
      <c r="E6" s="241"/>
      <c r="F6" s="241" t="s">
        <v>183</v>
      </c>
      <c r="G6" s="241" t="s">
        <v>71</v>
      </c>
      <c r="H6" s="241"/>
      <c r="I6" s="242" t="s">
        <v>131</v>
      </c>
      <c r="J6" s="242"/>
      <c r="K6" s="24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0.5" hidden="false" customHeight="false" outlineLevel="0" collapsed="false">
      <c r="A7" s="243" t="s">
        <v>16</v>
      </c>
      <c r="B7" s="244" t="s">
        <v>13</v>
      </c>
      <c r="C7" s="244" t="s">
        <v>12</v>
      </c>
      <c r="D7" s="244" t="s">
        <v>184</v>
      </c>
      <c r="E7" s="244"/>
      <c r="F7" s="244" t="s">
        <v>185</v>
      </c>
      <c r="G7" s="244" t="s">
        <v>186</v>
      </c>
      <c r="H7" s="244"/>
      <c r="I7" s="244" t="s">
        <v>23</v>
      </c>
      <c r="J7" s="244" t="s">
        <v>24</v>
      </c>
      <c r="K7" s="245" t="s">
        <v>25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1.25" hidden="false" customHeight="false" outlineLevel="0" collapsed="false">
      <c r="A8" s="246"/>
      <c r="B8" s="247"/>
      <c r="C8" s="247"/>
      <c r="D8" s="244" t="s">
        <v>187</v>
      </c>
      <c r="E8" s="247"/>
      <c r="F8" s="247"/>
      <c r="G8" s="248" t="s">
        <v>165</v>
      </c>
      <c r="H8" s="244"/>
      <c r="I8" s="244" t="s">
        <v>136</v>
      </c>
      <c r="J8" s="244" t="s">
        <v>136</v>
      </c>
      <c r="K8" s="245" t="s">
        <v>136</v>
      </c>
    </row>
    <row r="9" customFormat="false" ht="11.25" hidden="false" customHeight="false" outlineLevel="0" collapsed="false">
      <c r="A9" s="249"/>
      <c r="B9" s="250"/>
      <c r="C9" s="250"/>
      <c r="D9" s="251" t="n">
        <v>0.01</v>
      </c>
      <c r="E9" s="250"/>
      <c r="F9" s="250"/>
      <c r="G9" s="252"/>
      <c r="H9" s="253"/>
      <c r="I9" s="253"/>
      <c r="J9" s="253"/>
      <c r="K9" s="254"/>
    </row>
    <row r="10" customFormat="false" ht="11.25" hidden="false" customHeight="false" outlineLevel="0" collapsed="false">
      <c r="A10" s="255" t="n">
        <v>37347</v>
      </c>
      <c r="B10" s="27"/>
      <c r="C10" s="26" t="s">
        <v>71</v>
      </c>
      <c r="D10" s="20" t="n">
        <f aca="false">+'[5]Henry Hub'!$E$15+D9</f>
        <v>4.58</v>
      </c>
      <c r="E10" s="27"/>
      <c r="F10" s="32" t="n">
        <v>500000</v>
      </c>
      <c r="G10" s="20"/>
      <c r="H10" s="20"/>
      <c r="I10" s="49" t="n">
        <f aca="false">+F10*D10</f>
        <v>2290000</v>
      </c>
      <c r="J10" s="23"/>
      <c r="K10" s="23" t="n">
        <f aca="false">+I10</f>
        <v>2290000</v>
      </c>
    </row>
    <row r="11" customFormat="false" ht="11.25" hidden="false" customHeight="false" outlineLevel="0" collapsed="false">
      <c r="A11" s="255"/>
      <c r="B11" s="27"/>
      <c r="C11" s="26"/>
      <c r="D11" s="20"/>
      <c r="E11" s="27"/>
      <c r="F11" s="32"/>
      <c r="G11" s="27"/>
      <c r="H11" s="20"/>
      <c r="I11" s="49"/>
      <c r="J11" s="25"/>
      <c r="K11" s="23"/>
    </row>
    <row r="12" customFormat="false" ht="11.25" hidden="false" customHeight="false" outlineLevel="0" collapsed="false">
      <c r="A12" s="27"/>
      <c r="B12" s="27"/>
      <c r="C12" s="27"/>
      <c r="D12" s="27"/>
      <c r="E12" s="27"/>
      <c r="F12" s="37" t="n">
        <f aca="false">SUM(F10)</f>
        <v>500000</v>
      </c>
      <c r="G12" s="27"/>
      <c r="H12" s="27"/>
      <c r="I12" s="35" t="n">
        <f aca="false">SUM(I10)</f>
        <v>2290000</v>
      </c>
      <c r="J12" s="35" t="n">
        <f aca="false">SUM(J10)</f>
        <v>0</v>
      </c>
      <c r="K12" s="35" t="n">
        <f aca="false">SUM(K10)</f>
        <v>2290000</v>
      </c>
    </row>
    <row r="13" customFormat="false" ht="11.25" hidden="false" customHeight="false" outlineLevel="0" collapsed="false">
      <c r="A13" s="27"/>
      <c r="B13" s="27"/>
      <c r="C13" s="27"/>
      <c r="D13" s="27"/>
      <c r="E13" s="27"/>
      <c r="F13" s="36"/>
      <c r="G13" s="27"/>
      <c r="H13" s="27"/>
      <c r="I13" s="65"/>
      <c r="J13" s="256"/>
      <c r="K13" s="256"/>
    </row>
    <row r="14" customFormat="false" ht="11.25" hidden="false" customHeight="false" outlineLevel="0" collapsed="false">
      <c r="A14" s="255" t="n">
        <v>37347</v>
      </c>
      <c r="B14" s="27"/>
      <c r="C14" s="26" t="s">
        <v>30</v>
      </c>
      <c r="D14" s="27"/>
      <c r="E14" s="27"/>
      <c r="F14" s="257" t="n">
        <v>-500000</v>
      </c>
      <c r="G14" s="111" t="n">
        <f aca="false">+[5]Demarc!$E$26</f>
        <v>4.59</v>
      </c>
      <c r="H14" s="60"/>
      <c r="I14" s="49" t="n">
        <f aca="false">+F14*G14</f>
        <v>-2295000</v>
      </c>
      <c r="J14" s="25"/>
      <c r="K14" s="23" t="n">
        <f aca="false">+I14</f>
        <v>-2295000</v>
      </c>
    </row>
    <row r="15" customFormat="false" ht="11.25" hidden="false" customHeight="false" outlineLevel="0" collapsed="false">
      <c r="A15" s="27"/>
      <c r="B15" s="27"/>
      <c r="C15" s="27"/>
      <c r="D15" s="20"/>
      <c r="E15" s="27"/>
      <c r="F15" s="94"/>
      <c r="G15" s="258"/>
      <c r="H15" s="28"/>
      <c r="I15" s="94"/>
      <c r="J15" s="94"/>
      <c r="K15" s="99"/>
    </row>
    <row r="16" customFormat="false" ht="11.25" hidden="false" customHeight="false" outlineLevel="0" collapsed="false">
      <c r="A16" s="255"/>
      <c r="B16" s="27"/>
      <c r="C16" s="26"/>
      <c r="D16" s="20"/>
      <c r="E16" s="27"/>
      <c r="F16" s="259" t="n">
        <f aca="false">SUM(F14:F15)</f>
        <v>-500000</v>
      </c>
      <c r="G16" s="20"/>
      <c r="H16" s="20"/>
      <c r="I16" s="49" t="n">
        <f aca="false">SUM(I14:I15)</f>
        <v>-2295000</v>
      </c>
      <c r="J16" s="49" t="n">
        <f aca="false">SUM(J14:J15)</f>
        <v>0</v>
      </c>
      <c r="K16" s="49" t="n">
        <f aca="false">SUM(K14:K15)</f>
        <v>-2295000</v>
      </c>
    </row>
    <row r="17" customFormat="false" ht="11.25" hidden="false" customHeight="false" outlineLevel="0" collapsed="false">
      <c r="A17" s="255"/>
      <c r="B17" s="27"/>
      <c r="C17" s="26"/>
      <c r="D17" s="20"/>
      <c r="E17" s="27"/>
      <c r="F17" s="32"/>
      <c r="G17" s="20"/>
      <c r="H17" s="20"/>
      <c r="I17" s="49"/>
      <c r="J17" s="23"/>
      <c r="K17" s="23"/>
    </row>
    <row r="18" customFormat="false" ht="11.2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5"/>
      <c r="K18" s="25"/>
    </row>
    <row r="19" customFormat="false" ht="12" hidden="false" customHeight="false" outlineLevel="0" collapsed="false">
      <c r="A19" s="27"/>
      <c r="B19" s="27"/>
      <c r="C19" s="27"/>
      <c r="D19" s="27"/>
      <c r="E19" s="27"/>
      <c r="F19" s="260" t="n">
        <f aca="false">+F12+F16</f>
        <v>0</v>
      </c>
      <c r="G19" s="27"/>
      <c r="H19" s="27"/>
      <c r="I19" s="261" t="n">
        <f aca="false">+I12+I16</f>
        <v>-5000</v>
      </c>
      <c r="J19" s="261" t="n">
        <f aca="false">+J12+J16</f>
        <v>0</v>
      </c>
      <c r="K19" s="261" t="n">
        <f aca="false">+K12+K16</f>
        <v>-5000</v>
      </c>
    </row>
    <row r="20" customFormat="false" ht="12" hidden="false" customHeight="false" outlineLevel="0" collapsed="false">
      <c r="A20" s="94"/>
      <c r="B20" s="94"/>
      <c r="C20" s="94"/>
      <c r="D20" s="94"/>
      <c r="E20" s="94"/>
      <c r="F20" s="94"/>
      <c r="G20" s="94"/>
      <c r="H20" s="94"/>
      <c r="I20" s="94"/>
      <c r="J20" s="99"/>
      <c r="K20" s="99"/>
    </row>
    <row r="22" customFormat="false" ht="11.25" hidden="false" customHeight="false" outlineLevel="0" collapsed="false">
      <c r="A22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3.7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9" min="9" style="1" width="14.99"/>
    <col collapsed="false" customWidth="true" hidden="false" outlineLevel="0" max="10" min="10" style="1" width="13.41"/>
    <col collapsed="false" customWidth="true" hidden="false" outlineLevel="0" max="11" min="11" style="1" width="14.99"/>
    <col collapsed="false" customWidth="false" hidden="false" outlineLevel="0" max="257" min="12" style="1" width="9.14"/>
  </cols>
  <sheetData>
    <row r="1" customFormat="false" ht="10.5" hidden="false" customHeight="false" outlineLevel="0" collapsed="false">
      <c r="A1" s="3" t="s">
        <v>144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180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 t="s">
        <v>188</v>
      </c>
      <c r="B3" s="3"/>
      <c r="C3" s="3"/>
      <c r="D3" s="3"/>
      <c r="E3" s="3"/>
      <c r="F3" s="3"/>
      <c r="G3" s="3"/>
      <c r="H3" s="3"/>
      <c r="I3" s="3"/>
      <c r="J3" s="3"/>
      <c r="K3" s="3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  <c r="IW3" s="238"/>
    </row>
    <row r="4" customFormat="false" ht="11.25" hidden="false" customHeight="false" outlineLevel="0" collapsed="false">
      <c r="A4" s="239" t="s">
        <v>189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38"/>
      <c r="HG4" s="238"/>
      <c r="HH4" s="238"/>
      <c r="HI4" s="238"/>
      <c r="HJ4" s="238"/>
      <c r="HK4" s="238"/>
      <c r="HL4" s="238"/>
      <c r="HM4" s="238"/>
      <c r="HN4" s="238"/>
      <c r="HO4" s="238"/>
      <c r="HP4" s="238"/>
      <c r="HQ4" s="238"/>
      <c r="HR4" s="238"/>
      <c r="HS4" s="238"/>
      <c r="HT4" s="238"/>
      <c r="HU4" s="238"/>
      <c r="HV4" s="238"/>
      <c r="HW4" s="238"/>
      <c r="HX4" s="238"/>
      <c r="HY4" s="238"/>
      <c r="HZ4" s="238"/>
      <c r="IA4" s="238"/>
      <c r="IB4" s="238"/>
      <c r="IC4" s="238"/>
      <c r="ID4" s="238"/>
      <c r="IE4" s="238"/>
      <c r="IF4" s="238"/>
      <c r="IG4" s="238"/>
      <c r="IH4" s="238"/>
      <c r="II4" s="238"/>
      <c r="IJ4" s="238"/>
      <c r="IK4" s="238"/>
      <c r="IL4" s="238"/>
      <c r="IM4" s="238"/>
      <c r="IN4" s="238"/>
      <c r="IO4" s="238"/>
      <c r="IP4" s="238"/>
      <c r="IQ4" s="238"/>
      <c r="IR4" s="238"/>
      <c r="IS4" s="238"/>
      <c r="IT4" s="238"/>
      <c r="IU4" s="238"/>
      <c r="IV4" s="238"/>
      <c r="IW4" s="238"/>
    </row>
    <row r="6" customFormat="false" ht="10.5" hidden="false" customHeight="false" outlineLevel="0" collapsed="false">
      <c r="A6" s="240" t="s">
        <v>129</v>
      </c>
      <c r="B6" s="241" t="s">
        <v>6</v>
      </c>
      <c r="C6" s="241" t="s">
        <v>6</v>
      </c>
      <c r="D6" s="241" t="s">
        <v>79</v>
      </c>
      <c r="E6" s="241"/>
      <c r="F6" s="241" t="s">
        <v>183</v>
      </c>
      <c r="G6" s="241" t="s">
        <v>30</v>
      </c>
      <c r="H6" s="241"/>
      <c r="I6" s="242" t="s">
        <v>131</v>
      </c>
      <c r="J6" s="242"/>
      <c r="K6" s="24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0.5" hidden="false" customHeight="false" outlineLevel="0" collapsed="false">
      <c r="A7" s="243" t="s">
        <v>16</v>
      </c>
      <c r="B7" s="244" t="s">
        <v>13</v>
      </c>
      <c r="C7" s="244" t="s">
        <v>12</v>
      </c>
      <c r="D7" s="244" t="s">
        <v>184</v>
      </c>
      <c r="E7" s="244"/>
      <c r="F7" s="244" t="s">
        <v>185</v>
      </c>
      <c r="G7" s="244" t="s">
        <v>186</v>
      </c>
      <c r="H7" s="244"/>
      <c r="I7" s="244" t="s">
        <v>23</v>
      </c>
      <c r="J7" s="244" t="s">
        <v>24</v>
      </c>
      <c r="K7" s="245" t="s">
        <v>25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1.25" hidden="false" customHeight="false" outlineLevel="0" collapsed="false">
      <c r="A8" s="246"/>
      <c r="B8" s="247"/>
      <c r="C8" s="247"/>
      <c r="D8" s="244" t="s">
        <v>187</v>
      </c>
      <c r="E8" s="247"/>
      <c r="F8" s="247"/>
      <c r="G8" s="248" t="s">
        <v>165</v>
      </c>
      <c r="H8" s="244"/>
      <c r="I8" s="244" t="s">
        <v>136</v>
      </c>
      <c r="J8" s="244" t="s">
        <v>136</v>
      </c>
      <c r="K8" s="245" t="s">
        <v>136</v>
      </c>
    </row>
    <row r="9" customFormat="false" ht="11.25" hidden="false" customHeight="false" outlineLevel="0" collapsed="false">
      <c r="A9" s="249"/>
      <c r="B9" s="250"/>
      <c r="C9" s="250"/>
      <c r="D9" s="251" t="n">
        <v>0.06</v>
      </c>
      <c r="E9" s="250"/>
      <c r="F9" s="250"/>
      <c r="G9" s="252"/>
      <c r="H9" s="253"/>
      <c r="I9" s="253"/>
      <c r="J9" s="253"/>
      <c r="K9" s="254"/>
    </row>
    <row r="10" customFormat="false" ht="11.25" hidden="false" customHeight="false" outlineLevel="0" collapsed="false">
      <c r="A10" s="255" t="n">
        <v>37347</v>
      </c>
      <c r="B10" s="27"/>
      <c r="C10" s="26" t="s">
        <v>71</v>
      </c>
      <c r="D10" s="20" t="n">
        <f aca="false">+'[5]Henry Hub'!$E$15+D9</f>
        <v>4.63</v>
      </c>
      <c r="E10" s="27"/>
      <c r="F10" s="32" t="n">
        <v>-500000</v>
      </c>
      <c r="G10" s="20"/>
      <c r="H10" s="20"/>
      <c r="I10" s="49" t="n">
        <f aca="false">+F10*D10</f>
        <v>-2315000</v>
      </c>
      <c r="J10" s="23"/>
      <c r="K10" s="23" t="n">
        <f aca="false">+I10</f>
        <v>-2315000</v>
      </c>
    </row>
    <row r="11" customFormat="false" ht="11.25" hidden="false" customHeight="false" outlineLevel="0" collapsed="false">
      <c r="A11" s="255"/>
      <c r="B11" s="27"/>
      <c r="C11" s="26"/>
      <c r="D11" s="20"/>
      <c r="E11" s="27"/>
      <c r="F11" s="32"/>
      <c r="G11" s="27"/>
      <c r="H11" s="20"/>
      <c r="I11" s="49"/>
      <c r="J11" s="25"/>
      <c r="K11" s="23"/>
    </row>
    <row r="12" customFormat="false" ht="11.25" hidden="false" customHeight="false" outlineLevel="0" collapsed="false">
      <c r="A12" s="27"/>
      <c r="B12" s="27"/>
      <c r="C12" s="27"/>
      <c r="D12" s="27"/>
      <c r="E12" s="27"/>
      <c r="F12" s="37" t="n">
        <f aca="false">SUM(F10)</f>
        <v>-500000</v>
      </c>
      <c r="G12" s="27"/>
      <c r="H12" s="27"/>
      <c r="I12" s="35" t="n">
        <f aca="false">SUM(I10)</f>
        <v>-2315000</v>
      </c>
      <c r="J12" s="35" t="n">
        <f aca="false">SUM(J10)</f>
        <v>0</v>
      </c>
      <c r="K12" s="35" t="n">
        <f aca="false">SUM(K10)</f>
        <v>-2315000</v>
      </c>
    </row>
    <row r="13" customFormat="false" ht="11.25" hidden="false" customHeight="false" outlineLevel="0" collapsed="false">
      <c r="A13" s="27"/>
      <c r="B13" s="27"/>
      <c r="C13" s="27"/>
      <c r="D13" s="27"/>
      <c r="E13" s="27"/>
      <c r="F13" s="36"/>
      <c r="G13" s="27"/>
      <c r="H13" s="27"/>
      <c r="I13" s="65"/>
      <c r="J13" s="256"/>
      <c r="K13" s="256"/>
    </row>
    <row r="14" customFormat="false" ht="11.25" hidden="false" customHeight="false" outlineLevel="0" collapsed="false">
      <c r="A14" s="255" t="n">
        <v>37347</v>
      </c>
      <c r="B14" s="27"/>
      <c r="C14" s="26" t="s">
        <v>30</v>
      </c>
      <c r="D14" s="27"/>
      <c r="E14" s="27"/>
      <c r="F14" s="257" t="n">
        <v>500000</v>
      </c>
      <c r="G14" s="111" t="n">
        <f aca="false">+[5]Demarc!$E$26</f>
        <v>4.59</v>
      </c>
      <c r="H14" s="60"/>
      <c r="I14" s="49" t="n">
        <f aca="false">+F14*G14</f>
        <v>2295000</v>
      </c>
      <c r="J14" s="25"/>
      <c r="K14" s="23" t="n">
        <f aca="false">+I14</f>
        <v>2295000</v>
      </c>
    </row>
    <row r="15" customFormat="false" ht="11.25" hidden="false" customHeight="false" outlineLevel="0" collapsed="false">
      <c r="A15" s="27"/>
      <c r="B15" s="27"/>
      <c r="C15" s="27"/>
      <c r="D15" s="20"/>
      <c r="E15" s="27"/>
      <c r="F15" s="94"/>
      <c r="G15" s="258"/>
      <c r="H15" s="28"/>
      <c r="I15" s="94"/>
      <c r="J15" s="94"/>
      <c r="K15" s="99"/>
    </row>
    <row r="16" customFormat="false" ht="11.25" hidden="false" customHeight="false" outlineLevel="0" collapsed="false">
      <c r="A16" s="255"/>
      <c r="B16" s="27"/>
      <c r="C16" s="26"/>
      <c r="D16" s="20"/>
      <c r="E16" s="27"/>
      <c r="F16" s="259" t="n">
        <f aca="false">SUM(F14:F15)</f>
        <v>500000</v>
      </c>
      <c r="G16" s="20"/>
      <c r="H16" s="20"/>
      <c r="I16" s="49" t="n">
        <f aca="false">SUM(I14:I15)</f>
        <v>2295000</v>
      </c>
      <c r="J16" s="49" t="n">
        <f aca="false">SUM(J14:J15)</f>
        <v>0</v>
      </c>
      <c r="K16" s="49" t="n">
        <f aca="false">SUM(K14:K15)</f>
        <v>2295000</v>
      </c>
    </row>
    <row r="17" customFormat="false" ht="11.25" hidden="false" customHeight="false" outlineLevel="0" collapsed="false">
      <c r="A17" s="255"/>
      <c r="B17" s="27"/>
      <c r="C17" s="26"/>
      <c r="D17" s="20"/>
      <c r="E17" s="27"/>
      <c r="F17" s="32"/>
      <c r="G17" s="20"/>
      <c r="H17" s="20"/>
      <c r="I17" s="49"/>
      <c r="J17" s="23"/>
      <c r="K17" s="23"/>
    </row>
    <row r="18" customFormat="false" ht="11.2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5"/>
      <c r="K18" s="25"/>
    </row>
    <row r="19" customFormat="false" ht="12" hidden="false" customHeight="false" outlineLevel="0" collapsed="false">
      <c r="A19" s="27"/>
      <c r="B19" s="27"/>
      <c r="C19" s="27"/>
      <c r="D19" s="27"/>
      <c r="E19" s="27"/>
      <c r="F19" s="260" t="n">
        <f aca="false">+F12+F16</f>
        <v>0</v>
      </c>
      <c r="G19" s="27"/>
      <c r="H19" s="27"/>
      <c r="I19" s="261" t="n">
        <f aca="false">+I12+I16</f>
        <v>-20000</v>
      </c>
      <c r="J19" s="261" t="n">
        <f aca="false">+J12+J16</f>
        <v>0</v>
      </c>
      <c r="K19" s="261" t="n">
        <f aca="false">+K12+K16</f>
        <v>-20000</v>
      </c>
    </row>
    <row r="20" customFormat="false" ht="12" hidden="false" customHeight="false" outlineLevel="0" collapsed="false">
      <c r="A20" s="94"/>
      <c r="B20" s="94"/>
      <c r="C20" s="94"/>
      <c r="D20" s="94"/>
      <c r="E20" s="94"/>
      <c r="F20" s="94"/>
      <c r="G20" s="94"/>
      <c r="H20" s="94"/>
      <c r="I20" s="94"/>
      <c r="J20" s="99"/>
      <c r="K20" s="99"/>
    </row>
    <row r="22" customFormat="false" ht="11.25" hidden="false" customHeight="false" outlineLevel="0" collapsed="false">
      <c r="A22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G24" activeCellId="0" sqref="G2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3.7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9" min="9" style="1" width="14.99"/>
    <col collapsed="false" customWidth="true" hidden="false" outlineLevel="0" max="10" min="10" style="1" width="13.41"/>
    <col collapsed="false" customWidth="true" hidden="false" outlineLevel="0" max="11" min="11" style="1" width="14.99"/>
    <col collapsed="false" customWidth="false" hidden="false" outlineLevel="0" max="257" min="12" style="1" width="9.14"/>
  </cols>
  <sheetData>
    <row r="1" customFormat="false" ht="10.5" hidden="false" customHeight="false" outlineLevel="0" collapsed="false">
      <c r="A1" s="3" t="s">
        <v>144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180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 t="s">
        <v>190</v>
      </c>
      <c r="B3" s="3"/>
      <c r="C3" s="3"/>
      <c r="D3" s="3"/>
      <c r="E3" s="3"/>
      <c r="F3" s="3"/>
      <c r="G3" s="3"/>
      <c r="H3" s="3"/>
      <c r="I3" s="3"/>
      <c r="J3" s="3"/>
      <c r="K3" s="3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  <c r="IW3" s="238"/>
    </row>
    <row r="4" customFormat="false" ht="11.25" hidden="false" customHeight="false" outlineLevel="0" collapsed="false">
      <c r="A4" s="239" t="s">
        <v>191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38"/>
      <c r="HG4" s="238"/>
      <c r="HH4" s="238"/>
      <c r="HI4" s="238"/>
      <c r="HJ4" s="238"/>
      <c r="HK4" s="238"/>
      <c r="HL4" s="238"/>
      <c r="HM4" s="238"/>
      <c r="HN4" s="238"/>
      <c r="HO4" s="238"/>
      <c r="HP4" s="238"/>
      <c r="HQ4" s="238"/>
      <c r="HR4" s="238"/>
      <c r="HS4" s="238"/>
      <c r="HT4" s="238"/>
      <c r="HU4" s="238"/>
      <c r="HV4" s="238"/>
      <c r="HW4" s="238"/>
      <c r="HX4" s="238"/>
      <c r="HY4" s="238"/>
      <c r="HZ4" s="238"/>
      <c r="IA4" s="238"/>
      <c r="IB4" s="238"/>
      <c r="IC4" s="238"/>
      <c r="ID4" s="238"/>
      <c r="IE4" s="238"/>
      <c r="IF4" s="238"/>
      <c r="IG4" s="238"/>
      <c r="IH4" s="238"/>
      <c r="II4" s="238"/>
      <c r="IJ4" s="238"/>
      <c r="IK4" s="238"/>
      <c r="IL4" s="238"/>
      <c r="IM4" s="238"/>
      <c r="IN4" s="238"/>
      <c r="IO4" s="238"/>
      <c r="IP4" s="238"/>
      <c r="IQ4" s="238"/>
      <c r="IR4" s="238"/>
      <c r="IS4" s="238"/>
      <c r="IT4" s="238"/>
      <c r="IU4" s="238"/>
      <c r="IV4" s="238"/>
      <c r="IW4" s="238"/>
    </row>
    <row r="6" customFormat="false" ht="10.5" hidden="false" customHeight="false" outlineLevel="0" collapsed="false">
      <c r="A6" s="240" t="s">
        <v>129</v>
      </c>
      <c r="B6" s="241" t="s">
        <v>6</v>
      </c>
      <c r="C6" s="241" t="s">
        <v>6</v>
      </c>
      <c r="D6" s="241" t="s">
        <v>192</v>
      </c>
      <c r="E6" s="241"/>
      <c r="F6" s="241" t="s">
        <v>183</v>
      </c>
      <c r="G6" s="241" t="s">
        <v>30</v>
      </c>
      <c r="H6" s="241"/>
      <c r="I6" s="242" t="s">
        <v>131</v>
      </c>
      <c r="J6" s="242"/>
      <c r="K6" s="24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0.5" hidden="false" customHeight="false" outlineLevel="0" collapsed="false">
      <c r="A7" s="243" t="s">
        <v>16</v>
      </c>
      <c r="B7" s="244" t="s">
        <v>13</v>
      </c>
      <c r="C7" s="244" t="s">
        <v>12</v>
      </c>
      <c r="D7" s="244" t="s">
        <v>184</v>
      </c>
      <c r="E7" s="244"/>
      <c r="F7" s="244" t="s">
        <v>185</v>
      </c>
      <c r="G7" s="244" t="s">
        <v>186</v>
      </c>
      <c r="H7" s="244"/>
      <c r="I7" s="244" t="s">
        <v>23</v>
      </c>
      <c r="J7" s="244" t="s">
        <v>24</v>
      </c>
      <c r="K7" s="245" t="s">
        <v>25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1.25" hidden="false" customHeight="false" outlineLevel="0" collapsed="false">
      <c r="A8" s="246"/>
      <c r="B8" s="247"/>
      <c r="C8" s="247"/>
      <c r="D8" s="244"/>
      <c r="E8" s="247"/>
      <c r="F8" s="247"/>
      <c r="G8" s="248" t="s">
        <v>193</v>
      </c>
      <c r="H8" s="244"/>
      <c r="I8" s="244" t="s">
        <v>136</v>
      </c>
      <c r="J8" s="244" t="s">
        <v>136</v>
      </c>
      <c r="K8" s="245" t="s">
        <v>136</v>
      </c>
    </row>
    <row r="9" customFormat="false" ht="11.25" hidden="false" customHeight="false" outlineLevel="0" collapsed="false">
      <c r="A9" s="249"/>
      <c r="B9" s="250"/>
      <c r="C9" s="250"/>
      <c r="D9" s="251"/>
      <c r="E9" s="250"/>
      <c r="F9" s="250"/>
      <c r="G9" s="252"/>
      <c r="H9" s="253"/>
      <c r="I9" s="253"/>
      <c r="J9" s="253"/>
      <c r="K9" s="254"/>
    </row>
    <row r="10" customFormat="false" ht="11.25" hidden="false" customHeight="false" outlineLevel="0" collapsed="false">
      <c r="A10" s="255" t="n">
        <v>36923</v>
      </c>
      <c r="B10" s="27"/>
      <c r="C10" s="26" t="s">
        <v>192</v>
      </c>
      <c r="D10" s="20" t="n">
        <v>6.298</v>
      </c>
      <c r="E10" s="27"/>
      <c r="F10" s="32" t="n">
        <f aca="false">-20000*28</f>
        <v>-560000</v>
      </c>
      <c r="G10" s="20"/>
      <c r="H10" s="20"/>
      <c r="I10" s="49" t="n">
        <f aca="false">+F10*D10</f>
        <v>-3526880</v>
      </c>
      <c r="J10" s="23"/>
      <c r="K10" s="23" t="n">
        <f aca="false">+I10</f>
        <v>-3526880</v>
      </c>
    </row>
    <row r="11" customFormat="false" ht="11.25" hidden="false" customHeight="false" outlineLevel="0" collapsed="false">
      <c r="A11" s="255" t="n">
        <v>36951</v>
      </c>
      <c r="B11" s="27"/>
      <c r="C11" s="26" t="s">
        <v>192</v>
      </c>
      <c r="D11" s="20" t="n">
        <v>6.298</v>
      </c>
      <c r="E11" s="27"/>
      <c r="F11" s="32" t="n">
        <f aca="false">-20000*31</f>
        <v>-620000</v>
      </c>
      <c r="G11" s="20"/>
      <c r="H11" s="20"/>
      <c r="I11" s="49" t="n">
        <f aca="false">+F11*D11</f>
        <v>-3904760</v>
      </c>
      <c r="J11" s="23"/>
      <c r="K11" s="23" t="n">
        <f aca="false">+I11</f>
        <v>-3904760</v>
      </c>
    </row>
    <row r="12" customFormat="false" ht="11.25" hidden="false" customHeight="false" outlineLevel="0" collapsed="false">
      <c r="A12" s="255" t="n">
        <v>36982</v>
      </c>
      <c r="B12" s="27"/>
      <c r="C12" s="26" t="s">
        <v>192</v>
      </c>
      <c r="D12" s="20" t="n">
        <v>6.298</v>
      </c>
      <c r="E12" s="27"/>
      <c r="F12" s="32" t="n">
        <f aca="false">-20000*30</f>
        <v>-600000</v>
      </c>
      <c r="G12" s="20"/>
      <c r="H12" s="20"/>
      <c r="I12" s="49" t="n">
        <f aca="false">+F12*D12</f>
        <v>-3778800</v>
      </c>
      <c r="J12" s="23"/>
      <c r="K12" s="23" t="n">
        <f aca="false">+I12</f>
        <v>-3778800</v>
      </c>
    </row>
    <row r="13" customFormat="false" ht="11.25" hidden="false" customHeight="false" outlineLevel="0" collapsed="false">
      <c r="A13" s="255" t="n">
        <v>37012</v>
      </c>
      <c r="B13" s="27"/>
      <c r="C13" s="26" t="s">
        <v>192</v>
      </c>
      <c r="D13" s="20" t="n">
        <v>6.298</v>
      </c>
      <c r="E13" s="27"/>
      <c r="F13" s="32" t="n">
        <f aca="false">-20000*31</f>
        <v>-620000</v>
      </c>
      <c r="G13" s="20"/>
      <c r="H13" s="20"/>
      <c r="I13" s="49" t="n">
        <f aca="false">+F13*D13</f>
        <v>-3904760</v>
      </c>
      <c r="J13" s="23"/>
      <c r="K13" s="23" t="n">
        <f aca="false">+I13</f>
        <v>-3904760</v>
      </c>
    </row>
    <row r="14" customFormat="false" ht="11.25" hidden="false" customHeight="false" outlineLevel="0" collapsed="false">
      <c r="A14" s="255" t="n">
        <v>37043</v>
      </c>
      <c r="B14" s="27"/>
      <c r="C14" s="26" t="s">
        <v>192</v>
      </c>
      <c r="D14" s="20" t="n">
        <v>6.298</v>
      </c>
      <c r="E14" s="27"/>
      <c r="F14" s="32" t="n">
        <f aca="false">-20000*30</f>
        <v>-600000</v>
      </c>
      <c r="G14" s="20"/>
      <c r="H14" s="20"/>
      <c r="I14" s="49" t="n">
        <f aca="false">+F14*D14</f>
        <v>-3778800</v>
      </c>
      <c r="J14" s="23"/>
      <c r="K14" s="23" t="n">
        <f aca="false">+I14</f>
        <v>-3778800</v>
      </c>
    </row>
    <row r="15" customFormat="false" ht="11.25" hidden="false" customHeight="false" outlineLevel="0" collapsed="false">
      <c r="A15" s="255" t="n">
        <v>37073</v>
      </c>
      <c r="B15" s="27"/>
      <c r="C15" s="26" t="s">
        <v>192</v>
      </c>
      <c r="D15" s="20" t="n">
        <v>6.298</v>
      </c>
      <c r="E15" s="27"/>
      <c r="F15" s="32" t="n">
        <f aca="false">-20000*31</f>
        <v>-620000</v>
      </c>
      <c r="G15" s="20"/>
      <c r="H15" s="20"/>
      <c r="I15" s="49" t="n">
        <f aca="false">+F15*D15</f>
        <v>-3904760</v>
      </c>
      <c r="J15" s="23"/>
      <c r="K15" s="23" t="n">
        <f aca="false">+I15</f>
        <v>-3904760</v>
      </c>
    </row>
    <row r="16" customFormat="false" ht="11.25" hidden="false" customHeight="false" outlineLevel="0" collapsed="false">
      <c r="A16" s="255" t="n">
        <v>37104</v>
      </c>
      <c r="B16" s="27"/>
      <c r="C16" s="26" t="s">
        <v>192</v>
      </c>
      <c r="D16" s="20" t="n">
        <v>6.298</v>
      </c>
      <c r="E16" s="27"/>
      <c r="F16" s="32" t="n">
        <f aca="false">-20000*31</f>
        <v>-620000</v>
      </c>
      <c r="G16" s="20"/>
      <c r="H16" s="20"/>
      <c r="I16" s="49" t="n">
        <f aca="false">+F16*D16</f>
        <v>-3904760</v>
      </c>
      <c r="J16" s="23"/>
      <c r="K16" s="23" t="n">
        <f aca="false">+I16</f>
        <v>-3904760</v>
      </c>
    </row>
    <row r="17" customFormat="false" ht="11.25" hidden="false" customHeight="false" outlineLevel="0" collapsed="false">
      <c r="A17" s="255" t="n">
        <v>37135</v>
      </c>
      <c r="B17" s="27"/>
      <c r="C17" s="26" t="s">
        <v>192</v>
      </c>
      <c r="D17" s="20" t="n">
        <v>6.298</v>
      </c>
      <c r="E17" s="27"/>
      <c r="F17" s="32" t="n">
        <f aca="false">-20000*30</f>
        <v>-600000</v>
      </c>
      <c r="G17" s="20"/>
      <c r="H17" s="20"/>
      <c r="I17" s="49" t="n">
        <f aca="false">+F17*D17</f>
        <v>-3778800</v>
      </c>
      <c r="J17" s="23"/>
      <c r="K17" s="23" t="n">
        <f aca="false">+I17</f>
        <v>-3778800</v>
      </c>
    </row>
    <row r="18" customFormat="false" ht="11.25" hidden="false" customHeight="false" outlineLevel="0" collapsed="false">
      <c r="A18" s="255" t="n">
        <v>37165</v>
      </c>
      <c r="B18" s="27"/>
      <c r="C18" s="26" t="s">
        <v>192</v>
      </c>
      <c r="D18" s="20" t="n">
        <v>6.298</v>
      </c>
      <c r="E18" s="27"/>
      <c r="F18" s="32" t="n">
        <f aca="false">-20000*31</f>
        <v>-620000</v>
      </c>
      <c r="G18" s="20"/>
      <c r="H18" s="20"/>
      <c r="I18" s="49" t="n">
        <f aca="false">+F18*D18</f>
        <v>-3904760</v>
      </c>
      <c r="J18" s="23"/>
      <c r="K18" s="23" t="n">
        <f aca="false">+I18</f>
        <v>-3904760</v>
      </c>
    </row>
    <row r="19" customFormat="false" ht="11.25" hidden="false" customHeight="false" outlineLevel="0" collapsed="false">
      <c r="A19" s="255" t="n">
        <v>37196</v>
      </c>
      <c r="B19" s="27"/>
      <c r="C19" s="26" t="s">
        <v>192</v>
      </c>
      <c r="D19" s="20" t="n">
        <v>6.298</v>
      </c>
      <c r="E19" s="27"/>
      <c r="F19" s="32" t="n">
        <f aca="false">-20000*30</f>
        <v>-600000</v>
      </c>
      <c r="G19" s="20"/>
      <c r="H19" s="20"/>
      <c r="I19" s="49" t="n">
        <f aca="false">+F19*D19</f>
        <v>-3778800</v>
      </c>
      <c r="J19" s="23"/>
      <c r="K19" s="23" t="n">
        <f aca="false">+I19</f>
        <v>-3778800</v>
      </c>
    </row>
    <row r="20" customFormat="false" ht="11.25" hidden="false" customHeight="false" outlineLevel="0" collapsed="false">
      <c r="A20" s="255" t="n">
        <v>37226</v>
      </c>
      <c r="B20" s="27"/>
      <c r="C20" s="26" t="s">
        <v>192</v>
      </c>
      <c r="D20" s="20" t="n">
        <v>6.298</v>
      </c>
      <c r="E20" s="27"/>
      <c r="F20" s="39" t="n">
        <f aca="false">-20000*31</f>
        <v>-620000</v>
      </c>
      <c r="G20" s="20"/>
      <c r="H20" s="20"/>
      <c r="I20" s="52" t="n">
        <f aca="false">+F20*D20</f>
        <v>-3904760</v>
      </c>
      <c r="J20" s="40"/>
      <c r="K20" s="40" t="n">
        <f aca="false">+I20</f>
        <v>-3904760</v>
      </c>
    </row>
    <row r="21" customFormat="false" ht="11.25" hidden="false" customHeight="false" outlineLevel="0" collapsed="false">
      <c r="A21" s="255"/>
      <c r="B21" s="27"/>
      <c r="C21" s="26"/>
      <c r="D21" s="20"/>
      <c r="E21" s="27"/>
      <c r="F21" s="32" t="n">
        <f aca="false">SUM(F10:F20)</f>
        <v>-6680000</v>
      </c>
      <c r="G21" s="20"/>
      <c r="H21" s="20"/>
      <c r="I21" s="49" t="n">
        <f aca="false">SUM(I10:I20)</f>
        <v>-42070640</v>
      </c>
      <c r="J21" s="49" t="n">
        <f aca="false">SUM(J10:J20)</f>
        <v>0</v>
      </c>
      <c r="K21" s="23" t="n">
        <f aca="false">SUM(K10:K20)</f>
        <v>-42070640</v>
      </c>
    </row>
    <row r="22" customFormat="false" ht="11.25" hidden="false" customHeight="false" outlineLevel="0" collapsed="false">
      <c r="A22" s="255"/>
      <c r="B22" s="27"/>
      <c r="C22" s="26"/>
      <c r="D22" s="20"/>
      <c r="E22" s="27"/>
      <c r="F22" s="32"/>
      <c r="G22" s="20"/>
      <c r="H22" s="20"/>
      <c r="I22" s="49"/>
      <c r="J22" s="23"/>
      <c r="K22" s="23"/>
    </row>
    <row r="23" customFormat="false" ht="11.25" hidden="false" customHeight="false" outlineLevel="0" collapsed="false">
      <c r="A23" s="255"/>
      <c r="B23" s="27"/>
      <c r="C23" s="26"/>
      <c r="D23" s="20"/>
      <c r="E23" s="27"/>
      <c r="F23" s="32"/>
      <c r="G23" s="20"/>
      <c r="H23" s="20"/>
      <c r="I23" s="49"/>
      <c r="J23" s="23"/>
      <c r="K23" s="23"/>
    </row>
    <row r="24" customFormat="false" ht="11.25" hidden="false" customHeight="false" outlineLevel="0" collapsed="false">
      <c r="A24" s="255" t="n">
        <v>36923</v>
      </c>
      <c r="B24" s="27"/>
      <c r="C24" s="26" t="s">
        <v>30</v>
      </c>
      <c r="D24" s="20"/>
      <c r="E24" s="27"/>
      <c r="F24" s="32" t="n">
        <f aca="false">20000*28</f>
        <v>560000</v>
      </c>
      <c r="G24" s="20" t="n">
        <f aca="false">+[5]NYMEX!$C8</f>
        <v>6.293</v>
      </c>
      <c r="H24" s="20"/>
      <c r="I24" s="49" t="n">
        <f aca="false">+G24*F24</f>
        <v>3524080</v>
      </c>
      <c r="J24" s="23"/>
      <c r="K24" s="23" t="n">
        <f aca="false">+J24+I24</f>
        <v>3524080</v>
      </c>
    </row>
    <row r="25" customFormat="false" ht="11.25" hidden="false" customHeight="false" outlineLevel="0" collapsed="false">
      <c r="A25" s="255" t="n">
        <v>36951</v>
      </c>
      <c r="B25" s="27"/>
      <c r="C25" s="26" t="s">
        <v>30</v>
      </c>
      <c r="D25" s="20"/>
      <c r="E25" s="27"/>
      <c r="F25" s="32" t="n">
        <f aca="false">20000*31</f>
        <v>620000</v>
      </c>
      <c r="G25" s="20" t="n">
        <f aca="false">+[5]NYMEX!$C9</f>
        <v>5.707</v>
      </c>
      <c r="H25" s="20"/>
      <c r="I25" s="49" t="n">
        <f aca="false">+G25*F25</f>
        <v>3538340</v>
      </c>
      <c r="J25" s="23"/>
      <c r="K25" s="23" t="n">
        <f aca="false">+J25+I25</f>
        <v>3538340</v>
      </c>
    </row>
    <row r="26" customFormat="false" ht="11.25" hidden="false" customHeight="false" outlineLevel="0" collapsed="false">
      <c r="A26" s="255" t="n">
        <v>36982</v>
      </c>
      <c r="B26" s="27"/>
      <c r="C26" s="26" t="s">
        <v>30</v>
      </c>
      <c r="D26" s="20"/>
      <c r="E26" s="27"/>
      <c r="F26" s="32" t="n">
        <f aca="false">20000*30</f>
        <v>600000</v>
      </c>
      <c r="G26" s="20" t="n">
        <f aca="false">+[5]NYMEX!$C10</f>
        <v>5.3</v>
      </c>
      <c r="H26" s="20"/>
      <c r="I26" s="49" t="n">
        <f aca="false">+G26*F26</f>
        <v>3180000</v>
      </c>
      <c r="J26" s="23"/>
      <c r="K26" s="23" t="n">
        <f aca="false">+J26+I26</f>
        <v>3180000</v>
      </c>
    </row>
    <row r="27" customFormat="false" ht="11.25" hidden="false" customHeight="false" outlineLevel="0" collapsed="false">
      <c r="A27" s="255" t="n">
        <v>37012</v>
      </c>
      <c r="B27" s="27"/>
      <c r="C27" s="26" t="s">
        <v>30</v>
      </c>
      <c r="D27" s="20"/>
      <c r="E27" s="27"/>
      <c r="F27" s="32" t="n">
        <f aca="false">20000*31</f>
        <v>620000</v>
      </c>
      <c r="G27" s="20" t="n">
        <f aca="false">+[5]NYMEX!$C11</f>
        <v>5.16</v>
      </c>
      <c r="H27" s="20"/>
      <c r="I27" s="49" t="n">
        <f aca="false">+G27*F27</f>
        <v>3199200</v>
      </c>
      <c r="J27" s="23"/>
      <c r="K27" s="23" t="n">
        <f aca="false">+J27+I27</f>
        <v>3199200</v>
      </c>
    </row>
    <row r="28" customFormat="false" ht="11.25" hidden="false" customHeight="false" outlineLevel="0" collapsed="false">
      <c r="A28" s="255" t="n">
        <v>37043</v>
      </c>
      <c r="B28" s="27"/>
      <c r="C28" s="26" t="s">
        <v>30</v>
      </c>
      <c r="D28" s="20"/>
      <c r="E28" s="27"/>
      <c r="F28" s="32" t="n">
        <f aca="false">20000*30</f>
        <v>600000</v>
      </c>
      <c r="G28" s="20" t="n">
        <f aca="false">+[5]NYMEX!$C12</f>
        <v>5.18</v>
      </c>
      <c r="H28" s="20"/>
      <c r="I28" s="49" t="n">
        <f aca="false">+G28*F28</f>
        <v>3108000</v>
      </c>
      <c r="J28" s="23"/>
      <c r="K28" s="23" t="n">
        <f aca="false">+J28+I28</f>
        <v>3108000</v>
      </c>
    </row>
    <row r="29" customFormat="false" ht="11.25" hidden="false" customHeight="false" outlineLevel="0" collapsed="false">
      <c r="A29" s="255" t="n">
        <v>37073</v>
      </c>
      <c r="B29" s="27"/>
      <c r="C29" s="26" t="s">
        <v>30</v>
      </c>
      <c r="D29" s="20"/>
      <c r="E29" s="27"/>
      <c r="F29" s="32" t="n">
        <f aca="false">20000*31</f>
        <v>620000</v>
      </c>
      <c r="G29" s="20" t="n">
        <f aca="false">+[5]NYMEX!$C13</f>
        <v>5.22</v>
      </c>
      <c r="H29" s="20"/>
      <c r="I29" s="49" t="n">
        <f aca="false">+G29*F29</f>
        <v>3236400</v>
      </c>
      <c r="J29" s="23"/>
      <c r="K29" s="23" t="n">
        <f aca="false">+J29+I29</f>
        <v>3236400</v>
      </c>
    </row>
    <row r="30" customFormat="false" ht="11.25" hidden="false" customHeight="false" outlineLevel="0" collapsed="false">
      <c r="A30" s="255" t="n">
        <v>37104</v>
      </c>
      <c r="B30" s="27"/>
      <c r="C30" s="26" t="s">
        <v>30</v>
      </c>
      <c r="D30" s="20"/>
      <c r="E30" s="27"/>
      <c r="F30" s="32" t="n">
        <f aca="false">20000*31</f>
        <v>620000</v>
      </c>
      <c r="G30" s="20" t="n">
        <f aca="false">+[5]NYMEX!$C14</f>
        <v>5.23</v>
      </c>
      <c r="H30" s="20"/>
      <c r="I30" s="49" t="n">
        <f aca="false">+G30*F30</f>
        <v>3242600</v>
      </c>
      <c r="J30" s="23"/>
      <c r="K30" s="23" t="n">
        <f aca="false">+J30+I30</f>
        <v>3242600</v>
      </c>
    </row>
    <row r="31" customFormat="false" ht="11.25" hidden="false" customHeight="false" outlineLevel="0" collapsed="false">
      <c r="A31" s="255" t="n">
        <v>37135</v>
      </c>
      <c r="B31" s="27"/>
      <c r="C31" s="26" t="s">
        <v>30</v>
      </c>
      <c r="D31" s="20"/>
      <c r="E31" s="27"/>
      <c r="F31" s="32" t="n">
        <f aca="false">20000*30</f>
        <v>600000</v>
      </c>
      <c r="G31" s="20" t="n">
        <f aca="false">+[5]NYMEX!$C15</f>
        <v>5.2</v>
      </c>
      <c r="H31" s="20"/>
      <c r="I31" s="49" t="n">
        <f aca="false">+G31*F31</f>
        <v>3120000</v>
      </c>
      <c r="J31" s="23"/>
      <c r="K31" s="23" t="n">
        <f aca="false">+J31+I31</f>
        <v>3120000</v>
      </c>
    </row>
    <row r="32" customFormat="false" ht="11.25" hidden="false" customHeight="false" outlineLevel="0" collapsed="false">
      <c r="A32" s="255" t="n">
        <v>37165</v>
      </c>
      <c r="B32" s="27"/>
      <c r="C32" s="26" t="s">
        <v>30</v>
      </c>
      <c r="D32" s="20"/>
      <c r="E32" s="27"/>
      <c r="F32" s="32" t="n">
        <f aca="false">20000*31</f>
        <v>620000</v>
      </c>
      <c r="G32" s="20" t="n">
        <f aca="false">+[5]NYMEX!$C16</f>
        <v>5.215</v>
      </c>
      <c r="H32" s="20"/>
      <c r="I32" s="49" t="n">
        <f aca="false">+G32*F32</f>
        <v>3233300</v>
      </c>
      <c r="J32" s="23"/>
      <c r="K32" s="23" t="n">
        <f aca="false">+J32+I32</f>
        <v>3233300</v>
      </c>
    </row>
    <row r="33" customFormat="false" ht="11.25" hidden="false" customHeight="false" outlineLevel="0" collapsed="false">
      <c r="A33" s="255" t="n">
        <v>37196</v>
      </c>
      <c r="B33" s="27"/>
      <c r="C33" s="26" t="s">
        <v>30</v>
      </c>
      <c r="D33" s="20"/>
      <c r="E33" s="27"/>
      <c r="F33" s="32" t="n">
        <f aca="false">20000*30</f>
        <v>600000</v>
      </c>
      <c r="G33" s="20" t="n">
        <f aca="false">+[5]NYMEX!$C17</f>
        <v>5.305</v>
      </c>
      <c r="H33" s="20"/>
      <c r="I33" s="49" t="n">
        <f aca="false">+G33*F33</f>
        <v>3183000</v>
      </c>
      <c r="J33" s="23"/>
      <c r="K33" s="23" t="n">
        <f aca="false">+J33+I33</f>
        <v>3183000</v>
      </c>
    </row>
    <row r="34" customFormat="false" ht="11.25" hidden="false" customHeight="false" outlineLevel="0" collapsed="false">
      <c r="A34" s="255" t="n">
        <v>37226</v>
      </c>
      <c r="B34" s="27"/>
      <c r="C34" s="26" t="s">
        <v>30</v>
      </c>
      <c r="D34" s="20"/>
      <c r="E34" s="27"/>
      <c r="F34" s="39" t="n">
        <f aca="false">20000*31</f>
        <v>620000</v>
      </c>
      <c r="G34" s="20" t="n">
        <f aca="false">+[5]NYMEX!$C18</f>
        <v>5.44</v>
      </c>
      <c r="H34" s="20"/>
      <c r="I34" s="52" t="n">
        <f aca="false">+G34*F34</f>
        <v>3372800</v>
      </c>
      <c r="J34" s="40"/>
      <c r="K34" s="41" t="n">
        <f aca="false">+J34+I34</f>
        <v>3372800</v>
      </c>
    </row>
    <row r="35" customFormat="false" ht="11.25" hidden="false" customHeight="false" outlineLevel="0" collapsed="false">
      <c r="A35" s="255"/>
      <c r="B35" s="27"/>
      <c r="C35" s="26"/>
      <c r="D35" s="20"/>
      <c r="E35" s="27"/>
      <c r="F35" s="32" t="n">
        <f aca="false">SUM(F24:F34)</f>
        <v>6680000</v>
      </c>
      <c r="G35" s="20"/>
      <c r="H35" s="20"/>
      <c r="I35" s="49" t="n">
        <f aca="false">SUM(I24:I34)</f>
        <v>35937720</v>
      </c>
      <c r="J35" s="49" t="n">
        <f aca="false">SUM(J24:J34)</f>
        <v>0</v>
      </c>
      <c r="K35" s="49" t="n">
        <f aca="false">SUM(K24:K34)</f>
        <v>35937720</v>
      </c>
    </row>
    <row r="36" customFormat="false" ht="11.25" hidden="false" customHeight="false" outlineLevel="0" collapsed="false">
      <c r="A36" s="27"/>
      <c r="B36" s="27"/>
      <c r="C36" s="27"/>
      <c r="D36" s="27"/>
      <c r="E36" s="27"/>
      <c r="F36" s="27"/>
      <c r="G36" s="27" t="n">
        <f aca="false">SUM(G24:G34)/11</f>
        <v>5.38636363636364</v>
      </c>
      <c r="H36" s="27"/>
      <c r="I36" s="27"/>
      <c r="J36" s="25"/>
      <c r="K36" s="25"/>
    </row>
    <row r="37" customFormat="false" ht="12" hidden="false" customHeight="false" outlineLevel="0" collapsed="false">
      <c r="A37" s="27"/>
      <c r="B37" s="27"/>
      <c r="C37" s="27"/>
      <c r="D37" s="27"/>
      <c r="E37" s="27"/>
      <c r="F37" s="260" t="n">
        <f aca="false">+F21+F35</f>
        <v>0</v>
      </c>
      <c r="G37" s="27"/>
      <c r="H37" s="27"/>
      <c r="I37" s="261" t="n">
        <f aca="false">+I21+I35</f>
        <v>-6132920</v>
      </c>
      <c r="J37" s="261" t="n">
        <f aca="false">+J21+J35</f>
        <v>0</v>
      </c>
      <c r="K37" s="261" t="n">
        <f aca="false">+K21+K35</f>
        <v>-6132920</v>
      </c>
    </row>
    <row r="38" customFormat="false" ht="12" hidden="false" customHeight="false" outlineLevel="0" collapsed="false">
      <c r="A38" s="94"/>
      <c r="B38" s="94"/>
      <c r="C38" s="94"/>
      <c r="D38" s="94"/>
      <c r="E38" s="94"/>
      <c r="F38" s="94"/>
      <c r="G38" s="94"/>
      <c r="H38" s="94"/>
      <c r="I38" s="94"/>
      <c r="J38" s="99"/>
      <c r="K38" s="99"/>
    </row>
    <row r="40" customFormat="false" ht="11.25" hidden="false" customHeight="false" outlineLevel="0" collapsed="false">
      <c r="A40" s="5" t="s">
        <v>138</v>
      </c>
    </row>
    <row r="42" customFormat="false" ht="11.25" hidden="false" customHeight="false" outlineLevel="0" collapsed="false">
      <c r="G42" s="262"/>
    </row>
    <row r="43" customFormat="false" ht="11.25" hidden="false" customHeight="false" outlineLevel="0" collapsed="false">
      <c r="G43" s="263"/>
    </row>
    <row r="44" customFormat="false" ht="11.25" hidden="false" customHeight="false" outlineLevel="0" collapsed="false">
      <c r="G44" s="155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K38" activeCellId="0" sqref="K3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0.71"/>
    <col collapsed="false" customWidth="true" hidden="false" outlineLevel="0" max="3" min="3" style="1" width="13.7"/>
    <col collapsed="false" customWidth="true" hidden="false" outlineLevel="0" max="4" min="4" style="1" width="10.71"/>
    <col collapsed="false" customWidth="true" hidden="true" outlineLevel="0" max="5" min="5" style="1" width="9.06"/>
    <col collapsed="false" customWidth="true" hidden="false" outlineLevel="0" max="6" min="6" style="1" width="12.7"/>
    <col collapsed="false" customWidth="true" hidden="false" outlineLevel="0" max="7" min="7" style="1" width="14.28"/>
    <col collapsed="false" customWidth="true" hidden="false" outlineLevel="0" max="8" min="8" style="1" width="10.71"/>
    <col collapsed="false" customWidth="true" hidden="false" outlineLevel="0" max="9" min="9" style="1" width="14.99"/>
    <col collapsed="false" customWidth="true" hidden="false" outlineLevel="0" max="10" min="10" style="1" width="13.41"/>
    <col collapsed="false" customWidth="true" hidden="false" outlineLevel="0" max="11" min="11" style="1" width="14.99"/>
    <col collapsed="false" customWidth="false" hidden="false" outlineLevel="0" max="257" min="12" style="1" width="9.14"/>
  </cols>
  <sheetData>
    <row r="1" customFormat="false" ht="10.5" hidden="false" customHeight="false" outlineLevel="0" collapsed="false">
      <c r="A1" s="3" t="s">
        <v>144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180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 t="s">
        <v>190</v>
      </c>
      <c r="B3" s="3"/>
      <c r="C3" s="3"/>
      <c r="D3" s="3"/>
      <c r="E3" s="3"/>
      <c r="F3" s="3"/>
      <c r="G3" s="3"/>
      <c r="H3" s="3"/>
      <c r="I3" s="3"/>
      <c r="J3" s="3"/>
      <c r="K3" s="3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  <c r="IW3" s="238"/>
    </row>
    <row r="4" customFormat="false" ht="11.25" hidden="false" customHeight="false" outlineLevel="0" collapsed="false">
      <c r="A4" s="239" t="s">
        <v>191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38"/>
      <c r="HG4" s="238"/>
      <c r="HH4" s="238"/>
      <c r="HI4" s="238"/>
      <c r="HJ4" s="238"/>
      <c r="HK4" s="238"/>
      <c r="HL4" s="238"/>
      <c r="HM4" s="238"/>
      <c r="HN4" s="238"/>
      <c r="HO4" s="238"/>
      <c r="HP4" s="238"/>
      <c r="HQ4" s="238"/>
      <c r="HR4" s="238"/>
      <c r="HS4" s="238"/>
      <c r="HT4" s="238"/>
      <c r="HU4" s="238"/>
      <c r="HV4" s="238"/>
      <c r="HW4" s="238"/>
      <c r="HX4" s="238"/>
      <c r="HY4" s="238"/>
      <c r="HZ4" s="238"/>
      <c r="IA4" s="238"/>
      <c r="IB4" s="238"/>
      <c r="IC4" s="238"/>
      <c r="ID4" s="238"/>
      <c r="IE4" s="238"/>
      <c r="IF4" s="238"/>
      <c r="IG4" s="238"/>
      <c r="IH4" s="238"/>
      <c r="II4" s="238"/>
      <c r="IJ4" s="238"/>
      <c r="IK4" s="238"/>
      <c r="IL4" s="238"/>
      <c r="IM4" s="238"/>
      <c r="IN4" s="238"/>
      <c r="IO4" s="238"/>
      <c r="IP4" s="238"/>
      <c r="IQ4" s="238"/>
      <c r="IR4" s="238"/>
      <c r="IS4" s="238"/>
      <c r="IT4" s="238"/>
      <c r="IU4" s="238"/>
      <c r="IV4" s="238"/>
      <c r="IW4" s="238"/>
    </row>
    <row r="6" customFormat="false" ht="10.5" hidden="false" customHeight="false" outlineLevel="0" collapsed="false">
      <c r="A6" s="240" t="s">
        <v>129</v>
      </c>
      <c r="B6" s="241" t="s">
        <v>6</v>
      </c>
      <c r="C6" s="241" t="s">
        <v>6</v>
      </c>
      <c r="D6" s="241" t="s">
        <v>30</v>
      </c>
      <c r="E6" s="241"/>
      <c r="F6" s="241" t="s">
        <v>183</v>
      </c>
      <c r="G6" s="241" t="s">
        <v>192</v>
      </c>
      <c r="H6" s="241"/>
      <c r="I6" s="242" t="s">
        <v>131</v>
      </c>
      <c r="J6" s="242"/>
      <c r="K6" s="24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0.5" hidden="false" customHeight="false" outlineLevel="0" collapsed="false">
      <c r="A7" s="243" t="s">
        <v>16</v>
      </c>
      <c r="B7" s="244" t="s">
        <v>13</v>
      </c>
      <c r="C7" s="244" t="s">
        <v>12</v>
      </c>
      <c r="D7" s="244" t="s">
        <v>184</v>
      </c>
      <c r="E7" s="244"/>
      <c r="F7" s="244" t="s">
        <v>185</v>
      </c>
      <c r="G7" s="244" t="s">
        <v>186</v>
      </c>
      <c r="H7" s="244"/>
      <c r="I7" s="244" t="s">
        <v>23</v>
      </c>
      <c r="J7" s="244" t="s">
        <v>24</v>
      </c>
      <c r="K7" s="245" t="s">
        <v>25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1.25" hidden="false" customHeight="false" outlineLevel="0" collapsed="false">
      <c r="A8" s="246"/>
      <c r="B8" s="247"/>
      <c r="C8" s="247"/>
      <c r="D8" s="244"/>
      <c r="E8" s="247"/>
      <c r="F8" s="247"/>
      <c r="G8" s="248" t="s">
        <v>193</v>
      </c>
      <c r="H8" s="244"/>
      <c r="I8" s="244" t="s">
        <v>136</v>
      </c>
      <c r="J8" s="244" t="s">
        <v>136</v>
      </c>
      <c r="K8" s="245" t="s">
        <v>136</v>
      </c>
    </row>
    <row r="9" customFormat="false" ht="11.25" hidden="false" customHeight="false" outlineLevel="0" collapsed="false">
      <c r="A9" s="249"/>
      <c r="B9" s="250"/>
      <c r="C9" s="250"/>
      <c r="D9" s="251"/>
      <c r="E9" s="250"/>
      <c r="F9" s="250"/>
      <c r="G9" s="252"/>
      <c r="H9" s="253"/>
      <c r="I9" s="253"/>
      <c r="J9" s="253"/>
      <c r="K9" s="254"/>
    </row>
    <row r="10" customFormat="false" ht="11.25" hidden="false" customHeight="false" outlineLevel="0" collapsed="false">
      <c r="A10" s="255" t="n">
        <v>36923</v>
      </c>
      <c r="B10" s="27"/>
      <c r="C10" s="26" t="s">
        <v>30</v>
      </c>
      <c r="D10" s="20" t="n">
        <v>6.2</v>
      </c>
      <c r="E10" s="27"/>
      <c r="F10" s="32" t="n">
        <f aca="false">20000*28</f>
        <v>560000</v>
      </c>
      <c r="G10" s="20"/>
      <c r="H10" s="20"/>
      <c r="I10" s="49" t="n">
        <f aca="false">+F10*D10</f>
        <v>3472000</v>
      </c>
      <c r="J10" s="23"/>
      <c r="K10" s="23" t="n">
        <f aca="false">+I10</f>
        <v>3472000</v>
      </c>
    </row>
    <row r="11" customFormat="false" ht="11.25" hidden="false" customHeight="false" outlineLevel="0" collapsed="false">
      <c r="A11" s="255" t="n">
        <v>36951</v>
      </c>
      <c r="B11" s="27"/>
      <c r="C11" s="26" t="s">
        <v>30</v>
      </c>
      <c r="D11" s="20" t="n">
        <v>6.2</v>
      </c>
      <c r="E11" s="27"/>
      <c r="F11" s="32" t="n">
        <f aca="false">20000*31</f>
        <v>620000</v>
      </c>
      <c r="G11" s="20"/>
      <c r="H11" s="20"/>
      <c r="I11" s="49" t="n">
        <f aca="false">+F11*D11</f>
        <v>3844000</v>
      </c>
      <c r="J11" s="23"/>
      <c r="K11" s="23" t="n">
        <f aca="false">+I11</f>
        <v>3844000</v>
      </c>
    </row>
    <row r="12" customFormat="false" ht="11.25" hidden="false" customHeight="false" outlineLevel="0" collapsed="false">
      <c r="A12" s="255" t="n">
        <v>36982</v>
      </c>
      <c r="B12" s="27"/>
      <c r="C12" s="26" t="s">
        <v>30</v>
      </c>
      <c r="D12" s="20" t="n">
        <v>6.2</v>
      </c>
      <c r="E12" s="27"/>
      <c r="F12" s="32" t="n">
        <f aca="false">20000*30</f>
        <v>600000</v>
      </c>
      <c r="G12" s="20"/>
      <c r="H12" s="20"/>
      <c r="I12" s="49" t="n">
        <f aca="false">+F12*D12</f>
        <v>3720000</v>
      </c>
      <c r="J12" s="23"/>
      <c r="K12" s="23" t="n">
        <f aca="false">+I12</f>
        <v>3720000</v>
      </c>
    </row>
    <row r="13" customFormat="false" ht="11.25" hidden="false" customHeight="false" outlineLevel="0" collapsed="false">
      <c r="A13" s="255" t="n">
        <v>37012</v>
      </c>
      <c r="B13" s="27"/>
      <c r="C13" s="26" t="s">
        <v>30</v>
      </c>
      <c r="D13" s="20" t="n">
        <v>6.2</v>
      </c>
      <c r="E13" s="27"/>
      <c r="F13" s="32" t="n">
        <f aca="false">20000*31</f>
        <v>620000</v>
      </c>
      <c r="G13" s="20"/>
      <c r="H13" s="20"/>
      <c r="I13" s="49" t="n">
        <f aca="false">+F13*D13</f>
        <v>3844000</v>
      </c>
      <c r="J13" s="23"/>
      <c r="K13" s="23" t="n">
        <f aca="false">+I13</f>
        <v>3844000</v>
      </c>
    </row>
    <row r="14" customFormat="false" ht="11.25" hidden="false" customHeight="false" outlineLevel="0" collapsed="false">
      <c r="A14" s="255" t="n">
        <v>37043</v>
      </c>
      <c r="B14" s="27"/>
      <c r="C14" s="26" t="s">
        <v>30</v>
      </c>
      <c r="D14" s="20" t="n">
        <v>6.2</v>
      </c>
      <c r="E14" s="27"/>
      <c r="F14" s="32" t="n">
        <f aca="false">20000*30</f>
        <v>600000</v>
      </c>
      <c r="G14" s="20"/>
      <c r="H14" s="20"/>
      <c r="I14" s="49" t="n">
        <f aca="false">+F14*D14</f>
        <v>3720000</v>
      </c>
      <c r="J14" s="23"/>
      <c r="K14" s="23" t="n">
        <f aca="false">+I14</f>
        <v>3720000</v>
      </c>
    </row>
    <row r="15" customFormat="false" ht="11.25" hidden="false" customHeight="false" outlineLevel="0" collapsed="false">
      <c r="A15" s="255" t="n">
        <v>37073</v>
      </c>
      <c r="B15" s="27"/>
      <c r="C15" s="26" t="s">
        <v>30</v>
      </c>
      <c r="D15" s="20" t="n">
        <v>6.2</v>
      </c>
      <c r="E15" s="27"/>
      <c r="F15" s="32" t="n">
        <f aca="false">20000*31</f>
        <v>620000</v>
      </c>
      <c r="G15" s="20"/>
      <c r="H15" s="20"/>
      <c r="I15" s="49" t="n">
        <f aca="false">+F15*D15</f>
        <v>3844000</v>
      </c>
      <c r="J15" s="23"/>
      <c r="K15" s="23" t="n">
        <f aca="false">+I15</f>
        <v>3844000</v>
      </c>
    </row>
    <row r="16" customFormat="false" ht="11.25" hidden="false" customHeight="false" outlineLevel="0" collapsed="false">
      <c r="A16" s="255" t="n">
        <v>37104</v>
      </c>
      <c r="B16" s="27"/>
      <c r="C16" s="26" t="s">
        <v>30</v>
      </c>
      <c r="D16" s="20" t="n">
        <v>6.2</v>
      </c>
      <c r="E16" s="27"/>
      <c r="F16" s="32" t="n">
        <f aca="false">20000*31</f>
        <v>620000</v>
      </c>
      <c r="G16" s="20"/>
      <c r="H16" s="20"/>
      <c r="I16" s="49" t="n">
        <f aca="false">+F16*D16</f>
        <v>3844000</v>
      </c>
      <c r="J16" s="23"/>
      <c r="K16" s="23" t="n">
        <f aca="false">+I16</f>
        <v>3844000</v>
      </c>
    </row>
    <row r="17" customFormat="false" ht="11.25" hidden="false" customHeight="false" outlineLevel="0" collapsed="false">
      <c r="A17" s="255" t="n">
        <v>37135</v>
      </c>
      <c r="B17" s="27"/>
      <c r="C17" s="26" t="s">
        <v>30</v>
      </c>
      <c r="D17" s="20" t="n">
        <v>6.2</v>
      </c>
      <c r="E17" s="27"/>
      <c r="F17" s="32" t="n">
        <f aca="false">20000*30</f>
        <v>600000</v>
      </c>
      <c r="G17" s="20"/>
      <c r="H17" s="20"/>
      <c r="I17" s="49" t="n">
        <f aca="false">+F17*D17</f>
        <v>3720000</v>
      </c>
      <c r="J17" s="23"/>
      <c r="K17" s="23" t="n">
        <f aca="false">+I17</f>
        <v>3720000</v>
      </c>
    </row>
    <row r="18" customFormat="false" ht="11.25" hidden="false" customHeight="false" outlineLevel="0" collapsed="false">
      <c r="A18" s="255" t="n">
        <v>37165</v>
      </c>
      <c r="B18" s="27"/>
      <c r="C18" s="26" t="s">
        <v>30</v>
      </c>
      <c r="D18" s="20" t="n">
        <v>6.2</v>
      </c>
      <c r="E18" s="27"/>
      <c r="F18" s="32" t="n">
        <f aca="false">20000*31</f>
        <v>620000</v>
      </c>
      <c r="G18" s="20"/>
      <c r="H18" s="20"/>
      <c r="I18" s="49" t="n">
        <f aca="false">+F18*D18</f>
        <v>3844000</v>
      </c>
      <c r="J18" s="23"/>
      <c r="K18" s="23" t="n">
        <f aca="false">+I18</f>
        <v>3844000</v>
      </c>
    </row>
    <row r="19" customFormat="false" ht="11.25" hidden="false" customHeight="false" outlineLevel="0" collapsed="false">
      <c r="A19" s="255" t="n">
        <v>37196</v>
      </c>
      <c r="B19" s="27"/>
      <c r="C19" s="26" t="s">
        <v>30</v>
      </c>
      <c r="D19" s="20" t="n">
        <v>6.2</v>
      </c>
      <c r="E19" s="27"/>
      <c r="F19" s="32" t="n">
        <f aca="false">20000*30</f>
        <v>600000</v>
      </c>
      <c r="G19" s="20"/>
      <c r="H19" s="20"/>
      <c r="I19" s="49" t="n">
        <f aca="false">+F19*D19</f>
        <v>3720000</v>
      </c>
      <c r="J19" s="23"/>
      <c r="K19" s="23" t="n">
        <f aca="false">+I19</f>
        <v>3720000</v>
      </c>
    </row>
    <row r="20" customFormat="false" ht="11.25" hidden="false" customHeight="false" outlineLevel="0" collapsed="false">
      <c r="A20" s="255" t="n">
        <v>37226</v>
      </c>
      <c r="B20" s="27"/>
      <c r="C20" s="26" t="s">
        <v>30</v>
      </c>
      <c r="D20" s="20" t="n">
        <v>6.2</v>
      </c>
      <c r="E20" s="27"/>
      <c r="F20" s="39" t="n">
        <f aca="false">20000*31</f>
        <v>620000</v>
      </c>
      <c r="G20" s="20"/>
      <c r="H20" s="20"/>
      <c r="I20" s="52" t="n">
        <f aca="false">+F20*D20</f>
        <v>3844000</v>
      </c>
      <c r="J20" s="40"/>
      <c r="K20" s="40" t="n">
        <f aca="false">+I20</f>
        <v>3844000</v>
      </c>
    </row>
    <row r="21" customFormat="false" ht="11.25" hidden="false" customHeight="false" outlineLevel="0" collapsed="false">
      <c r="A21" s="255"/>
      <c r="B21" s="27"/>
      <c r="C21" s="26"/>
      <c r="D21" s="20"/>
      <c r="E21" s="27"/>
      <c r="F21" s="32" t="n">
        <f aca="false">SUM(F10:F20)</f>
        <v>6680000</v>
      </c>
      <c r="G21" s="20"/>
      <c r="H21" s="20"/>
      <c r="I21" s="49" t="n">
        <f aca="false">SUM(I10:I20)</f>
        <v>41416000</v>
      </c>
      <c r="J21" s="49" t="n">
        <f aca="false">SUM(J10:J20)</f>
        <v>0</v>
      </c>
      <c r="K21" s="23" t="n">
        <f aca="false">SUM(K10:K20)</f>
        <v>41416000</v>
      </c>
    </row>
    <row r="22" customFormat="false" ht="11.25" hidden="false" customHeight="false" outlineLevel="0" collapsed="false">
      <c r="A22" s="255"/>
      <c r="B22" s="27"/>
      <c r="C22" s="26"/>
      <c r="D22" s="20"/>
      <c r="E22" s="27"/>
      <c r="F22" s="32"/>
      <c r="G22" s="20"/>
      <c r="H22" s="20"/>
      <c r="I22" s="49"/>
      <c r="J22" s="23"/>
      <c r="K22" s="23"/>
    </row>
    <row r="23" customFormat="false" ht="11.25" hidden="false" customHeight="false" outlineLevel="0" collapsed="false">
      <c r="A23" s="255"/>
      <c r="B23" s="27"/>
      <c r="C23" s="26"/>
      <c r="D23" s="20"/>
      <c r="E23" s="27"/>
      <c r="F23" s="32"/>
      <c r="G23" s="20"/>
      <c r="H23" s="20"/>
      <c r="I23" s="49"/>
      <c r="J23" s="23"/>
      <c r="K23" s="23"/>
    </row>
    <row r="24" customFormat="false" ht="11.25" hidden="false" customHeight="false" outlineLevel="0" collapsed="false">
      <c r="A24" s="255" t="n">
        <v>36923</v>
      </c>
      <c r="B24" s="27"/>
      <c r="C24" s="26" t="s">
        <v>192</v>
      </c>
      <c r="D24" s="20"/>
      <c r="E24" s="27"/>
      <c r="F24" s="32" t="n">
        <f aca="false">-20000*28</f>
        <v>-560000</v>
      </c>
      <c r="G24" s="20" t="n">
        <f aca="false">+[5]NYMEX!$C8</f>
        <v>6.293</v>
      </c>
      <c r="H24" s="20"/>
      <c r="I24" s="49" t="n">
        <f aca="false">+G24*F24</f>
        <v>-3524080</v>
      </c>
      <c r="J24" s="23"/>
      <c r="K24" s="23" t="n">
        <f aca="false">+J24+I24</f>
        <v>-3524080</v>
      </c>
    </row>
    <row r="25" customFormat="false" ht="11.25" hidden="false" customHeight="false" outlineLevel="0" collapsed="false">
      <c r="A25" s="255" t="n">
        <v>36951</v>
      </c>
      <c r="B25" s="27"/>
      <c r="C25" s="26" t="s">
        <v>192</v>
      </c>
      <c r="D25" s="20"/>
      <c r="E25" s="27"/>
      <c r="F25" s="32" t="n">
        <f aca="false">-20000*31</f>
        <v>-620000</v>
      </c>
      <c r="G25" s="20" t="n">
        <f aca="false">+[5]NYMEX!$C9</f>
        <v>5.707</v>
      </c>
      <c r="H25" s="20"/>
      <c r="I25" s="49" t="n">
        <f aca="false">+G25*F25</f>
        <v>-3538340</v>
      </c>
      <c r="J25" s="23"/>
      <c r="K25" s="23" t="n">
        <f aca="false">+J25+I25</f>
        <v>-3538340</v>
      </c>
    </row>
    <row r="26" customFormat="false" ht="11.25" hidden="false" customHeight="false" outlineLevel="0" collapsed="false">
      <c r="A26" s="255" t="n">
        <v>36982</v>
      </c>
      <c r="B26" s="27"/>
      <c r="C26" s="26" t="s">
        <v>192</v>
      </c>
      <c r="D26" s="20"/>
      <c r="E26" s="27"/>
      <c r="F26" s="32" t="n">
        <f aca="false">-20000*30</f>
        <v>-600000</v>
      </c>
      <c r="G26" s="20" t="n">
        <f aca="false">+[5]NYMEX!$C10</f>
        <v>5.3</v>
      </c>
      <c r="H26" s="20"/>
      <c r="I26" s="49" t="n">
        <f aca="false">+G26*F26</f>
        <v>-3180000</v>
      </c>
      <c r="J26" s="23"/>
      <c r="K26" s="23" t="n">
        <f aca="false">+J26+I26</f>
        <v>-3180000</v>
      </c>
    </row>
    <row r="27" customFormat="false" ht="11.25" hidden="false" customHeight="false" outlineLevel="0" collapsed="false">
      <c r="A27" s="255" t="n">
        <v>37012</v>
      </c>
      <c r="B27" s="27"/>
      <c r="C27" s="26" t="s">
        <v>192</v>
      </c>
      <c r="D27" s="20"/>
      <c r="E27" s="27"/>
      <c r="F27" s="32" t="n">
        <f aca="false">-20000*31</f>
        <v>-620000</v>
      </c>
      <c r="G27" s="20" t="n">
        <f aca="false">+[5]NYMEX!$C11</f>
        <v>5.16</v>
      </c>
      <c r="H27" s="20"/>
      <c r="I27" s="49" t="n">
        <f aca="false">+G27*F27</f>
        <v>-3199200</v>
      </c>
      <c r="J27" s="23"/>
      <c r="K27" s="23" t="n">
        <f aca="false">+J27+I27</f>
        <v>-3199200</v>
      </c>
    </row>
    <row r="28" customFormat="false" ht="11.25" hidden="false" customHeight="false" outlineLevel="0" collapsed="false">
      <c r="A28" s="255" t="n">
        <v>37043</v>
      </c>
      <c r="B28" s="27"/>
      <c r="C28" s="26" t="s">
        <v>192</v>
      </c>
      <c r="D28" s="20"/>
      <c r="E28" s="27"/>
      <c r="F28" s="32" t="n">
        <f aca="false">-20000*30</f>
        <v>-600000</v>
      </c>
      <c r="G28" s="20" t="n">
        <f aca="false">+[5]NYMEX!$C12</f>
        <v>5.18</v>
      </c>
      <c r="H28" s="20"/>
      <c r="I28" s="49" t="n">
        <f aca="false">+G28*F28</f>
        <v>-3108000</v>
      </c>
      <c r="J28" s="23"/>
      <c r="K28" s="23" t="n">
        <f aca="false">+J28+I28</f>
        <v>-3108000</v>
      </c>
    </row>
    <row r="29" customFormat="false" ht="11.25" hidden="false" customHeight="false" outlineLevel="0" collapsed="false">
      <c r="A29" s="255" t="n">
        <v>37073</v>
      </c>
      <c r="B29" s="27"/>
      <c r="C29" s="26" t="s">
        <v>192</v>
      </c>
      <c r="D29" s="20"/>
      <c r="E29" s="27"/>
      <c r="F29" s="32" t="n">
        <f aca="false">-20000*31</f>
        <v>-620000</v>
      </c>
      <c r="G29" s="20" t="n">
        <f aca="false">+[5]NYMEX!$C13</f>
        <v>5.22</v>
      </c>
      <c r="H29" s="20"/>
      <c r="I29" s="49" t="n">
        <f aca="false">+G29*F29</f>
        <v>-3236400</v>
      </c>
      <c r="J29" s="23"/>
      <c r="K29" s="23" t="n">
        <f aca="false">+J29+I29</f>
        <v>-3236400</v>
      </c>
    </row>
    <row r="30" customFormat="false" ht="11.25" hidden="false" customHeight="false" outlineLevel="0" collapsed="false">
      <c r="A30" s="255" t="n">
        <v>37104</v>
      </c>
      <c r="B30" s="27"/>
      <c r="C30" s="26" t="s">
        <v>192</v>
      </c>
      <c r="D30" s="20"/>
      <c r="E30" s="27"/>
      <c r="F30" s="32" t="n">
        <f aca="false">-20000*31</f>
        <v>-620000</v>
      </c>
      <c r="G30" s="20" t="n">
        <f aca="false">+[5]NYMEX!$C14</f>
        <v>5.23</v>
      </c>
      <c r="H30" s="20"/>
      <c r="I30" s="49" t="n">
        <f aca="false">+G30*F30</f>
        <v>-3242600</v>
      </c>
      <c r="J30" s="23"/>
      <c r="K30" s="23" t="n">
        <f aca="false">+J30+I30</f>
        <v>-3242600</v>
      </c>
    </row>
    <row r="31" customFormat="false" ht="11.25" hidden="false" customHeight="false" outlineLevel="0" collapsed="false">
      <c r="A31" s="255" t="n">
        <v>37135</v>
      </c>
      <c r="B31" s="27"/>
      <c r="C31" s="26" t="s">
        <v>192</v>
      </c>
      <c r="D31" s="20"/>
      <c r="E31" s="27"/>
      <c r="F31" s="32" t="n">
        <f aca="false">-20000*30</f>
        <v>-600000</v>
      </c>
      <c r="G31" s="20" t="n">
        <f aca="false">+[5]NYMEX!$C15</f>
        <v>5.2</v>
      </c>
      <c r="H31" s="20"/>
      <c r="I31" s="49" t="n">
        <f aca="false">+G31*F31</f>
        <v>-3120000</v>
      </c>
      <c r="J31" s="23"/>
      <c r="K31" s="23" t="n">
        <f aca="false">+J31+I31</f>
        <v>-3120000</v>
      </c>
    </row>
    <row r="32" customFormat="false" ht="11.25" hidden="false" customHeight="false" outlineLevel="0" collapsed="false">
      <c r="A32" s="255" t="n">
        <v>37165</v>
      </c>
      <c r="B32" s="27"/>
      <c r="C32" s="26" t="s">
        <v>192</v>
      </c>
      <c r="D32" s="20"/>
      <c r="E32" s="27"/>
      <c r="F32" s="32" t="n">
        <f aca="false">-20000*31</f>
        <v>-620000</v>
      </c>
      <c r="G32" s="20" t="n">
        <f aca="false">+[5]NYMEX!$C16</f>
        <v>5.215</v>
      </c>
      <c r="H32" s="20"/>
      <c r="I32" s="49" t="n">
        <f aca="false">+G32*F32</f>
        <v>-3233300</v>
      </c>
      <c r="J32" s="23"/>
      <c r="K32" s="23" t="n">
        <f aca="false">+J32+I32</f>
        <v>-3233300</v>
      </c>
    </row>
    <row r="33" customFormat="false" ht="11.25" hidden="false" customHeight="false" outlineLevel="0" collapsed="false">
      <c r="A33" s="255" t="n">
        <v>37196</v>
      </c>
      <c r="B33" s="27"/>
      <c r="C33" s="26" t="s">
        <v>192</v>
      </c>
      <c r="D33" s="20"/>
      <c r="E33" s="27"/>
      <c r="F33" s="32" t="n">
        <f aca="false">-20000*30</f>
        <v>-600000</v>
      </c>
      <c r="G33" s="20" t="n">
        <f aca="false">+[5]NYMEX!$C17</f>
        <v>5.305</v>
      </c>
      <c r="H33" s="20"/>
      <c r="I33" s="49" t="n">
        <f aca="false">+G33*F33</f>
        <v>-3183000</v>
      </c>
      <c r="J33" s="23"/>
      <c r="K33" s="23" t="n">
        <f aca="false">+J33+I33</f>
        <v>-3183000</v>
      </c>
    </row>
    <row r="34" customFormat="false" ht="11.25" hidden="false" customHeight="false" outlineLevel="0" collapsed="false">
      <c r="A34" s="255" t="n">
        <v>37226</v>
      </c>
      <c r="B34" s="27"/>
      <c r="C34" s="26" t="s">
        <v>192</v>
      </c>
      <c r="D34" s="20"/>
      <c r="E34" s="27"/>
      <c r="F34" s="39" t="n">
        <f aca="false">-20000*31</f>
        <v>-620000</v>
      </c>
      <c r="G34" s="20" t="n">
        <f aca="false">+[5]NYMEX!$C18</f>
        <v>5.44</v>
      </c>
      <c r="H34" s="20"/>
      <c r="I34" s="52" t="n">
        <f aca="false">+G34*F34</f>
        <v>-3372800</v>
      </c>
      <c r="J34" s="40"/>
      <c r="K34" s="41" t="n">
        <f aca="false">+J34+I34</f>
        <v>-3372800</v>
      </c>
    </row>
    <row r="35" customFormat="false" ht="11.25" hidden="false" customHeight="false" outlineLevel="0" collapsed="false">
      <c r="A35" s="255"/>
      <c r="B35" s="27"/>
      <c r="C35" s="26"/>
      <c r="D35" s="20"/>
      <c r="E35" s="27"/>
      <c r="F35" s="32" t="n">
        <f aca="false">SUM(F24:F34)</f>
        <v>-6680000</v>
      </c>
      <c r="G35" s="20"/>
      <c r="H35" s="20"/>
      <c r="I35" s="49" t="n">
        <f aca="false">SUM(I24:I34)</f>
        <v>-35937720</v>
      </c>
      <c r="J35" s="49" t="n">
        <f aca="false">SUM(J24:J34)</f>
        <v>0</v>
      </c>
      <c r="K35" s="49" t="n">
        <f aca="false">SUM(K24:K34)</f>
        <v>-35937720</v>
      </c>
    </row>
    <row r="36" customFormat="false" ht="11.25" hidden="false" customHeight="false" outlineLevel="0" collapsed="false">
      <c r="A36" s="255"/>
      <c r="B36" s="27"/>
      <c r="C36" s="26"/>
      <c r="D36" s="20"/>
      <c r="E36" s="27"/>
      <c r="F36" s="32"/>
      <c r="G36" s="20"/>
      <c r="H36" s="20"/>
      <c r="I36" s="49"/>
      <c r="J36" s="23"/>
      <c r="K36" s="23"/>
    </row>
    <row r="37" customFormat="false" ht="11.25" hidden="false" customHeight="fals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25"/>
      <c r="K37" s="25"/>
    </row>
    <row r="38" customFormat="false" ht="12" hidden="false" customHeight="false" outlineLevel="0" collapsed="false">
      <c r="A38" s="27"/>
      <c r="B38" s="27"/>
      <c r="C38" s="27"/>
      <c r="D38" s="27"/>
      <c r="E38" s="27"/>
      <c r="F38" s="260" t="n">
        <f aca="false">+F35+F21</f>
        <v>0</v>
      </c>
      <c r="G38" s="27"/>
      <c r="H38" s="27"/>
      <c r="I38" s="261" t="n">
        <f aca="false">+I21+I35</f>
        <v>5478280</v>
      </c>
      <c r="J38" s="261" t="n">
        <f aca="false">+J21+J35</f>
        <v>0</v>
      </c>
      <c r="K38" s="261" t="n">
        <f aca="false">+K21+K35</f>
        <v>5478280</v>
      </c>
    </row>
    <row r="39" customFormat="false" ht="12" hidden="false" customHeight="false" outlineLevel="0" collapsed="false">
      <c r="A39" s="94"/>
      <c r="B39" s="94"/>
      <c r="C39" s="94"/>
      <c r="D39" s="94"/>
      <c r="E39" s="94"/>
      <c r="F39" s="94"/>
      <c r="G39" s="94"/>
      <c r="H39" s="94"/>
      <c r="I39" s="94"/>
      <c r="J39" s="99"/>
      <c r="K39" s="99"/>
    </row>
    <row r="41" customFormat="false" ht="11.25" hidden="false" customHeight="false" outlineLevel="0" collapsed="false">
      <c r="A41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194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195</v>
      </c>
      <c r="E6" s="161"/>
      <c r="F6" s="161"/>
      <c r="G6" s="161"/>
      <c r="H6" s="161" t="s">
        <v>30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160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0.24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36923</v>
      </c>
      <c r="B10" s="173"/>
      <c r="C10" s="174" t="s">
        <v>58</v>
      </c>
      <c r="D10" s="175" t="n">
        <f aca="false">+'[5]Henry Hub'!$E12+D9</f>
        <v>6.533</v>
      </c>
      <c r="E10" s="173"/>
      <c r="F10" s="176" t="n">
        <f aca="false">-10000*28</f>
        <v>-280000</v>
      </c>
      <c r="G10" s="175"/>
      <c r="H10" s="175" t="n">
        <f aca="false">+[5]Demarc!$E$12</f>
        <v>6.423</v>
      </c>
      <c r="I10" s="177" t="n">
        <f aca="false">(+D10-H10)*F10</f>
        <v>-30800.0000000001</v>
      </c>
      <c r="J10" s="178"/>
      <c r="K10" s="178" t="n">
        <f aca="false">+I10</f>
        <v>-30800.0000000001</v>
      </c>
    </row>
    <row r="11" customFormat="false" ht="12.75" hidden="false" customHeight="false" outlineLevel="0" collapsed="false">
      <c r="A11" s="172" t="n">
        <v>36951</v>
      </c>
      <c r="B11" s="173"/>
      <c r="C11" s="174" t="s">
        <v>58</v>
      </c>
      <c r="D11" s="175" t="n">
        <f aca="false">+'[5]Henry Hub'!$E$13+D9</f>
        <v>5.947</v>
      </c>
      <c r="E11" s="173"/>
      <c r="F11" s="176" t="n">
        <f aca="false">-10000*31</f>
        <v>-310000</v>
      </c>
      <c r="G11" s="175"/>
      <c r="H11" s="175" t="n">
        <f aca="false">+[5]Demarc!$E$13</f>
        <v>5.837</v>
      </c>
      <c r="I11" s="177" t="n">
        <f aca="false">(+D11-H11)*F11</f>
        <v>-34100.0000000001</v>
      </c>
      <c r="J11" s="178"/>
      <c r="K11" s="178" t="n">
        <f aca="false">+I11</f>
        <v>-34100.0000000001</v>
      </c>
    </row>
    <row r="12" customFormat="false" ht="12.75" hidden="false" customHeight="false" outlineLevel="0" collapsed="false">
      <c r="A12" s="172"/>
      <c r="B12" s="173"/>
      <c r="C12" s="174"/>
      <c r="D12" s="175"/>
      <c r="E12" s="173"/>
      <c r="F12" s="196"/>
      <c r="G12" s="173"/>
      <c r="H12" s="175"/>
      <c r="I12" s="197"/>
      <c r="J12" s="192"/>
      <c r="K12" s="198"/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76" t="n">
        <f aca="false">SUM(F10:F12)</f>
        <v>-590000</v>
      </c>
      <c r="G13" s="173"/>
      <c r="H13" s="175"/>
      <c r="I13" s="177" t="n">
        <f aca="false">SUM(I10:I12)</f>
        <v>-64900.0000000002</v>
      </c>
      <c r="J13" s="177" t="n">
        <f aca="false">SUM(J10:J12)</f>
        <v>0</v>
      </c>
      <c r="K13" s="177" t="n">
        <f aca="false">SUM(K10:K12)</f>
        <v>-64900.0000000002</v>
      </c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76"/>
      <c r="G14" s="173"/>
      <c r="H14" s="175"/>
      <c r="I14" s="177"/>
      <c r="J14" s="179"/>
      <c r="K14" s="199"/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210" t="s">
        <v>157</v>
      </c>
      <c r="H15" s="210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211" t="s">
        <v>158</v>
      </c>
      <c r="H16" s="211"/>
      <c r="I16" s="177"/>
      <c r="J16" s="179"/>
      <c r="K16" s="199"/>
    </row>
    <row r="17" customFormat="false" ht="12.75" hidden="false" customHeight="false" outlineLevel="0" collapsed="false">
      <c r="A17" s="172"/>
      <c r="B17" s="173"/>
      <c r="C17" s="174"/>
      <c r="D17" s="175"/>
      <c r="E17" s="173"/>
      <c r="F17" s="176"/>
      <c r="G17" s="210" t="s">
        <v>196</v>
      </c>
      <c r="H17" s="210"/>
      <c r="I17" s="177"/>
      <c r="J17" s="179"/>
      <c r="K17" s="199"/>
    </row>
    <row r="18" customFormat="false" ht="12.75" hidden="false" customHeight="false" outlineLevel="0" collapsed="false">
      <c r="A18" s="172"/>
      <c r="B18" s="173"/>
      <c r="C18" s="174"/>
      <c r="D18" s="175"/>
      <c r="E18" s="173"/>
      <c r="F18" s="176"/>
      <c r="G18" s="212" t="s">
        <v>160</v>
      </c>
      <c r="H18" s="213" t="s">
        <v>161</v>
      </c>
      <c r="I18" s="177"/>
      <c r="J18" s="179"/>
      <c r="K18" s="199"/>
    </row>
    <row r="19" customFormat="false" ht="12.75" hidden="false" customHeight="false" outlineLevel="0" collapsed="false">
      <c r="A19" s="172" t="n">
        <v>36923</v>
      </c>
      <c r="B19" s="173"/>
      <c r="C19" s="174" t="s">
        <v>67</v>
      </c>
      <c r="D19" s="175"/>
      <c r="E19" s="173"/>
      <c r="F19" s="176" t="n">
        <f aca="false">5000*28</f>
        <v>140000</v>
      </c>
      <c r="G19" s="175" t="n">
        <f aca="false">+[5]Demarc!$E12</f>
        <v>6.423</v>
      </c>
      <c r="H19" s="175" t="n">
        <f aca="false">+'[5]PEPL Tx, Ok'!$E12+0.228</f>
        <v>6.421</v>
      </c>
      <c r="I19" s="177" t="n">
        <f aca="false">(-G19+H19)*F19</f>
        <v>-279.999999999969</v>
      </c>
      <c r="J19" s="179"/>
      <c r="K19" s="178" t="n">
        <f aca="false">+I19</f>
        <v>-279.999999999969</v>
      </c>
    </row>
    <row r="20" customFormat="false" ht="12.75" hidden="false" customHeight="false" outlineLevel="0" collapsed="false">
      <c r="A20" s="172" t="n">
        <v>36951</v>
      </c>
      <c r="B20" s="173"/>
      <c r="C20" s="174" t="s">
        <v>67</v>
      </c>
      <c r="D20" s="175"/>
      <c r="E20" s="173"/>
      <c r="F20" s="176" t="n">
        <f aca="false">5000*31</f>
        <v>155000</v>
      </c>
      <c r="G20" s="175" t="n">
        <f aca="false">+[5]Demarc!$E13</f>
        <v>5.837</v>
      </c>
      <c r="H20" s="175" t="n">
        <f aca="false">+'[5]PEPL Tx, Ok'!$E13+0.228</f>
        <v>5.865</v>
      </c>
      <c r="I20" s="177" t="n">
        <f aca="false">(-G20+H20)*F20</f>
        <v>4339.99999999994</v>
      </c>
      <c r="J20" s="179"/>
      <c r="K20" s="178" t="n">
        <f aca="false">+I20</f>
        <v>4339.99999999994</v>
      </c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76"/>
      <c r="G22" s="215"/>
      <c r="H22" s="175"/>
      <c r="I22" s="177"/>
      <c r="J22" s="179"/>
      <c r="K22" s="178"/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96"/>
      <c r="G23" s="173"/>
      <c r="H23" s="175"/>
      <c r="I23" s="197"/>
      <c r="J23" s="192"/>
      <c r="K23" s="198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 t="n">
        <f aca="false">SUM(F19:F23)</f>
        <v>295000</v>
      </c>
      <c r="G24" s="173"/>
      <c r="H24" s="175"/>
      <c r="I24" s="177" t="n">
        <f aca="false">SUM(I19:I23)</f>
        <v>4059.99999999997</v>
      </c>
      <c r="J24" s="177" t="n">
        <f aca="false">SUM(J19:J23)</f>
        <v>0</v>
      </c>
      <c r="K24" s="177" t="n">
        <f aca="false">SUM(K19:K23)</f>
        <v>4059.99999999997</v>
      </c>
    </row>
    <row r="25" customFormat="false" ht="12.75" hidden="false" customHeight="false" outlineLevel="0" collapsed="false">
      <c r="A25" s="172"/>
      <c r="B25" s="173"/>
      <c r="C25" s="174"/>
      <c r="D25" s="175"/>
      <c r="E25" s="173"/>
      <c r="F25" s="176"/>
      <c r="G25" s="173"/>
      <c r="H25" s="175"/>
      <c r="I25" s="177"/>
      <c r="J25" s="179"/>
      <c r="K25" s="199"/>
    </row>
    <row r="26" customFormat="false" ht="13.5" hidden="false" customHeight="false" outlineLevel="0" collapsed="false">
      <c r="A26" s="172"/>
      <c r="B26" s="173"/>
      <c r="C26" s="174"/>
      <c r="D26" s="175"/>
      <c r="E26" s="173"/>
      <c r="F26" s="200" t="n">
        <f aca="false">+F13+F24</f>
        <v>-295000</v>
      </c>
      <c r="G26" s="173"/>
      <c r="H26" s="175"/>
      <c r="I26" s="201" t="n">
        <f aca="false">+I24+I13</f>
        <v>-60840.0000000002</v>
      </c>
      <c r="J26" s="201" t="n">
        <f aca="false">+J24+J13</f>
        <v>0</v>
      </c>
      <c r="K26" s="201" t="n">
        <f aca="false">+K24+K13</f>
        <v>-60840.0000000002</v>
      </c>
    </row>
    <row r="27" customFormat="false" ht="13.5" hidden="false" customHeight="false" outlineLevel="0" collapsed="false">
      <c r="A27" s="192"/>
      <c r="B27" s="192"/>
      <c r="C27" s="192"/>
      <c r="D27" s="192"/>
      <c r="E27" s="192"/>
      <c r="F27" s="192"/>
      <c r="G27" s="192"/>
      <c r="H27" s="192"/>
      <c r="I27" s="192"/>
      <c r="J27" s="193"/>
      <c r="K27" s="193"/>
    </row>
    <row r="29" customFormat="false" ht="12.75" hidden="false" customHeight="false" outlineLevel="0" collapsed="false">
      <c r="A29" s="5" t="s">
        <v>138</v>
      </c>
    </row>
  </sheetData>
  <mergeCells count="8">
    <mergeCell ref="A1:K1"/>
    <mergeCell ref="A2:K2"/>
    <mergeCell ref="A3:K3"/>
    <mergeCell ref="A4:K4"/>
    <mergeCell ref="I6:K6"/>
    <mergeCell ref="G15:H15"/>
    <mergeCell ref="G16:H16"/>
    <mergeCell ref="G17:H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9"/>
  <sheetViews>
    <sheetView showFormulas="false" showGridLines="true" showRowColHeaders="true" showZeros="true" rightToLeft="false" tabSelected="false" showOutlineSymbols="true" defaultGridColor="true" view="normal" topLeftCell="D6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197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30</v>
      </c>
      <c r="E6" s="161"/>
      <c r="F6" s="161"/>
      <c r="G6" s="161"/>
      <c r="H6" s="161" t="s">
        <v>67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198</v>
      </c>
      <c r="E8" s="204"/>
      <c r="F8" s="204"/>
      <c r="G8" s="206"/>
      <c r="H8" s="164" t="s">
        <v>199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-0.1</v>
      </c>
      <c r="E9" s="167"/>
      <c r="F9" s="167"/>
      <c r="G9" s="169"/>
      <c r="H9" s="170" t="s">
        <v>200</v>
      </c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36923</v>
      </c>
      <c r="B10" s="173"/>
      <c r="C10" s="174" t="s">
        <v>67</v>
      </c>
      <c r="D10" s="175" t="n">
        <f aca="false">+'[5]Henry Hub'!$E12+D9</f>
        <v>6.193</v>
      </c>
      <c r="E10" s="173"/>
      <c r="F10" s="176" t="n">
        <f aca="false">10000*28</f>
        <v>280000</v>
      </c>
      <c r="G10" s="175"/>
      <c r="H10" s="175" t="n">
        <f aca="false">+'[5]PEPL Tx, Ok'!$E$12</f>
        <v>6.193</v>
      </c>
      <c r="I10" s="177" t="n">
        <f aca="false">(+D10-H10)*F10</f>
        <v>0</v>
      </c>
      <c r="J10" s="178"/>
      <c r="K10" s="178" t="n">
        <f aca="false">+I10</f>
        <v>0</v>
      </c>
    </row>
    <row r="11" customFormat="false" ht="12.75" hidden="false" customHeight="false" outlineLevel="0" collapsed="false">
      <c r="A11" s="172" t="n">
        <v>36951</v>
      </c>
      <c r="B11" s="173"/>
      <c r="C11" s="174" t="s">
        <v>67</v>
      </c>
      <c r="D11" s="175" t="n">
        <f aca="false">+'[5]Henry Hub'!$E$13+D9</f>
        <v>5.607</v>
      </c>
      <c r="E11" s="173"/>
      <c r="F11" s="176" t="n">
        <f aca="false">10000*31</f>
        <v>310000</v>
      </c>
      <c r="G11" s="175"/>
      <c r="H11" s="175" t="n">
        <f aca="false">+'[5]PEPL Tx, Ok'!$E$13</f>
        <v>5.637</v>
      </c>
      <c r="I11" s="177" t="n">
        <f aca="false">(+D11-H11)*F11</f>
        <v>-9299.9999999998</v>
      </c>
      <c r="J11" s="178"/>
      <c r="K11" s="178" t="n">
        <f aca="false">+I11</f>
        <v>-9299.9999999998</v>
      </c>
    </row>
    <row r="12" customFormat="false" ht="12.75" hidden="false" customHeight="false" outlineLevel="0" collapsed="false">
      <c r="A12" s="172"/>
      <c r="B12" s="173"/>
      <c r="C12" s="174"/>
      <c r="D12" s="175"/>
      <c r="E12" s="173"/>
      <c r="F12" s="196"/>
      <c r="G12" s="173"/>
      <c r="H12" s="175"/>
      <c r="I12" s="197"/>
      <c r="J12" s="192"/>
      <c r="K12" s="198"/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76" t="n">
        <f aca="false">SUM(F10:F12)</f>
        <v>590000</v>
      </c>
      <c r="G13" s="173"/>
      <c r="H13" s="175"/>
      <c r="I13" s="177" t="n">
        <f aca="false">SUM(I10:I12)</f>
        <v>-9299.9999999998</v>
      </c>
      <c r="J13" s="177" t="n">
        <f aca="false">SUM(J10:J12)</f>
        <v>0</v>
      </c>
      <c r="K13" s="177" t="n">
        <f aca="false">SUM(K10:K12)</f>
        <v>-9299.9999999998</v>
      </c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76"/>
      <c r="G14" s="173"/>
      <c r="H14" s="175"/>
      <c r="I14" s="177"/>
      <c r="J14" s="179"/>
      <c r="K14" s="199"/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210" t="s">
        <v>157</v>
      </c>
      <c r="H15" s="210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211" t="s">
        <v>158</v>
      </c>
      <c r="H16" s="211"/>
      <c r="I16" s="177"/>
      <c r="J16" s="179"/>
      <c r="K16" s="199"/>
    </row>
    <row r="17" customFormat="false" ht="12.75" hidden="false" customHeight="false" outlineLevel="0" collapsed="false">
      <c r="A17" s="172"/>
      <c r="B17" s="173"/>
      <c r="C17" s="174"/>
      <c r="D17" s="175"/>
      <c r="E17" s="173"/>
      <c r="F17" s="176"/>
      <c r="G17" s="210" t="s">
        <v>196</v>
      </c>
      <c r="H17" s="210"/>
      <c r="I17" s="177"/>
      <c r="J17" s="179"/>
      <c r="K17" s="199"/>
    </row>
    <row r="18" customFormat="false" ht="12.75" hidden="false" customHeight="false" outlineLevel="0" collapsed="false">
      <c r="A18" s="172"/>
      <c r="B18" s="173"/>
      <c r="C18" s="174"/>
      <c r="D18" s="175"/>
      <c r="E18" s="173"/>
      <c r="F18" s="176"/>
      <c r="G18" s="212" t="s">
        <v>160</v>
      </c>
      <c r="H18" s="213" t="s">
        <v>161</v>
      </c>
      <c r="I18" s="177"/>
      <c r="J18" s="179"/>
      <c r="K18" s="199"/>
    </row>
    <row r="19" customFormat="false" ht="12.75" hidden="false" customHeight="false" outlineLevel="0" collapsed="false">
      <c r="A19" s="172" t="n">
        <v>36923</v>
      </c>
      <c r="B19" s="173"/>
      <c r="C19" s="174" t="s">
        <v>67</v>
      </c>
      <c r="D19" s="175"/>
      <c r="E19" s="173"/>
      <c r="F19" s="176" t="n">
        <f aca="false">-10000*28</f>
        <v>-280000</v>
      </c>
      <c r="G19" s="175" t="n">
        <f aca="false">+[5]Demarc!$E12</f>
        <v>6.423</v>
      </c>
      <c r="H19" s="175" t="n">
        <f aca="false">+'[5]PEPL Tx, Ok'!$E12+0.228</f>
        <v>6.421</v>
      </c>
      <c r="I19" s="177" t="n">
        <f aca="false">(+G19-H19)*F19</f>
        <v>-559.999999999938</v>
      </c>
      <c r="J19" s="179"/>
      <c r="K19" s="178" t="n">
        <f aca="false">+I19</f>
        <v>-559.999999999938</v>
      </c>
    </row>
    <row r="20" customFormat="false" ht="12.75" hidden="false" customHeight="false" outlineLevel="0" collapsed="false">
      <c r="A20" s="172" t="n">
        <v>36951</v>
      </c>
      <c r="B20" s="173"/>
      <c r="C20" s="174" t="s">
        <v>67</v>
      </c>
      <c r="D20" s="175"/>
      <c r="E20" s="173"/>
      <c r="F20" s="176" t="n">
        <f aca="false">-10000*31</f>
        <v>-310000</v>
      </c>
      <c r="G20" s="175" t="n">
        <f aca="false">+[5]Demarc!$E13</f>
        <v>5.837</v>
      </c>
      <c r="H20" s="175" t="n">
        <f aca="false">+'[5]PEPL Tx, Ok'!$E13+0.228</f>
        <v>5.865</v>
      </c>
      <c r="I20" s="177" t="n">
        <f aca="false">(+G20-H20)*F20</f>
        <v>8679.99999999987</v>
      </c>
      <c r="J20" s="179"/>
      <c r="K20" s="178" t="n">
        <f aca="false">+I20</f>
        <v>8679.99999999987</v>
      </c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76"/>
      <c r="G22" s="215"/>
      <c r="H22" s="175"/>
      <c r="I22" s="177"/>
      <c r="J22" s="179"/>
      <c r="K22" s="178"/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96"/>
      <c r="G23" s="173"/>
      <c r="H23" s="175"/>
      <c r="I23" s="197"/>
      <c r="J23" s="192"/>
      <c r="K23" s="198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 t="n">
        <f aca="false">SUM(F19:F23)</f>
        <v>-590000</v>
      </c>
      <c r="G24" s="173"/>
      <c r="H24" s="175"/>
      <c r="I24" s="177" t="n">
        <f aca="false">SUM(I19:I23)</f>
        <v>8119.99999999993</v>
      </c>
      <c r="J24" s="177" t="n">
        <f aca="false">SUM(J19:J23)</f>
        <v>0</v>
      </c>
      <c r="K24" s="177" t="n">
        <f aca="false">SUM(K19:K23)</f>
        <v>8119.99999999993</v>
      </c>
    </row>
    <row r="25" customFormat="false" ht="12.75" hidden="false" customHeight="false" outlineLevel="0" collapsed="false">
      <c r="A25" s="172"/>
      <c r="B25" s="173"/>
      <c r="C25" s="174"/>
      <c r="D25" s="175"/>
      <c r="E25" s="173"/>
      <c r="F25" s="176"/>
      <c r="G25" s="173"/>
      <c r="H25" s="175"/>
      <c r="I25" s="177"/>
      <c r="J25" s="179"/>
      <c r="K25" s="199"/>
    </row>
    <row r="26" customFormat="false" ht="13.5" hidden="false" customHeight="false" outlineLevel="0" collapsed="false">
      <c r="A26" s="172"/>
      <c r="B26" s="173"/>
      <c r="C26" s="174"/>
      <c r="D26" s="175"/>
      <c r="E26" s="173"/>
      <c r="F26" s="200" t="n">
        <f aca="false">+F13+F24</f>
        <v>0</v>
      </c>
      <c r="G26" s="173"/>
      <c r="H26" s="175"/>
      <c r="I26" s="201" t="n">
        <f aca="false">+I24+I13</f>
        <v>-1179.99999999987</v>
      </c>
      <c r="J26" s="201" t="n">
        <f aca="false">+J24+J13</f>
        <v>0</v>
      </c>
      <c r="K26" s="201" t="n">
        <f aca="false">+K24+K13</f>
        <v>-1179.99999999987</v>
      </c>
    </row>
    <row r="27" customFormat="false" ht="13.5" hidden="false" customHeight="false" outlineLevel="0" collapsed="false">
      <c r="A27" s="192"/>
      <c r="B27" s="192"/>
      <c r="C27" s="192"/>
      <c r="D27" s="192"/>
      <c r="E27" s="192"/>
      <c r="F27" s="192"/>
      <c r="G27" s="192"/>
      <c r="H27" s="192"/>
      <c r="I27" s="192"/>
      <c r="J27" s="193"/>
      <c r="K27" s="193"/>
    </row>
    <row r="29" customFormat="false" ht="12.75" hidden="false" customHeight="false" outlineLevel="0" collapsed="false">
      <c r="A29" s="5" t="s">
        <v>138</v>
      </c>
    </row>
  </sheetData>
  <mergeCells count="8">
    <mergeCell ref="A1:K1"/>
    <mergeCell ref="A2:K2"/>
    <mergeCell ref="A3:K3"/>
    <mergeCell ref="A4:K4"/>
    <mergeCell ref="I6:K6"/>
    <mergeCell ref="G15:H15"/>
    <mergeCell ref="G16:H16"/>
    <mergeCell ref="G17:H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1655" ySplit="0" topLeftCell="J1" activePane="topLeft" state="split"/>
      <selection pane="topLeft" activeCell="H20" activeCellId="0" sqref="H20"/>
      <selection pane="topRight" activeCell="J1" activeCellId="0" sqref="J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4.99"/>
    <col collapsed="false" customWidth="true" hidden="false" outlineLevel="0" max="10" min="10" style="0" width="14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128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50</v>
      </c>
      <c r="E6" s="161"/>
      <c r="F6" s="161" t="s">
        <v>130</v>
      </c>
      <c r="G6" s="161" t="s">
        <v>97</v>
      </c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132</v>
      </c>
      <c r="E7" s="164"/>
      <c r="F7" s="164" t="s">
        <v>133</v>
      </c>
      <c r="G7" s="164" t="s">
        <v>17</v>
      </c>
      <c r="H7" s="164" t="s">
        <v>134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8" t="s">
        <v>17</v>
      </c>
      <c r="E8" s="167"/>
      <c r="F8" s="167"/>
      <c r="G8" s="169" t="s">
        <v>135</v>
      </c>
      <c r="H8" s="170" t="s">
        <v>17</v>
      </c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36892</v>
      </c>
      <c r="B9" s="173"/>
      <c r="C9" s="174" t="s">
        <v>50</v>
      </c>
      <c r="D9" s="175" t="n">
        <v>3.23</v>
      </c>
      <c r="E9" s="173"/>
      <c r="F9" s="176" t="n">
        <f aca="false">-5000*31</f>
        <v>-155000</v>
      </c>
      <c r="G9" s="175"/>
      <c r="H9" s="175" t="n">
        <v>9.81</v>
      </c>
      <c r="I9" s="177" t="n">
        <f aca="false">SUM(D9-H9)*F9</f>
        <v>1019900</v>
      </c>
      <c r="J9" s="178" t="n">
        <f aca="false">+I9</f>
        <v>1019900</v>
      </c>
      <c r="K9" s="178"/>
    </row>
    <row r="10" customFormat="false" ht="12.75" hidden="false" customHeight="false" outlineLevel="0" collapsed="false">
      <c r="A10" s="172" t="n">
        <v>36923</v>
      </c>
      <c r="B10" s="173"/>
      <c r="C10" s="174" t="s">
        <v>50</v>
      </c>
      <c r="D10" s="175" t="n">
        <v>3.23</v>
      </c>
      <c r="E10" s="173"/>
      <c r="F10" s="176" t="n">
        <f aca="false">-5000*28</f>
        <v>-140000</v>
      </c>
      <c r="G10" s="175"/>
      <c r="H10" s="175" t="n">
        <f aca="false">+'[5]ELpaso SJ &amp; Prm'!$F49</f>
        <v>6.605</v>
      </c>
      <c r="I10" s="177" t="n">
        <f aca="false">SUM(D10-H10)*F10</f>
        <v>472500</v>
      </c>
      <c r="J10" s="178"/>
      <c r="K10" s="178" t="n">
        <f aca="false">+I10</f>
        <v>472500</v>
      </c>
    </row>
    <row r="11" customFormat="false" ht="12.75" hidden="false" customHeight="false" outlineLevel="0" collapsed="false">
      <c r="A11" s="172" t="n">
        <v>36951</v>
      </c>
      <c r="B11" s="173"/>
      <c r="C11" s="174" t="s">
        <v>50</v>
      </c>
      <c r="D11" s="175" t="n">
        <v>3.23</v>
      </c>
      <c r="E11" s="173"/>
      <c r="F11" s="176" t="n">
        <f aca="false">-5000*31</f>
        <v>-155000</v>
      </c>
      <c r="G11" s="175"/>
      <c r="H11" s="175" t="n">
        <f aca="false">+'[5]ELpaso SJ &amp; Prm'!$F50</f>
        <v>5.832</v>
      </c>
      <c r="I11" s="177" t="n">
        <f aca="false">SUM(D11-H11)*F11</f>
        <v>403310</v>
      </c>
      <c r="J11" s="178"/>
      <c r="K11" s="178" t="n">
        <f aca="false">+I11</f>
        <v>403310</v>
      </c>
    </row>
    <row r="12" customFormat="false" ht="12.75" hidden="false" customHeight="false" outlineLevel="0" collapsed="false">
      <c r="A12" s="172" t="n">
        <v>36982</v>
      </c>
      <c r="B12" s="173"/>
      <c r="C12" s="174" t="s">
        <v>50</v>
      </c>
      <c r="D12" s="175" t="n">
        <v>3.23</v>
      </c>
      <c r="E12" s="173"/>
      <c r="F12" s="176" t="n">
        <f aca="false">-5000*30</f>
        <v>-150000</v>
      </c>
      <c r="G12" s="175"/>
      <c r="H12" s="175" t="n">
        <f aca="false">+'[5]ELpaso SJ &amp; Prm'!$F51</f>
        <v>5.3</v>
      </c>
      <c r="I12" s="177" t="n">
        <f aca="false">SUM(D12-H12)*F12</f>
        <v>310500</v>
      </c>
      <c r="J12" s="178"/>
      <c r="K12" s="178" t="n">
        <f aca="false">+I12</f>
        <v>310500</v>
      </c>
    </row>
    <row r="13" customFormat="false" ht="12.75" hidden="false" customHeight="false" outlineLevel="0" collapsed="false">
      <c r="A13" s="172" t="n">
        <v>37012</v>
      </c>
      <c r="B13" s="173"/>
      <c r="C13" s="174" t="s">
        <v>50</v>
      </c>
      <c r="D13" s="175" t="n">
        <v>3.23</v>
      </c>
      <c r="E13" s="173"/>
      <c r="F13" s="176" t="n">
        <f aca="false">-5000*31</f>
        <v>-155000</v>
      </c>
      <c r="G13" s="173"/>
      <c r="H13" s="175" t="n">
        <f aca="false">+'[5]ELpaso SJ &amp; Prm'!$F52</f>
        <v>5.16</v>
      </c>
      <c r="I13" s="177" t="n">
        <f aca="false">SUM(D13-H13)*F13</f>
        <v>299150</v>
      </c>
      <c r="J13" s="179"/>
      <c r="K13" s="178" t="n">
        <f aca="false">+I13</f>
        <v>299150</v>
      </c>
    </row>
    <row r="14" customFormat="false" ht="12.75" hidden="false" customHeight="false" outlineLevel="0" collapsed="false">
      <c r="A14" s="172" t="n">
        <v>37043</v>
      </c>
      <c r="B14" s="173"/>
      <c r="C14" s="174" t="s">
        <v>50</v>
      </c>
      <c r="D14" s="175" t="n">
        <v>3.23</v>
      </c>
      <c r="E14" s="173"/>
      <c r="F14" s="176" t="n">
        <f aca="false">-5000*30</f>
        <v>-150000</v>
      </c>
      <c r="G14" s="173"/>
      <c r="H14" s="175" t="n">
        <f aca="false">+'[5]ELpaso SJ &amp; Prm'!$F53</f>
        <v>5.18</v>
      </c>
      <c r="I14" s="177" t="n">
        <f aca="false">SUM(D14-H14)*F14</f>
        <v>292500</v>
      </c>
      <c r="J14" s="179"/>
      <c r="K14" s="178" t="n">
        <f aca="false">+I14</f>
        <v>292500</v>
      </c>
    </row>
    <row r="15" customFormat="false" ht="12.75" hidden="false" customHeight="false" outlineLevel="0" collapsed="false">
      <c r="A15" s="172" t="n">
        <v>37073</v>
      </c>
      <c r="B15" s="173"/>
      <c r="C15" s="174" t="s">
        <v>50</v>
      </c>
      <c r="D15" s="175" t="n">
        <v>3.23</v>
      </c>
      <c r="E15" s="173"/>
      <c r="F15" s="176" t="n">
        <f aca="false">-5000*31</f>
        <v>-155000</v>
      </c>
      <c r="G15" s="173"/>
      <c r="H15" s="175" t="n">
        <f aca="false">+'[5]ELpaso SJ &amp; Prm'!$F54</f>
        <v>5.37</v>
      </c>
      <c r="I15" s="177" t="n">
        <f aca="false">SUM(D15-H15)*F15</f>
        <v>331700</v>
      </c>
      <c r="J15" s="179"/>
      <c r="K15" s="178" t="n">
        <f aca="false">+I15</f>
        <v>331700</v>
      </c>
    </row>
    <row r="16" customFormat="false" ht="12.75" hidden="false" customHeight="false" outlineLevel="0" collapsed="false">
      <c r="A16" s="172" t="n">
        <v>37104</v>
      </c>
      <c r="B16" s="173"/>
      <c r="C16" s="174" t="s">
        <v>50</v>
      </c>
      <c r="D16" s="175" t="n">
        <v>3.23</v>
      </c>
      <c r="E16" s="173"/>
      <c r="F16" s="176" t="n">
        <f aca="false">-5000*31</f>
        <v>-155000</v>
      </c>
      <c r="G16" s="173"/>
      <c r="H16" s="175" t="n">
        <f aca="false">+'[5]ELpaso SJ &amp; Prm'!$F55</f>
        <v>5.38</v>
      </c>
      <c r="I16" s="177" t="n">
        <f aca="false">SUM(D16-H16)*F16</f>
        <v>333250</v>
      </c>
      <c r="J16" s="179"/>
      <c r="K16" s="178" t="n">
        <f aca="false">+I16</f>
        <v>333250</v>
      </c>
    </row>
    <row r="17" customFormat="false" ht="12.75" hidden="false" customHeight="false" outlineLevel="0" collapsed="false">
      <c r="A17" s="172" t="n">
        <v>37135</v>
      </c>
      <c r="B17" s="173"/>
      <c r="C17" s="174" t="s">
        <v>50</v>
      </c>
      <c r="D17" s="175" t="n">
        <v>3.23</v>
      </c>
      <c r="E17" s="173"/>
      <c r="F17" s="176" t="n">
        <f aca="false">-5000*30</f>
        <v>-150000</v>
      </c>
      <c r="G17" s="173"/>
      <c r="H17" s="175" t="n">
        <f aca="false">+'[5]ELpaso SJ &amp; Prm'!$F56</f>
        <v>5.35</v>
      </c>
      <c r="I17" s="177" t="n">
        <f aca="false">SUM(D17-H17)*F17</f>
        <v>318000</v>
      </c>
      <c r="J17" s="179"/>
      <c r="K17" s="178" t="n">
        <f aca="false">+I17</f>
        <v>318000</v>
      </c>
    </row>
    <row r="18" customFormat="false" ht="12.75" hidden="false" customHeight="false" outlineLevel="0" collapsed="false">
      <c r="A18" s="172" t="n">
        <v>37165</v>
      </c>
      <c r="B18" s="173"/>
      <c r="C18" s="174" t="s">
        <v>50</v>
      </c>
      <c r="D18" s="175" t="n">
        <v>3.23</v>
      </c>
      <c r="E18" s="173"/>
      <c r="F18" s="176" t="n">
        <f aca="false">-5000*31</f>
        <v>-155000</v>
      </c>
      <c r="G18" s="173"/>
      <c r="H18" s="175" t="n">
        <f aca="false">+'[5]ELpaso SJ &amp; Prm'!$F57</f>
        <v>5.325</v>
      </c>
      <c r="I18" s="177" t="n">
        <f aca="false">SUM(D18-H18)*F18</f>
        <v>324725</v>
      </c>
      <c r="J18" s="179"/>
      <c r="K18" s="178" t="n">
        <f aca="false">+I18</f>
        <v>324725</v>
      </c>
    </row>
    <row r="19" customFormat="false" ht="12.75" hidden="false" customHeight="false" outlineLevel="0" collapsed="false">
      <c r="A19" s="172" t="n">
        <v>37196</v>
      </c>
      <c r="B19" s="173"/>
      <c r="C19" s="174" t="s">
        <v>50</v>
      </c>
      <c r="D19" s="175" t="n">
        <v>3.23</v>
      </c>
      <c r="E19" s="173"/>
      <c r="F19" s="176" t="n">
        <f aca="false">-5000*30</f>
        <v>-150000</v>
      </c>
      <c r="G19" s="173"/>
      <c r="H19" s="175" t="n">
        <f aca="false">+'[5]ELpaso SJ &amp; Prm'!$F58</f>
        <v>5.375</v>
      </c>
      <c r="I19" s="177" t="n">
        <f aca="false">SUM(D19-H19)*F19</f>
        <v>321750</v>
      </c>
      <c r="J19" s="179"/>
      <c r="K19" s="178" t="n">
        <f aca="false">+I19</f>
        <v>321750</v>
      </c>
    </row>
    <row r="20" customFormat="false" ht="12.75" hidden="false" customHeight="false" outlineLevel="0" collapsed="false">
      <c r="A20" s="172" t="n">
        <v>37226</v>
      </c>
      <c r="B20" s="173"/>
      <c r="C20" s="174" t="s">
        <v>50</v>
      </c>
      <c r="D20" s="175" t="n">
        <v>3.23</v>
      </c>
      <c r="E20" s="173"/>
      <c r="F20" s="176" t="n">
        <f aca="false">-5000*31</f>
        <v>-155000</v>
      </c>
      <c r="G20" s="173"/>
      <c r="H20" s="175" t="n">
        <f aca="false">+'[5]ELpaso SJ &amp; Prm'!$F59</f>
        <v>5.51</v>
      </c>
      <c r="I20" s="177" t="n">
        <f aca="false">SUM(D20-H20)*F20</f>
        <v>353400</v>
      </c>
      <c r="J20" s="179"/>
      <c r="K20" s="178" t="n">
        <f aca="false">+I20</f>
        <v>353400</v>
      </c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3"/>
      <c r="B22" s="173"/>
      <c r="C22" s="173"/>
      <c r="D22" s="173"/>
      <c r="E22" s="173"/>
      <c r="F22" s="180" t="n">
        <f aca="false">SUM(F9:F20)</f>
        <v>-1825000</v>
      </c>
      <c r="G22" s="173"/>
      <c r="H22" s="173"/>
      <c r="I22" s="181" t="n">
        <f aca="false">SUM(I9:I20)</f>
        <v>4780685</v>
      </c>
      <c r="J22" s="181" t="n">
        <f aca="false">SUM(J9:J20)</f>
        <v>1019900</v>
      </c>
      <c r="K22" s="181" t="n">
        <f aca="false">SUM(K9:K20)</f>
        <v>3760785</v>
      </c>
    </row>
    <row r="23" customFormat="false" ht="12.75" hidden="false" customHeight="false" outlineLevel="0" collapsed="false">
      <c r="A23" s="173"/>
      <c r="B23" s="173"/>
      <c r="C23" s="173"/>
      <c r="D23" s="173"/>
      <c r="E23" s="173"/>
      <c r="F23" s="182"/>
      <c r="G23" s="173"/>
      <c r="H23" s="173"/>
      <c r="I23" s="183"/>
      <c r="J23" s="184"/>
      <c r="K23" s="184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73"/>
      <c r="G24" s="185" t="s">
        <v>135</v>
      </c>
      <c r="H24" s="186"/>
      <c r="I24" s="173"/>
      <c r="J24" s="179"/>
      <c r="K24" s="179"/>
    </row>
    <row r="25" customFormat="false" ht="12.75" hidden="false" customHeight="false" outlineLevel="0" collapsed="false">
      <c r="A25" s="173"/>
      <c r="B25" s="173"/>
      <c r="C25" s="173"/>
      <c r="D25" s="175"/>
      <c r="E25" s="173"/>
      <c r="F25" s="173"/>
      <c r="G25" s="187"/>
      <c r="H25" s="186"/>
      <c r="I25" s="173"/>
      <c r="J25" s="179"/>
      <c r="K25" s="179"/>
    </row>
    <row r="26" customFormat="false" ht="12.75" hidden="false" customHeight="false" outlineLevel="0" collapsed="false">
      <c r="A26" s="172" t="n">
        <v>36892</v>
      </c>
      <c r="B26" s="173"/>
      <c r="C26" s="174" t="s">
        <v>137</v>
      </c>
      <c r="D26" s="175" t="n">
        <v>3.23</v>
      </c>
      <c r="E26" s="173"/>
      <c r="F26" s="176" t="n">
        <f aca="false">5000*31</f>
        <v>155000</v>
      </c>
      <c r="G26" s="175"/>
      <c r="H26" s="175" t="n">
        <v>9.81</v>
      </c>
      <c r="I26" s="177" t="n">
        <f aca="false">(+D26-H26)*F26</f>
        <v>-1019900</v>
      </c>
      <c r="J26" s="178" t="n">
        <f aca="false">+I26</f>
        <v>-1019900</v>
      </c>
      <c r="K26" s="178"/>
    </row>
    <row r="27" customFormat="false" ht="12.75" hidden="false" customHeight="false" outlineLevel="0" collapsed="false">
      <c r="A27" s="172" t="n">
        <v>36923</v>
      </c>
      <c r="B27" s="173"/>
      <c r="C27" s="174" t="s">
        <v>137</v>
      </c>
      <c r="D27" s="175" t="n">
        <v>3.23</v>
      </c>
      <c r="E27" s="173"/>
      <c r="F27" s="176" t="n">
        <f aca="false">5000*28</f>
        <v>140000</v>
      </c>
      <c r="G27" s="175"/>
      <c r="H27" s="175" t="n">
        <f aca="false">+'[5]ELpaso SJ &amp; Prm'!$F49</f>
        <v>6.605</v>
      </c>
      <c r="I27" s="177" t="n">
        <f aca="false">(+D27-H27)*F27</f>
        <v>-472500</v>
      </c>
      <c r="J27" s="178"/>
      <c r="K27" s="178" t="n">
        <f aca="false">+I27</f>
        <v>-472500</v>
      </c>
    </row>
    <row r="28" customFormat="false" ht="12.75" hidden="false" customHeight="false" outlineLevel="0" collapsed="false">
      <c r="A28" s="172" t="n">
        <v>36951</v>
      </c>
      <c r="B28" s="173"/>
      <c r="C28" s="174" t="s">
        <v>137</v>
      </c>
      <c r="D28" s="175" t="n">
        <v>3.23</v>
      </c>
      <c r="E28" s="173"/>
      <c r="F28" s="176" t="n">
        <f aca="false">5000*31</f>
        <v>155000</v>
      </c>
      <c r="G28" s="175"/>
      <c r="H28" s="175" t="n">
        <f aca="false">+'[5]ELpaso SJ &amp; Prm'!$F50</f>
        <v>5.832</v>
      </c>
      <c r="I28" s="177" t="n">
        <f aca="false">(+D28-H28)*F28</f>
        <v>-403310</v>
      </c>
      <c r="J28" s="178"/>
      <c r="K28" s="178" t="n">
        <f aca="false">+I28</f>
        <v>-403310</v>
      </c>
    </row>
    <row r="29" customFormat="false" ht="12.75" hidden="false" customHeight="false" outlineLevel="0" collapsed="false">
      <c r="A29" s="172" t="n">
        <v>36982</v>
      </c>
      <c r="B29" s="173"/>
      <c r="C29" s="174" t="s">
        <v>137</v>
      </c>
      <c r="D29" s="175" t="n">
        <v>3.23</v>
      </c>
      <c r="E29" s="173"/>
      <c r="F29" s="176" t="n">
        <f aca="false">5000*30</f>
        <v>150000</v>
      </c>
      <c r="G29" s="175"/>
      <c r="H29" s="175" t="n">
        <f aca="false">+'[5]ELpaso SJ &amp; Prm'!$F51</f>
        <v>5.3</v>
      </c>
      <c r="I29" s="177" t="n">
        <f aca="false">(+D29-H29)*F29</f>
        <v>-310500</v>
      </c>
      <c r="J29" s="178"/>
      <c r="K29" s="178" t="n">
        <f aca="false">+I29</f>
        <v>-310500</v>
      </c>
    </row>
    <row r="30" customFormat="false" ht="12.75" hidden="false" customHeight="false" outlineLevel="0" collapsed="false">
      <c r="A30" s="172" t="n">
        <v>37012</v>
      </c>
      <c r="B30" s="173"/>
      <c r="C30" s="174" t="s">
        <v>137</v>
      </c>
      <c r="D30" s="175" t="n">
        <v>3.23</v>
      </c>
      <c r="E30" s="173"/>
      <c r="F30" s="176" t="n">
        <f aca="false">5000*31</f>
        <v>155000</v>
      </c>
      <c r="G30" s="173"/>
      <c r="H30" s="175" t="n">
        <f aca="false">+'[5]ELpaso SJ &amp; Prm'!$F52</f>
        <v>5.16</v>
      </c>
      <c r="I30" s="177" t="n">
        <f aca="false">(+D30-H30)*F30</f>
        <v>-299150</v>
      </c>
      <c r="J30" s="179"/>
      <c r="K30" s="178" t="n">
        <f aca="false">+I30</f>
        <v>-299150</v>
      </c>
    </row>
    <row r="31" customFormat="false" ht="12.75" hidden="false" customHeight="false" outlineLevel="0" collapsed="false">
      <c r="A31" s="172" t="n">
        <v>37043</v>
      </c>
      <c r="B31" s="173"/>
      <c r="C31" s="174" t="s">
        <v>137</v>
      </c>
      <c r="D31" s="175" t="n">
        <v>3.23</v>
      </c>
      <c r="E31" s="173"/>
      <c r="F31" s="176" t="n">
        <f aca="false">5000*30</f>
        <v>150000</v>
      </c>
      <c r="G31" s="173"/>
      <c r="H31" s="175" t="n">
        <f aca="false">+'[5]ELpaso SJ &amp; Prm'!$F53</f>
        <v>5.18</v>
      </c>
      <c r="I31" s="177" t="n">
        <f aca="false">(+D31-H31)*F31</f>
        <v>-292500</v>
      </c>
      <c r="J31" s="179"/>
      <c r="K31" s="178" t="n">
        <f aca="false">+I31</f>
        <v>-292500</v>
      </c>
    </row>
    <row r="32" customFormat="false" ht="12.75" hidden="false" customHeight="false" outlineLevel="0" collapsed="false">
      <c r="A32" s="172" t="n">
        <v>37073</v>
      </c>
      <c r="B32" s="173"/>
      <c r="C32" s="174" t="s">
        <v>137</v>
      </c>
      <c r="D32" s="175" t="n">
        <v>3.23</v>
      </c>
      <c r="E32" s="173"/>
      <c r="F32" s="176" t="n">
        <f aca="false">5000*31</f>
        <v>155000</v>
      </c>
      <c r="G32" s="173"/>
      <c r="H32" s="175" t="n">
        <f aca="false">+'[5]ELpaso SJ &amp; Prm'!$F54</f>
        <v>5.37</v>
      </c>
      <c r="I32" s="177" t="n">
        <f aca="false">(+D32-H32)*F32</f>
        <v>-331700</v>
      </c>
      <c r="J32" s="179"/>
      <c r="K32" s="178" t="n">
        <f aca="false">+I32</f>
        <v>-331700</v>
      </c>
    </row>
    <row r="33" customFormat="false" ht="12.75" hidden="false" customHeight="false" outlineLevel="0" collapsed="false">
      <c r="A33" s="172" t="n">
        <v>37104</v>
      </c>
      <c r="B33" s="173"/>
      <c r="C33" s="174" t="s">
        <v>137</v>
      </c>
      <c r="D33" s="175" t="n">
        <v>3.23</v>
      </c>
      <c r="E33" s="173"/>
      <c r="F33" s="176" t="n">
        <f aca="false">5000*31</f>
        <v>155000</v>
      </c>
      <c r="G33" s="173"/>
      <c r="H33" s="175" t="n">
        <f aca="false">+'[5]ELpaso SJ &amp; Prm'!$F55</f>
        <v>5.38</v>
      </c>
      <c r="I33" s="177" t="n">
        <f aca="false">(+D33-H33)*F33</f>
        <v>-333250</v>
      </c>
      <c r="J33" s="179"/>
      <c r="K33" s="178" t="n">
        <f aca="false">+I33</f>
        <v>-333250</v>
      </c>
    </row>
    <row r="34" customFormat="false" ht="12.75" hidden="false" customHeight="false" outlineLevel="0" collapsed="false">
      <c r="A34" s="172" t="n">
        <v>37135</v>
      </c>
      <c r="B34" s="173"/>
      <c r="C34" s="174" t="s">
        <v>137</v>
      </c>
      <c r="D34" s="175" t="n">
        <v>3.23</v>
      </c>
      <c r="E34" s="173"/>
      <c r="F34" s="176" t="n">
        <f aca="false">5000*30</f>
        <v>150000</v>
      </c>
      <c r="G34" s="173"/>
      <c r="H34" s="175" t="n">
        <f aca="false">+'[5]ELpaso SJ &amp; Prm'!$F56</f>
        <v>5.35</v>
      </c>
      <c r="I34" s="177" t="n">
        <f aca="false">(+D34-H34)*F34</f>
        <v>-318000</v>
      </c>
      <c r="J34" s="179"/>
      <c r="K34" s="178" t="n">
        <f aca="false">+I34</f>
        <v>-318000</v>
      </c>
    </row>
    <row r="35" customFormat="false" ht="12.75" hidden="false" customHeight="false" outlineLevel="0" collapsed="false">
      <c r="A35" s="172" t="n">
        <v>37165</v>
      </c>
      <c r="B35" s="173"/>
      <c r="C35" s="174" t="s">
        <v>137</v>
      </c>
      <c r="D35" s="175" t="n">
        <v>3.23</v>
      </c>
      <c r="E35" s="173"/>
      <c r="F35" s="176" t="n">
        <f aca="false">5000*31</f>
        <v>155000</v>
      </c>
      <c r="G35" s="173"/>
      <c r="H35" s="175" t="n">
        <f aca="false">+'[5]ELpaso SJ &amp; Prm'!$F57</f>
        <v>5.325</v>
      </c>
      <c r="I35" s="177" t="n">
        <f aca="false">(+D35-H35)*F35</f>
        <v>-324725</v>
      </c>
      <c r="J35" s="179"/>
      <c r="K35" s="178" t="n">
        <f aca="false">+I35</f>
        <v>-324725</v>
      </c>
    </row>
    <row r="36" customFormat="false" ht="12.75" hidden="false" customHeight="false" outlineLevel="0" collapsed="false">
      <c r="A36" s="172" t="n">
        <v>37196</v>
      </c>
      <c r="B36" s="173"/>
      <c r="C36" s="174" t="s">
        <v>137</v>
      </c>
      <c r="D36" s="175" t="n">
        <v>3.23</v>
      </c>
      <c r="E36" s="173"/>
      <c r="F36" s="176" t="n">
        <f aca="false">5000*30</f>
        <v>150000</v>
      </c>
      <c r="G36" s="173"/>
      <c r="H36" s="175" t="n">
        <f aca="false">+'[5]ELpaso SJ &amp; Prm'!$F58</f>
        <v>5.375</v>
      </c>
      <c r="I36" s="177" t="n">
        <f aca="false">(+D36-H36)*F36</f>
        <v>-321750</v>
      </c>
      <c r="J36" s="179"/>
      <c r="K36" s="178" t="n">
        <f aca="false">+I36</f>
        <v>-321750</v>
      </c>
    </row>
    <row r="37" customFormat="false" ht="12.75" hidden="false" customHeight="false" outlineLevel="0" collapsed="false">
      <c r="A37" s="172" t="n">
        <v>37226</v>
      </c>
      <c r="B37" s="173"/>
      <c r="C37" s="174" t="s">
        <v>137</v>
      </c>
      <c r="D37" s="175" t="n">
        <v>3.23</v>
      </c>
      <c r="E37" s="173"/>
      <c r="F37" s="176" t="n">
        <f aca="false">5000*31</f>
        <v>155000</v>
      </c>
      <c r="G37" s="173"/>
      <c r="H37" s="175" t="n">
        <f aca="false">+'[5]ELpaso SJ &amp; Prm'!$F59</f>
        <v>5.51</v>
      </c>
      <c r="I37" s="177" t="n">
        <f aca="false">(+D37-H37)*F37</f>
        <v>-353400</v>
      </c>
      <c r="J37" s="179"/>
      <c r="K37" s="178" t="n">
        <f aca="false">+I37</f>
        <v>-353400</v>
      </c>
    </row>
    <row r="38" customFormat="false" ht="12.75" hidden="false" customHeight="false" outlineLevel="0" collapsed="false">
      <c r="A38" s="172"/>
      <c r="B38" s="173"/>
      <c r="C38" s="174"/>
      <c r="D38" s="175"/>
      <c r="E38" s="173"/>
      <c r="F38" s="176"/>
      <c r="G38" s="173"/>
      <c r="H38" s="175"/>
      <c r="I38" s="188"/>
      <c r="J38" s="179"/>
      <c r="K38" s="178"/>
    </row>
    <row r="39" customFormat="false" ht="12.75" hidden="false" customHeight="false" outlineLevel="0" collapsed="false">
      <c r="A39" s="173"/>
      <c r="B39" s="173"/>
      <c r="C39" s="173"/>
      <c r="D39" s="173"/>
      <c r="E39" s="173"/>
      <c r="F39" s="180" t="n">
        <f aca="false">SUM(F26:F38)</f>
        <v>1825000</v>
      </c>
      <c r="G39" s="173"/>
      <c r="H39" s="173"/>
      <c r="I39" s="189" t="n">
        <f aca="false">SUM(I26:I38)</f>
        <v>-4780685</v>
      </c>
      <c r="J39" s="189" t="n">
        <f aca="false">SUM(J26:J38)</f>
        <v>-1019900</v>
      </c>
      <c r="K39" s="189" t="n">
        <f aca="false">SUM(K26:K38)</f>
        <v>-3760785</v>
      </c>
    </row>
    <row r="40" customFormat="false" ht="12.75" hidden="false" customHeight="false" outlineLevel="0" collapsed="false">
      <c r="A40" s="173"/>
      <c r="B40" s="173"/>
      <c r="C40" s="173"/>
      <c r="D40" s="173"/>
      <c r="E40" s="173"/>
      <c r="F40" s="173"/>
      <c r="G40" s="173"/>
      <c r="H40" s="173"/>
      <c r="I40" s="173"/>
      <c r="J40" s="179"/>
      <c r="K40" s="179"/>
    </row>
    <row r="41" customFormat="false" ht="13.5" hidden="false" customHeight="false" outlineLevel="0" collapsed="false">
      <c r="A41" s="173"/>
      <c r="B41" s="173"/>
      <c r="C41" s="173"/>
      <c r="D41" s="173"/>
      <c r="E41" s="173"/>
      <c r="F41" s="190" t="n">
        <f aca="false">+F39+F22</f>
        <v>0</v>
      </c>
      <c r="G41" s="173"/>
      <c r="H41" s="173"/>
      <c r="I41" s="191" t="n">
        <f aca="false">+I39+I22</f>
        <v>0</v>
      </c>
      <c r="J41" s="191" t="n">
        <f aca="false">+J39+J22</f>
        <v>0</v>
      </c>
      <c r="K41" s="191" t="n">
        <f aca="false">+K39+K22</f>
        <v>0</v>
      </c>
    </row>
    <row r="42" customFormat="false" ht="13.5" hidden="false" customHeight="false" outlineLevel="0" collapsed="false">
      <c r="A42" s="192"/>
      <c r="B42" s="192"/>
      <c r="C42" s="192"/>
      <c r="D42" s="192"/>
      <c r="E42" s="192"/>
      <c r="F42" s="192"/>
      <c r="G42" s="192"/>
      <c r="H42" s="192"/>
      <c r="I42" s="192"/>
      <c r="J42" s="193"/>
      <c r="K42" s="193"/>
    </row>
    <row r="44" customFormat="false" ht="12.75" hidden="false" customHeight="false" outlineLevel="0" collapsed="false">
      <c r="A44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true" showRowColHeaders="true" showZeros="true" rightToLeft="false" tabSelected="false" showOutlineSymbols="true" defaultGridColor="true" view="normal" topLeftCell="C5" colorId="64" zoomScale="100" zoomScaleNormal="100" zoomScalePageLayoutView="100" workbookViewId="0">
      <selection pane="topLeft" activeCell="C5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201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31</v>
      </c>
      <c r="E6" s="161"/>
      <c r="F6" s="161"/>
      <c r="G6" s="161"/>
      <c r="H6" s="161" t="s">
        <v>42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202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198</v>
      </c>
      <c r="E8" s="204"/>
      <c r="F8" s="204"/>
      <c r="G8" s="206"/>
      <c r="H8" s="164" t="s">
        <v>203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-0.27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37257</v>
      </c>
      <c r="B10" s="173"/>
      <c r="C10" s="174" t="s">
        <v>42</v>
      </c>
      <c r="D10" s="175" t="n">
        <f aca="false">+[5]NYMEX!$C19+$D$9</f>
        <v>5.22</v>
      </c>
      <c r="E10" s="173"/>
      <c r="F10" s="176" t="n">
        <f aca="false">27500*31</f>
        <v>852500</v>
      </c>
      <c r="G10" s="175"/>
      <c r="H10" s="175" t="n">
        <f aca="false">+'[5]ELpaso SJ &amp; Prm'!$F20</f>
        <v>5.255</v>
      </c>
      <c r="I10" s="177" t="n">
        <f aca="false">(+D10-H10)*F10</f>
        <v>-29837.4999999994</v>
      </c>
      <c r="J10" s="178"/>
      <c r="K10" s="178" t="n">
        <f aca="false">+I10</f>
        <v>-29837.4999999994</v>
      </c>
    </row>
    <row r="11" customFormat="false" ht="12.75" hidden="false" customHeight="false" outlineLevel="0" collapsed="false">
      <c r="A11" s="172" t="n">
        <v>37288</v>
      </c>
      <c r="B11" s="173"/>
      <c r="C11" s="174" t="s">
        <v>42</v>
      </c>
      <c r="D11" s="175" t="n">
        <f aca="false">+[5]NYMEX!$C20+$D$9</f>
        <v>5.03</v>
      </c>
      <c r="E11" s="173"/>
      <c r="F11" s="176" t="n">
        <f aca="false">27500*28</f>
        <v>770000</v>
      </c>
      <c r="G11" s="175"/>
      <c r="H11" s="175" t="n">
        <f aca="false">+'[5]ELpaso SJ &amp; Prm'!$F21</f>
        <v>5.065</v>
      </c>
      <c r="I11" s="177" t="n">
        <f aca="false">(+D11-H11)*F11</f>
        <v>-26950.0000000001</v>
      </c>
      <c r="J11" s="178"/>
      <c r="K11" s="178" t="n">
        <f aca="false">+I11</f>
        <v>-26950.0000000001</v>
      </c>
    </row>
    <row r="12" customFormat="false" ht="12.75" hidden="false" customHeight="false" outlineLevel="0" collapsed="false">
      <c r="A12" s="172" t="n">
        <v>37316</v>
      </c>
      <c r="B12" s="173"/>
      <c r="C12" s="174" t="s">
        <v>42</v>
      </c>
      <c r="D12" s="175" t="n">
        <f aca="false">+[5]NYMEX!$C21+$D$9</f>
        <v>4.73</v>
      </c>
      <c r="E12" s="173"/>
      <c r="F12" s="176" t="n">
        <f aca="false">27500*31</f>
        <v>852500</v>
      </c>
      <c r="G12" s="173"/>
      <c r="H12" s="175" t="n">
        <f aca="false">+'[5]ELpaso SJ &amp; Prm'!$F22</f>
        <v>4.765</v>
      </c>
      <c r="I12" s="177" t="n">
        <f aca="false">(+D12-H12)*F12</f>
        <v>-29837.4999999994</v>
      </c>
      <c r="J12" s="207"/>
      <c r="K12" s="178" t="n">
        <f aca="false">+I12</f>
        <v>-29837.4999999994</v>
      </c>
      <c r="L12" s="207"/>
    </row>
    <row r="13" customFormat="false" ht="12.75" hidden="false" customHeight="false" outlineLevel="0" collapsed="false">
      <c r="A13" s="172" t="n">
        <v>37347</v>
      </c>
      <c r="B13" s="173"/>
      <c r="C13" s="174" t="s">
        <v>42</v>
      </c>
      <c r="D13" s="175" t="n">
        <f aca="false">+[5]NYMEX!$C22+$D$9</f>
        <v>4.3</v>
      </c>
      <c r="E13" s="173"/>
      <c r="F13" s="176" t="n">
        <f aca="false">27500*30</f>
        <v>825000</v>
      </c>
      <c r="G13" s="173"/>
      <c r="H13" s="175" t="n">
        <f aca="false">+'[5]ELpaso SJ &amp; Prm'!$F23</f>
        <v>4.37</v>
      </c>
      <c r="I13" s="177" t="n">
        <f aca="false">(+D13-H13)*F13</f>
        <v>-57749.9999999995</v>
      </c>
      <c r="J13" s="173"/>
      <c r="K13" s="178" t="n">
        <f aca="false">+I13</f>
        <v>-57749.9999999995</v>
      </c>
    </row>
    <row r="14" customFormat="false" ht="12.75" hidden="false" customHeight="false" outlineLevel="0" collapsed="false">
      <c r="A14" s="172" t="n">
        <v>37377</v>
      </c>
      <c r="B14" s="173"/>
      <c r="C14" s="174" t="s">
        <v>42</v>
      </c>
      <c r="D14" s="175" t="n">
        <f aca="false">+[5]NYMEX!$C23+$D$9</f>
        <v>4.17</v>
      </c>
      <c r="E14" s="173"/>
      <c r="F14" s="176" t="n">
        <f aca="false">27500*31</f>
        <v>852500</v>
      </c>
      <c r="G14" s="173"/>
      <c r="H14" s="175" t="n">
        <f aca="false">+'[5]ELpaso SJ &amp; Prm'!$F24</f>
        <v>4.24</v>
      </c>
      <c r="I14" s="177" t="n">
        <f aca="false">(+D14-H14)*F14</f>
        <v>-59675.0000000002</v>
      </c>
      <c r="J14" s="173"/>
      <c r="K14" s="178" t="n">
        <f aca="false">+I14</f>
        <v>-59675.0000000002</v>
      </c>
    </row>
    <row r="15" customFormat="false" ht="12.75" hidden="false" customHeight="false" outlineLevel="0" collapsed="false">
      <c r="A15" s="172" t="n">
        <v>37408</v>
      </c>
      <c r="B15" s="173"/>
      <c r="C15" s="174" t="s">
        <v>42</v>
      </c>
      <c r="D15" s="175" t="n">
        <f aca="false">+[5]NYMEX!$C24+$D$9</f>
        <v>4.165</v>
      </c>
      <c r="E15" s="173"/>
      <c r="F15" s="176" t="n">
        <f aca="false">27500*30</f>
        <v>825000</v>
      </c>
      <c r="G15" s="173"/>
      <c r="H15" s="175" t="n">
        <f aca="false">+'[5]ELpaso SJ &amp; Prm'!$F25</f>
        <v>4.235</v>
      </c>
      <c r="I15" s="177" t="n">
        <f aca="false">(+D15-H15)*F15</f>
        <v>-57750.0000000002</v>
      </c>
      <c r="J15" s="173"/>
      <c r="K15" s="178" t="n">
        <f aca="false">+I15</f>
        <v>-57750.0000000002</v>
      </c>
    </row>
    <row r="16" customFormat="false" ht="12.75" hidden="false" customHeight="false" outlineLevel="0" collapsed="false">
      <c r="A16" s="172" t="n">
        <v>37438</v>
      </c>
      <c r="B16" s="173"/>
      <c r="C16" s="174" t="s">
        <v>42</v>
      </c>
      <c r="D16" s="175" t="n">
        <f aca="false">+[5]NYMEX!$C25+$D$9</f>
        <v>4.18</v>
      </c>
      <c r="E16" s="173"/>
      <c r="F16" s="176" t="n">
        <f aca="false">27500*31</f>
        <v>852500</v>
      </c>
      <c r="G16" s="173"/>
      <c r="H16" s="175" t="n">
        <f aca="false">+'[5]ELpaso SJ &amp; Prm'!$F26</f>
        <v>4.25</v>
      </c>
      <c r="I16" s="177" t="n">
        <f aca="false">(+D16-H16)*F16</f>
        <v>-59675.0000000002</v>
      </c>
      <c r="J16" s="173"/>
      <c r="K16" s="178" t="n">
        <f aca="false">+I16</f>
        <v>-59675.0000000002</v>
      </c>
    </row>
    <row r="17" customFormat="false" ht="12.75" hidden="false" customHeight="false" outlineLevel="0" collapsed="false">
      <c r="A17" s="172" t="n">
        <v>37469</v>
      </c>
      <c r="B17" s="173"/>
      <c r="C17" s="174" t="s">
        <v>42</v>
      </c>
      <c r="D17" s="175" t="n">
        <f aca="false">+[5]NYMEX!$C26+$D$9</f>
        <v>4.18</v>
      </c>
      <c r="E17" s="173"/>
      <c r="F17" s="176" t="n">
        <f aca="false">27500*31</f>
        <v>852500</v>
      </c>
      <c r="G17" s="173"/>
      <c r="H17" s="175" t="n">
        <f aca="false">+'[5]ELpaso SJ &amp; Prm'!$F27</f>
        <v>4.25</v>
      </c>
      <c r="I17" s="177" t="n">
        <f aca="false">(+D17-H17)*F17</f>
        <v>-59675.0000000002</v>
      </c>
      <c r="J17" s="173"/>
      <c r="K17" s="178" t="n">
        <f aca="false">+I17</f>
        <v>-59675.0000000002</v>
      </c>
    </row>
    <row r="18" customFormat="false" ht="12.75" hidden="false" customHeight="false" outlineLevel="0" collapsed="false">
      <c r="A18" s="172" t="n">
        <v>37500</v>
      </c>
      <c r="B18" s="173"/>
      <c r="C18" s="174" t="s">
        <v>42</v>
      </c>
      <c r="D18" s="175" t="n">
        <f aca="false">+[5]NYMEX!$C27+$D$9</f>
        <v>4.18</v>
      </c>
      <c r="E18" s="173"/>
      <c r="F18" s="176" t="n">
        <f aca="false">27500*30</f>
        <v>825000</v>
      </c>
      <c r="G18" s="173"/>
      <c r="H18" s="175" t="n">
        <f aca="false">+'[5]ELpaso SJ &amp; Prm'!$F28</f>
        <v>4.25</v>
      </c>
      <c r="I18" s="177" t="n">
        <f aca="false">(+D18-H18)*F18</f>
        <v>-57750.0000000002</v>
      </c>
      <c r="J18" s="173"/>
      <c r="K18" s="178" t="n">
        <f aca="false">+I18</f>
        <v>-57750.0000000002</v>
      </c>
    </row>
    <row r="19" customFormat="false" ht="12.75" hidden="false" customHeight="false" outlineLevel="0" collapsed="false">
      <c r="A19" s="172" t="n">
        <v>37530</v>
      </c>
      <c r="B19" s="173"/>
      <c r="C19" s="174" t="s">
        <v>42</v>
      </c>
      <c r="D19" s="175" t="n">
        <f aca="false">+[5]NYMEX!$C28+$D$9</f>
        <v>4.195</v>
      </c>
      <c r="E19" s="173"/>
      <c r="F19" s="176" t="n">
        <f aca="false">27500*31</f>
        <v>852500</v>
      </c>
      <c r="G19" s="173"/>
      <c r="H19" s="175" t="n">
        <f aca="false">+'[5]ELpaso SJ &amp; Prm'!$F29</f>
        <v>4.265</v>
      </c>
      <c r="I19" s="177" t="n">
        <f aca="false">(+D19-H19)*F19</f>
        <v>-59674.9999999995</v>
      </c>
      <c r="J19" s="173"/>
      <c r="K19" s="178" t="n">
        <f aca="false">+I19</f>
        <v>-59674.9999999995</v>
      </c>
    </row>
    <row r="20" customFormat="false" ht="12.75" hidden="false" customHeight="false" outlineLevel="0" collapsed="false">
      <c r="A20" s="172" t="n">
        <v>37561</v>
      </c>
      <c r="B20" s="173"/>
      <c r="C20" s="174" t="s">
        <v>42</v>
      </c>
      <c r="D20" s="175" t="n">
        <f aca="false">+[5]NYMEX!$C29+$D$9</f>
        <v>4.3</v>
      </c>
      <c r="E20" s="173"/>
      <c r="F20" s="176" t="n">
        <f aca="false">27500*30</f>
        <v>825000</v>
      </c>
      <c r="G20" s="173"/>
      <c r="H20" s="175" t="n">
        <f aca="false">+'[5]ELpaso SJ &amp; Prm'!$F30</f>
        <v>4.395</v>
      </c>
      <c r="I20" s="177" t="n">
        <f aca="false">(+D20-H20)*F20</f>
        <v>-78374.9999999998</v>
      </c>
      <c r="J20" s="173"/>
      <c r="K20" s="178" t="n">
        <f aca="false">+I20</f>
        <v>-78374.9999999998</v>
      </c>
    </row>
    <row r="21" customFormat="false" ht="12.75" hidden="false" customHeight="false" outlineLevel="0" collapsed="false">
      <c r="A21" s="172" t="n">
        <v>37591</v>
      </c>
      <c r="B21" s="173"/>
      <c r="C21" s="174" t="s">
        <v>42</v>
      </c>
      <c r="D21" s="175" t="n">
        <f aca="false">+[5]NYMEX!$C30+$D$9</f>
        <v>4.405</v>
      </c>
      <c r="E21" s="173"/>
      <c r="F21" s="196" t="n">
        <f aca="false">27500*31</f>
        <v>852500</v>
      </c>
      <c r="G21" s="173"/>
      <c r="H21" s="175" t="n">
        <f aca="false">+'[5]ELpaso SJ &amp; Prm'!$F31</f>
        <v>4.5</v>
      </c>
      <c r="I21" s="197" t="n">
        <f aca="false">(+D21-H21)*F21</f>
        <v>-80987.5000000005</v>
      </c>
      <c r="J21" s="197"/>
      <c r="K21" s="264" t="n">
        <f aca="false">+I21</f>
        <v>-80987.5000000005</v>
      </c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76" t="n">
        <f aca="false">SUM(F10:F21)</f>
        <v>10037500</v>
      </c>
      <c r="G22" s="173"/>
      <c r="H22" s="175"/>
      <c r="I22" s="177" t="n">
        <f aca="false">SUM(I10:I21)</f>
        <v>-657937.499999999</v>
      </c>
      <c r="J22" s="177" t="n">
        <f aca="false">SUM(J10:J21)</f>
        <v>0</v>
      </c>
      <c r="K22" s="177" t="n">
        <f aca="false">SUM(K10:K21)</f>
        <v>-657937.499999999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07"/>
      <c r="H23" s="26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10037500</v>
      </c>
      <c r="G25" s="173"/>
      <c r="H25" s="175"/>
      <c r="I25" s="201" t="n">
        <f aca="false">+I22</f>
        <v>-657937.499999999</v>
      </c>
      <c r="J25" s="201" t="n">
        <f aca="false">+J22</f>
        <v>0</v>
      </c>
      <c r="K25" s="201" t="n">
        <f aca="false">+K22</f>
        <v>-657937.499999999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  <row r="31" customFormat="false" ht="12.75" hidden="false" customHeight="false" outlineLevel="0" collapsed="false">
      <c r="F31" s="0" t="n">
        <f aca="false">+'[5]NGI Socal'!$E$10-0.05</f>
        <v>7.67</v>
      </c>
      <c r="G31" s="266" t="n">
        <f aca="false">+$F$33*F10</f>
        <v>2058787.5</v>
      </c>
    </row>
    <row r="32" customFormat="false" ht="12.75" hidden="false" customHeight="false" outlineLevel="0" collapsed="false">
      <c r="F32" s="0" t="n">
        <f aca="false">-'[5]ELpaso SJ &amp; Prm'!$F$20</f>
        <v>-5.255</v>
      </c>
      <c r="G32" s="266" t="n">
        <f aca="false">+$F$33*F11</f>
        <v>1859550</v>
      </c>
    </row>
    <row r="33" customFormat="false" ht="12.75" hidden="false" customHeight="false" outlineLevel="0" collapsed="false">
      <c r="F33" s="0" t="n">
        <f aca="false">+F31+F32</f>
        <v>2.415</v>
      </c>
      <c r="G33" s="266" t="n">
        <f aca="false">+$F$33*F12</f>
        <v>2058787.5</v>
      </c>
    </row>
    <row r="34" customFormat="false" ht="12.75" hidden="false" customHeight="false" outlineLevel="0" collapsed="false">
      <c r="G34" s="266" t="n">
        <f aca="false">+$F$33*F13</f>
        <v>1992375</v>
      </c>
    </row>
    <row r="35" customFormat="false" ht="12.75" hidden="false" customHeight="false" outlineLevel="0" collapsed="false">
      <c r="G35" s="266" t="n">
        <f aca="false">+$F$33*F14</f>
        <v>2058787.5</v>
      </c>
    </row>
    <row r="36" customFormat="false" ht="12.75" hidden="false" customHeight="false" outlineLevel="0" collapsed="false">
      <c r="G36" s="266" t="n">
        <f aca="false">+$F$33*F15</f>
        <v>1992375</v>
      </c>
    </row>
    <row r="37" customFormat="false" ht="12.75" hidden="false" customHeight="false" outlineLevel="0" collapsed="false">
      <c r="G37" s="266" t="n">
        <f aca="false">+$F$33*F16</f>
        <v>2058787.5</v>
      </c>
    </row>
    <row r="38" customFormat="false" ht="12.75" hidden="false" customHeight="false" outlineLevel="0" collapsed="false">
      <c r="G38" s="266" t="n">
        <f aca="false">+$F$33*F17</f>
        <v>2058787.5</v>
      </c>
    </row>
    <row r="39" customFormat="false" ht="12.75" hidden="false" customHeight="false" outlineLevel="0" collapsed="false">
      <c r="G39" s="266" t="n">
        <f aca="false">+$F$33*F18</f>
        <v>1992375</v>
      </c>
    </row>
    <row r="40" customFormat="false" ht="12.75" hidden="false" customHeight="false" outlineLevel="0" collapsed="false">
      <c r="G40" s="266" t="n">
        <f aca="false">+$F$33*F19</f>
        <v>2058787.5</v>
      </c>
    </row>
    <row r="41" customFormat="false" ht="12.75" hidden="false" customHeight="false" outlineLevel="0" collapsed="false">
      <c r="G41" s="266" t="n">
        <f aca="false">+$F$33*F20</f>
        <v>1992375</v>
      </c>
    </row>
    <row r="42" customFormat="false" ht="12.75" hidden="false" customHeight="false" outlineLevel="0" collapsed="false">
      <c r="G42" s="266" t="n">
        <f aca="false">+$F$33*F21</f>
        <v>2058787.5</v>
      </c>
    </row>
    <row r="43" customFormat="false" ht="12.75" hidden="false" customHeight="false" outlineLevel="0" collapsed="false">
      <c r="G43" s="266" t="n">
        <f aca="false">SUM(G31:G42)</f>
        <v>24240562.5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204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42</v>
      </c>
      <c r="E6" s="161"/>
      <c r="F6" s="161"/>
      <c r="G6" s="161"/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205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206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1.05</v>
      </c>
      <c r="E9" s="167"/>
      <c r="F9" s="167"/>
      <c r="G9" s="169"/>
      <c r="H9" s="170" t="s">
        <v>207</v>
      </c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37257</v>
      </c>
      <c r="B10" s="173"/>
      <c r="C10" s="174" t="s">
        <v>42</v>
      </c>
      <c r="D10" s="175" t="n">
        <f aca="false">+[5]NYMEX!$C19+$D$9</f>
        <v>6.54</v>
      </c>
      <c r="E10" s="173"/>
      <c r="F10" s="176" t="n">
        <f aca="false">27500*31</f>
        <v>852500</v>
      </c>
      <c r="G10" s="175"/>
      <c r="H10" s="175" t="n">
        <f aca="false">+'[5]NGI Socal'!$E10</f>
        <v>7.72</v>
      </c>
      <c r="I10" s="177" t="n">
        <f aca="false">(-D10+H10)*F10</f>
        <v>1005950</v>
      </c>
      <c r="J10" s="178"/>
      <c r="K10" s="178" t="n">
        <f aca="false">+I10</f>
        <v>1005950</v>
      </c>
    </row>
    <row r="11" customFormat="false" ht="12.75" hidden="false" customHeight="false" outlineLevel="0" collapsed="false">
      <c r="A11" s="172" t="n">
        <v>37288</v>
      </c>
      <c r="B11" s="173"/>
      <c r="C11" s="174" t="s">
        <v>42</v>
      </c>
      <c r="D11" s="175" t="n">
        <f aca="false">+[5]NYMEX!$C20+$D$9</f>
        <v>6.35</v>
      </c>
      <c r="E11" s="173"/>
      <c r="F11" s="176" t="n">
        <f aca="false">27500*28</f>
        <v>770000</v>
      </c>
      <c r="G11" s="175"/>
      <c r="H11" s="175" t="n">
        <f aca="false">+'[5]NGI Socal'!$E11</f>
        <v>7.43</v>
      </c>
      <c r="I11" s="177" t="n">
        <f aca="false">+F11*(+H11-D11)</f>
        <v>831600</v>
      </c>
      <c r="J11" s="178"/>
      <c r="K11" s="178" t="n">
        <f aca="false">+I11</f>
        <v>831600</v>
      </c>
    </row>
    <row r="12" customFormat="false" ht="12.75" hidden="false" customHeight="false" outlineLevel="0" collapsed="false">
      <c r="A12" s="172" t="n">
        <v>37316</v>
      </c>
      <c r="B12" s="173"/>
      <c r="C12" s="174" t="s">
        <v>42</v>
      </c>
      <c r="D12" s="175" t="n">
        <f aca="false">+[5]NYMEX!$C21+$D$9</f>
        <v>6.05</v>
      </c>
      <c r="E12" s="173"/>
      <c r="F12" s="176" t="n">
        <f aca="false">27500*31</f>
        <v>852500</v>
      </c>
      <c r="G12" s="173"/>
      <c r="H12" s="175" t="n">
        <f aca="false">+'[5]NGI Socal'!$E12</f>
        <v>6.68</v>
      </c>
      <c r="I12" s="177" t="n">
        <f aca="false">+F12*(+H12-D12)</f>
        <v>537075.000000001</v>
      </c>
      <c r="J12" s="207"/>
      <c r="K12" s="178" t="n">
        <f aca="false">+I12</f>
        <v>537075.000000001</v>
      </c>
      <c r="L12" s="207"/>
    </row>
    <row r="13" customFormat="false" ht="12.75" hidden="false" customHeight="false" outlineLevel="0" collapsed="false">
      <c r="A13" s="172" t="n">
        <v>37347</v>
      </c>
      <c r="B13" s="173"/>
      <c r="C13" s="174" t="s">
        <v>42</v>
      </c>
      <c r="D13" s="175" t="n">
        <f aca="false">+[5]NYMEX!$C22+$D$9</f>
        <v>5.62</v>
      </c>
      <c r="E13" s="173"/>
      <c r="F13" s="176" t="n">
        <f aca="false">27500*30</f>
        <v>825000</v>
      </c>
      <c r="G13" s="173"/>
      <c r="H13" s="175" t="n">
        <f aca="false">+'[5]NGI Socal'!$E13</f>
        <v>6.1</v>
      </c>
      <c r="I13" s="177" t="n">
        <f aca="false">+F13*(+H13-D13)</f>
        <v>396000</v>
      </c>
      <c r="J13" s="173"/>
      <c r="K13" s="178" t="n">
        <f aca="false">+I13</f>
        <v>396000</v>
      </c>
    </row>
    <row r="14" customFormat="false" ht="12.75" hidden="false" customHeight="false" outlineLevel="0" collapsed="false">
      <c r="A14" s="172" t="n">
        <v>37377</v>
      </c>
      <c r="B14" s="173"/>
      <c r="C14" s="174" t="s">
        <v>42</v>
      </c>
      <c r="D14" s="175" t="n">
        <f aca="false">+[5]NYMEX!$C23+$D$9</f>
        <v>5.49</v>
      </c>
      <c r="E14" s="173"/>
      <c r="F14" s="176" t="n">
        <f aca="false">27500*31</f>
        <v>852500</v>
      </c>
      <c r="G14" s="173"/>
      <c r="H14" s="175" t="n">
        <f aca="false">+'[5]NGI Socal'!$E14</f>
        <v>5.97</v>
      </c>
      <c r="I14" s="177" t="n">
        <f aca="false">+F14*(+H14-D14)</f>
        <v>409200</v>
      </c>
      <c r="J14" s="173"/>
      <c r="K14" s="178" t="n">
        <f aca="false">+I14</f>
        <v>409200</v>
      </c>
    </row>
    <row r="15" customFormat="false" ht="12.75" hidden="false" customHeight="false" outlineLevel="0" collapsed="false">
      <c r="A15" s="172" t="n">
        <v>37408</v>
      </c>
      <c r="B15" s="173"/>
      <c r="C15" s="174" t="s">
        <v>42</v>
      </c>
      <c r="D15" s="175" t="n">
        <f aca="false">+[5]NYMEX!$C24+$D$9</f>
        <v>5.485</v>
      </c>
      <c r="E15" s="173"/>
      <c r="F15" s="176" t="n">
        <f aca="false">27500*30</f>
        <v>825000</v>
      </c>
      <c r="G15" s="173"/>
      <c r="H15" s="175" t="n">
        <f aca="false">+'[5]NGI Socal'!$E15</f>
        <v>5.965</v>
      </c>
      <c r="I15" s="177" t="n">
        <f aca="false">+F15*(+H15-D15)</f>
        <v>396000</v>
      </c>
      <c r="J15" s="173"/>
      <c r="K15" s="178" t="n">
        <f aca="false">+I15</f>
        <v>396000</v>
      </c>
    </row>
    <row r="16" customFormat="false" ht="12.75" hidden="false" customHeight="false" outlineLevel="0" collapsed="false">
      <c r="A16" s="172" t="n">
        <v>37438</v>
      </c>
      <c r="B16" s="173"/>
      <c r="C16" s="174" t="s">
        <v>42</v>
      </c>
      <c r="D16" s="175" t="n">
        <f aca="false">+[5]NYMEX!$C25+$D$9</f>
        <v>5.5</v>
      </c>
      <c r="E16" s="173"/>
      <c r="F16" s="176" t="n">
        <f aca="false">27500*31</f>
        <v>852500</v>
      </c>
      <c r="G16" s="173"/>
      <c r="H16" s="175" t="n">
        <f aca="false">+'[5]NGI Socal'!$E16</f>
        <v>6.725</v>
      </c>
      <c r="I16" s="177" t="n">
        <f aca="false">+F16*(+H16-D16)</f>
        <v>1044312.5</v>
      </c>
      <c r="J16" s="173"/>
      <c r="K16" s="178" t="n">
        <f aca="false">+I16</f>
        <v>1044312.5</v>
      </c>
    </row>
    <row r="17" customFormat="false" ht="12.75" hidden="false" customHeight="false" outlineLevel="0" collapsed="false">
      <c r="A17" s="172" t="n">
        <v>37469</v>
      </c>
      <c r="B17" s="173"/>
      <c r="C17" s="174" t="s">
        <v>42</v>
      </c>
      <c r="D17" s="175" t="n">
        <f aca="false">+[5]NYMEX!$C26+$D$9</f>
        <v>5.5</v>
      </c>
      <c r="E17" s="173"/>
      <c r="F17" s="176" t="n">
        <f aca="false">27500*31</f>
        <v>852500</v>
      </c>
      <c r="G17" s="173"/>
      <c r="H17" s="175" t="n">
        <f aca="false">+'[5]NGI Socal'!$E17</f>
        <v>6.725</v>
      </c>
      <c r="I17" s="177" t="n">
        <f aca="false">+F17*(+H17-D17)</f>
        <v>1044312.5</v>
      </c>
      <c r="J17" s="173"/>
      <c r="K17" s="178" t="n">
        <f aca="false">+I17</f>
        <v>1044312.5</v>
      </c>
    </row>
    <row r="18" customFormat="false" ht="12.75" hidden="false" customHeight="false" outlineLevel="0" collapsed="false">
      <c r="A18" s="172" t="n">
        <v>37500</v>
      </c>
      <c r="B18" s="173"/>
      <c r="C18" s="174" t="s">
        <v>42</v>
      </c>
      <c r="D18" s="175" t="n">
        <f aca="false">+[5]NYMEX!$C27+$D$9</f>
        <v>5.5</v>
      </c>
      <c r="E18" s="173"/>
      <c r="F18" s="176" t="n">
        <f aca="false">27500*30</f>
        <v>825000</v>
      </c>
      <c r="G18" s="173"/>
      <c r="H18" s="175" t="n">
        <f aca="false">+'[5]NGI Socal'!$E18</f>
        <v>6.725</v>
      </c>
      <c r="I18" s="177" t="n">
        <f aca="false">+F18*(+H18-D18)</f>
        <v>1010625</v>
      </c>
      <c r="J18" s="173"/>
      <c r="K18" s="178" t="n">
        <f aca="false">+I18</f>
        <v>1010625</v>
      </c>
    </row>
    <row r="19" customFormat="false" ht="12.75" hidden="false" customHeight="false" outlineLevel="0" collapsed="false">
      <c r="A19" s="172" t="n">
        <v>37530</v>
      </c>
      <c r="B19" s="173"/>
      <c r="C19" s="174" t="s">
        <v>42</v>
      </c>
      <c r="D19" s="175" t="n">
        <f aca="false">+[5]NYMEX!$C28+$D$9</f>
        <v>5.515</v>
      </c>
      <c r="E19" s="173"/>
      <c r="F19" s="176" t="n">
        <f aca="false">27500*31</f>
        <v>852500</v>
      </c>
      <c r="G19" s="173"/>
      <c r="H19" s="175" t="n">
        <f aca="false">+'[5]NGI Socal'!$E19</f>
        <v>6.11</v>
      </c>
      <c r="I19" s="177" t="n">
        <f aca="false">+F19*(+H19-D19)</f>
        <v>507237.5</v>
      </c>
      <c r="J19" s="173"/>
      <c r="K19" s="178" t="n">
        <f aca="false">+I19</f>
        <v>507237.5</v>
      </c>
    </row>
    <row r="20" customFormat="false" ht="12.75" hidden="false" customHeight="false" outlineLevel="0" collapsed="false">
      <c r="A20" s="172" t="n">
        <v>37561</v>
      </c>
      <c r="B20" s="173"/>
      <c r="C20" s="174" t="s">
        <v>42</v>
      </c>
      <c r="D20" s="175" t="n">
        <f aca="false">+[5]NYMEX!$C29+$D$9</f>
        <v>5.62</v>
      </c>
      <c r="E20" s="173"/>
      <c r="F20" s="176" t="n">
        <f aca="false">27500*30</f>
        <v>825000</v>
      </c>
      <c r="G20" s="173"/>
      <c r="H20" s="175" t="n">
        <f aca="false">+'[5]NGI Socal'!$E20</f>
        <v>5.93</v>
      </c>
      <c r="I20" s="177" t="n">
        <f aca="false">+F20*(+H20-D20)</f>
        <v>255750</v>
      </c>
      <c r="J20" s="173"/>
      <c r="K20" s="178" t="n">
        <f aca="false">+I20</f>
        <v>255750</v>
      </c>
    </row>
    <row r="21" customFormat="false" ht="12.75" hidden="false" customHeight="false" outlineLevel="0" collapsed="false">
      <c r="A21" s="172" t="n">
        <v>37591</v>
      </c>
      <c r="B21" s="173"/>
      <c r="C21" s="174" t="s">
        <v>42</v>
      </c>
      <c r="D21" s="175" t="n">
        <f aca="false">+[5]NYMEX!$C30+$D$9</f>
        <v>5.725</v>
      </c>
      <c r="E21" s="173"/>
      <c r="F21" s="196" t="n">
        <f aca="false">27500*31</f>
        <v>852500</v>
      </c>
      <c r="G21" s="173"/>
      <c r="H21" s="175" t="n">
        <f aca="false">+'[5]NGI Socal'!$E21</f>
        <v>6.035</v>
      </c>
      <c r="I21" s="197" t="n">
        <f aca="false">+F21*(+H21-D21)</f>
        <v>264275</v>
      </c>
      <c r="J21" s="197"/>
      <c r="K21" s="264" t="n">
        <f aca="false">+I21</f>
        <v>264275</v>
      </c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76" t="n">
        <f aca="false">SUM(F10:F21)</f>
        <v>10037500</v>
      </c>
      <c r="G22" s="173"/>
      <c r="H22" s="175"/>
      <c r="I22" s="177" t="n">
        <f aca="false">SUM(I10:I21)</f>
        <v>7702337.5</v>
      </c>
      <c r="J22" s="177" t="n">
        <f aca="false">SUM(J10:J21)</f>
        <v>0</v>
      </c>
      <c r="K22" s="177" t="n">
        <f aca="false">SUM(K10:K21)</f>
        <v>7702337.5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07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10037500</v>
      </c>
      <c r="G25" s="173"/>
      <c r="H25" s="175"/>
      <c r="I25" s="201" t="n">
        <f aca="false">+I22</f>
        <v>7702337.5</v>
      </c>
      <c r="J25" s="201" t="n">
        <f aca="false">+J22</f>
        <v>0</v>
      </c>
      <c r="K25" s="201" t="n">
        <f aca="false">+K22</f>
        <v>7702337.5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  <row r="30" customFormat="false" ht="12.75" hidden="false" customHeight="false" outlineLevel="0" collapsed="false">
      <c r="D30" s="0" t="s">
        <v>79</v>
      </c>
      <c r="H30" s="0" t="s">
        <v>31</v>
      </c>
    </row>
    <row r="31" customFormat="false" ht="12.75" hidden="false" customHeight="false" outlineLevel="0" collapsed="false">
      <c r="D31" s="0" t="s">
        <v>152</v>
      </c>
      <c r="H31" s="0" t="s">
        <v>153</v>
      </c>
    </row>
    <row r="32" customFormat="false" ht="12.75" hidden="false" customHeight="false" outlineLevel="0" collapsed="false">
      <c r="D32" s="0" t="s">
        <v>208</v>
      </c>
      <c r="H32" s="0" t="s">
        <v>209</v>
      </c>
    </row>
    <row r="33" customFormat="false" ht="12.75" hidden="false" customHeight="false" outlineLevel="0" collapsed="false">
      <c r="D33" s="0" t="n">
        <v>-0.05</v>
      </c>
    </row>
    <row r="35" customFormat="false" ht="12.75" hidden="false" customHeight="false" outlineLevel="0" collapsed="false">
      <c r="A35" s="172" t="n">
        <v>37257</v>
      </c>
      <c r="D35" s="214" t="n">
        <f aca="false">+'[5]NGI Socal'!$E10+$D$33</f>
        <v>7.67</v>
      </c>
      <c r="F35" s="176" t="n">
        <f aca="false">27500*31</f>
        <v>852500</v>
      </c>
      <c r="H35" s="0" t="n">
        <f aca="false">+'[5]ELpaso SJ &amp; Prm'!$F20</f>
        <v>5.255</v>
      </c>
      <c r="I35" s="266" t="n">
        <f aca="false">(+H35-D35)*F35</f>
        <v>-2058787.5</v>
      </c>
    </row>
    <row r="36" customFormat="false" ht="12.75" hidden="false" customHeight="false" outlineLevel="0" collapsed="false">
      <c r="A36" s="172" t="n">
        <v>37288</v>
      </c>
      <c r="D36" s="214" t="n">
        <f aca="false">+'[5]NGI Socal'!$E11+$D$33</f>
        <v>7.38</v>
      </c>
      <c r="F36" s="176" t="n">
        <f aca="false">27500*28</f>
        <v>770000</v>
      </c>
      <c r="H36" s="0" t="n">
        <f aca="false">+'[5]ELpaso SJ &amp; Prm'!$F21</f>
        <v>5.065</v>
      </c>
      <c r="I36" s="266" t="n">
        <f aca="false">(+H36-D36)*F36</f>
        <v>-1782550</v>
      </c>
    </row>
    <row r="37" customFormat="false" ht="12.75" hidden="false" customHeight="false" outlineLevel="0" collapsed="false">
      <c r="A37" s="172" t="n">
        <v>37316</v>
      </c>
      <c r="D37" s="214" t="n">
        <f aca="false">+'[5]NGI Socal'!$E12+$D$33</f>
        <v>6.63</v>
      </c>
      <c r="F37" s="176" t="n">
        <f aca="false">27500*31</f>
        <v>852500</v>
      </c>
      <c r="H37" s="0" t="n">
        <f aca="false">+'[5]ELpaso SJ &amp; Prm'!$F22</f>
        <v>4.765</v>
      </c>
      <c r="I37" s="266" t="n">
        <f aca="false">(+H37-D37)*F37</f>
        <v>-1589912.5</v>
      </c>
    </row>
    <row r="38" customFormat="false" ht="12.75" hidden="false" customHeight="false" outlineLevel="0" collapsed="false">
      <c r="A38" s="172" t="n">
        <v>37347</v>
      </c>
      <c r="D38" s="214" t="n">
        <f aca="false">+'[5]NGI Socal'!$E13+$D$33</f>
        <v>6.05</v>
      </c>
      <c r="F38" s="176" t="n">
        <f aca="false">27500*30</f>
        <v>825000</v>
      </c>
      <c r="H38" s="0" t="n">
        <f aca="false">+'[5]ELpaso SJ &amp; Prm'!$F23</f>
        <v>4.37</v>
      </c>
      <c r="I38" s="266" t="n">
        <f aca="false">(+H38-D38)*F38</f>
        <v>-1386000</v>
      </c>
    </row>
    <row r="39" customFormat="false" ht="12.75" hidden="false" customHeight="false" outlineLevel="0" collapsed="false">
      <c r="A39" s="172" t="n">
        <v>37377</v>
      </c>
      <c r="D39" s="214" t="n">
        <f aca="false">+'[5]NGI Socal'!$E14+$D$33</f>
        <v>5.92</v>
      </c>
      <c r="F39" s="176" t="n">
        <f aca="false">27500*31</f>
        <v>852500</v>
      </c>
      <c r="H39" s="0" t="n">
        <f aca="false">+'[5]ELpaso SJ &amp; Prm'!$F24</f>
        <v>4.24</v>
      </c>
      <c r="I39" s="266" t="n">
        <f aca="false">(+H39-D39)*F39</f>
        <v>-1432200</v>
      </c>
    </row>
    <row r="40" customFormat="false" ht="12.75" hidden="false" customHeight="false" outlineLevel="0" collapsed="false">
      <c r="A40" s="172" t="n">
        <v>37408</v>
      </c>
      <c r="D40" s="214" t="n">
        <f aca="false">+'[5]NGI Socal'!$E15+$D$33</f>
        <v>5.915</v>
      </c>
      <c r="F40" s="176" t="n">
        <f aca="false">27500*30</f>
        <v>825000</v>
      </c>
      <c r="H40" s="0" t="n">
        <f aca="false">+'[5]ELpaso SJ &amp; Prm'!$F25</f>
        <v>4.235</v>
      </c>
      <c r="I40" s="266" t="n">
        <f aca="false">(+H40-D40)*F40</f>
        <v>-1386000</v>
      </c>
    </row>
    <row r="41" customFormat="false" ht="12.75" hidden="false" customHeight="false" outlineLevel="0" collapsed="false">
      <c r="A41" s="172" t="n">
        <v>37438</v>
      </c>
      <c r="D41" s="214" t="n">
        <f aca="false">+'[5]NGI Socal'!$E16+$D$33</f>
        <v>6.675</v>
      </c>
      <c r="F41" s="176" t="n">
        <f aca="false">27500*31</f>
        <v>852500</v>
      </c>
      <c r="H41" s="0" t="n">
        <f aca="false">+'[5]ELpaso SJ &amp; Prm'!$F26</f>
        <v>4.25</v>
      </c>
      <c r="I41" s="266" t="n">
        <f aca="false">(+H41-D41)*F41</f>
        <v>-2067312.5</v>
      </c>
    </row>
    <row r="42" customFormat="false" ht="12.75" hidden="false" customHeight="false" outlineLevel="0" collapsed="false">
      <c r="A42" s="172" t="n">
        <v>37469</v>
      </c>
      <c r="D42" s="214" t="n">
        <f aca="false">+'[5]NGI Socal'!$E17+$D$33</f>
        <v>6.675</v>
      </c>
      <c r="F42" s="176" t="n">
        <f aca="false">27500*31</f>
        <v>852500</v>
      </c>
      <c r="H42" s="0" t="n">
        <f aca="false">+'[5]ELpaso SJ &amp; Prm'!$F27</f>
        <v>4.25</v>
      </c>
      <c r="I42" s="266" t="n">
        <f aca="false">(+H42-D42)*F42</f>
        <v>-2067312.5</v>
      </c>
    </row>
    <row r="43" customFormat="false" ht="12.75" hidden="false" customHeight="false" outlineLevel="0" collapsed="false">
      <c r="A43" s="172" t="n">
        <v>37500</v>
      </c>
      <c r="D43" s="214" t="n">
        <f aca="false">+'[5]NGI Socal'!$E18+$D$33</f>
        <v>6.675</v>
      </c>
      <c r="F43" s="176" t="n">
        <f aca="false">27500*30</f>
        <v>825000</v>
      </c>
      <c r="H43" s="0" t="n">
        <f aca="false">+'[5]ELpaso SJ &amp; Prm'!$F28</f>
        <v>4.25</v>
      </c>
      <c r="I43" s="266" t="n">
        <f aca="false">(+H43-D43)*F43</f>
        <v>-2000625</v>
      </c>
    </row>
    <row r="44" customFormat="false" ht="12.75" hidden="false" customHeight="false" outlineLevel="0" collapsed="false">
      <c r="A44" s="172" t="n">
        <v>37530</v>
      </c>
      <c r="D44" s="214" t="n">
        <f aca="false">+'[5]NGI Socal'!$E19+$D$33</f>
        <v>6.06</v>
      </c>
      <c r="F44" s="176" t="n">
        <f aca="false">27500*31</f>
        <v>852500</v>
      </c>
      <c r="H44" s="0" t="n">
        <f aca="false">+'[5]ELpaso SJ &amp; Prm'!$F29</f>
        <v>4.265</v>
      </c>
      <c r="I44" s="266" t="n">
        <f aca="false">(+H44-D44)*F44</f>
        <v>-1530237.5</v>
      </c>
    </row>
    <row r="45" customFormat="false" ht="12.75" hidden="false" customHeight="false" outlineLevel="0" collapsed="false">
      <c r="A45" s="172" t="n">
        <v>37561</v>
      </c>
      <c r="D45" s="214" t="n">
        <f aca="false">+'[5]NGI Socal'!$E20+$D$33</f>
        <v>5.88</v>
      </c>
      <c r="F45" s="176" t="n">
        <f aca="false">27500*30</f>
        <v>825000</v>
      </c>
      <c r="H45" s="0" t="n">
        <f aca="false">+'[5]ELpaso SJ &amp; Prm'!$F30</f>
        <v>4.395</v>
      </c>
      <c r="I45" s="266" t="n">
        <f aca="false">(+H45-D45)*F45</f>
        <v>-1225125</v>
      </c>
    </row>
    <row r="46" customFormat="false" ht="12.75" hidden="false" customHeight="false" outlineLevel="0" collapsed="false">
      <c r="A46" s="172" t="n">
        <v>37591</v>
      </c>
      <c r="D46" s="214" t="n">
        <f aca="false">+'[5]NGI Socal'!$E21+$D$33</f>
        <v>5.985</v>
      </c>
      <c r="F46" s="196" t="n">
        <f aca="false">27500*31</f>
        <v>852500</v>
      </c>
      <c r="H46" s="0" t="n">
        <f aca="false">+'[5]ELpaso SJ &amp; Prm'!$F31</f>
        <v>4.5</v>
      </c>
      <c r="I46" s="266" t="n">
        <f aca="false">(+H46-D46)*F46</f>
        <v>-1265962.5</v>
      </c>
    </row>
    <row r="47" customFormat="false" ht="12.75" hidden="false" customHeight="false" outlineLevel="0" collapsed="false">
      <c r="I47" s="266" t="n">
        <f aca="false">SUM(I35:I46)</f>
        <v>-19792025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210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30</v>
      </c>
      <c r="E6" s="161"/>
      <c r="F6" s="161"/>
      <c r="G6" s="161"/>
      <c r="H6" s="161" t="s">
        <v>67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211</v>
      </c>
      <c r="E7" s="164"/>
      <c r="F7" s="164"/>
      <c r="G7" s="164"/>
      <c r="H7" s="164" t="s">
        <v>212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160</v>
      </c>
      <c r="E8" s="204"/>
      <c r="F8" s="204"/>
      <c r="G8" s="206"/>
      <c r="H8" s="164" t="s">
        <v>154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/>
      <c r="E9" s="167"/>
      <c r="F9" s="167"/>
      <c r="G9" s="169"/>
      <c r="H9" s="267" t="n">
        <v>0.18</v>
      </c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36951</v>
      </c>
      <c r="B10" s="173"/>
      <c r="C10" s="174" t="s">
        <v>67</v>
      </c>
      <c r="D10" s="175" t="n">
        <f aca="false">+[5]Demarc!$E$13</f>
        <v>5.837</v>
      </c>
      <c r="E10" s="173"/>
      <c r="F10" s="176" t="n">
        <f aca="false">10000*31</f>
        <v>310000</v>
      </c>
      <c r="G10" s="175"/>
      <c r="H10" s="175" t="n">
        <f aca="false">+H9+'[5]Henry Hub'!$E$13</f>
        <v>5.887</v>
      </c>
      <c r="I10" s="177" t="n">
        <f aca="false">(-H10+D10)*F10</f>
        <v>-15499.9999999999</v>
      </c>
      <c r="J10" s="178" t="n">
        <v>0</v>
      </c>
      <c r="K10" s="178" t="n">
        <f aca="false">+I10-J10</f>
        <v>-15499.9999999999</v>
      </c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G11" s="173"/>
      <c r="H11" s="175"/>
      <c r="I11" s="177"/>
      <c r="J11" s="179"/>
      <c r="K11" s="199"/>
    </row>
    <row r="12" customFormat="false" ht="13.5" hidden="false" customHeight="false" outlineLevel="0" collapsed="false">
      <c r="A12" s="172"/>
      <c r="B12" s="173"/>
      <c r="C12" s="174"/>
      <c r="D12" s="175"/>
      <c r="E12" s="173"/>
      <c r="F12" s="200" t="n">
        <f aca="false">+F10</f>
        <v>310000</v>
      </c>
      <c r="G12" s="173"/>
      <c r="H12" s="175"/>
      <c r="I12" s="201" t="n">
        <f aca="false">+I10</f>
        <v>-15499.9999999999</v>
      </c>
      <c r="J12" s="201" t="n">
        <f aca="false">+J10</f>
        <v>0</v>
      </c>
      <c r="K12" s="201" t="n">
        <f aca="false">+K10</f>
        <v>-15499.9999999999</v>
      </c>
    </row>
    <row r="13" customFormat="false" ht="13.5" hidden="false" customHeight="false" outlineLevel="0" collapsed="false">
      <c r="A13" s="192"/>
      <c r="B13" s="192"/>
      <c r="C13" s="192"/>
      <c r="D13" s="192"/>
      <c r="E13" s="192"/>
      <c r="F13" s="192"/>
      <c r="G13" s="192"/>
      <c r="H13" s="192"/>
      <c r="I13" s="192"/>
      <c r="J13" s="193"/>
      <c r="K13" s="193"/>
    </row>
    <row r="15" customFormat="false" ht="12.75" hidden="false" customHeight="false" outlineLevel="0" collapsed="false">
      <c r="A15" s="5" t="s">
        <v>138</v>
      </c>
      <c r="H15" s="195" t="n">
        <f aca="false">-H10+D10</f>
        <v>-0.0499999999999998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213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71</v>
      </c>
      <c r="E6" s="161"/>
      <c r="F6" s="161"/>
      <c r="G6" s="161"/>
      <c r="H6" s="161" t="s">
        <v>30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214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215</v>
      </c>
      <c r="E8" s="204"/>
      <c r="F8" s="204"/>
      <c r="G8" s="206"/>
      <c r="H8" s="164" t="s">
        <v>216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68" t="n">
        <v>-0.095</v>
      </c>
      <c r="E9" s="167"/>
      <c r="F9" s="167"/>
      <c r="G9" s="169"/>
      <c r="H9" s="267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36951</v>
      </c>
      <c r="B10" s="173"/>
      <c r="C10" s="174" t="s">
        <v>67</v>
      </c>
      <c r="D10" s="175" t="n">
        <f aca="false">+[5]Demarc!$E$13+D9</f>
        <v>5.742</v>
      </c>
      <c r="E10" s="173"/>
      <c r="F10" s="176" t="n">
        <f aca="false">-10000*31</f>
        <v>-310000</v>
      </c>
      <c r="G10" s="175"/>
      <c r="H10" s="175" t="n">
        <f aca="false">+H9+'[5]Henry Hub'!$E$13</f>
        <v>5.707</v>
      </c>
      <c r="I10" s="177" t="n">
        <f aca="false">(-H10+D10)*F10</f>
        <v>-10850</v>
      </c>
      <c r="J10" s="178" t="n">
        <v>0</v>
      </c>
      <c r="K10" s="178" t="n">
        <f aca="false">+I10-J10</f>
        <v>-10850</v>
      </c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G11" s="173"/>
      <c r="H11" s="175"/>
      <c r="I11" s="177"/>
      <c r="J11" s="179"/>
      <c r="K11" s="199"/>
    </row>
    <row r="12" customFormat="false" ht="13.5" hidden="false" customHeight="false" outlineLevel="0" collapsed="false">
      <c r="A12" s="172"/>
      <c r="B12" s="173"/>
      <c r="C12" s="174"/>
      <c r="D12" s="175"/>
      <c r="E12" s="173"/>
      <c r="F12" s="200" t="n">
        <f aca="false">+F10</f>
        <v>-310000</v>
      </c>
      <c r="G12" s="173"/>
      <c r="H12" s="175"/>
      <c r="I12" s="201" t="n">
        <f aca="false">+I10</f>
        <v>-10850</v>
      </c>
      <c r="J12" s="201" t="n">
        <f aca="false">+J10</f>
        <v>0</v>
      </c>
      <c r="K12" s="201" t="n">
        <f aca="false">+K10</f>
        <v>-10850</v>
      </c>
    </row>
    <row r="13" customFormat="false" ht="13.5" hidden="false" customHeight="false" outlineLevel="0" collapsed="false">
      <c r="A13" s="192"/>
      <c r="B13" s="192"/>
      <c r="C13" s="192"/>
      <c r="D13" s="192"/>
      <c r="E13" s="192"/>
      <c r="F13" s="192"/>
      <c r="G13" s="192"/>
      <c r="H13" s="192"/>
      <c r="I13" s="192"/>
      <c r="J13" s="193"/>
      <c r="K13" s="193"/>
    </row>
    <row r="14" customFormat="false" ht="12.75" hidden="false" customHeight="false" outlineLevel="0" collapsed="false">
      <c r="H14" s="230"/>
    </row>
    <row r="15" customFormat="false" ht="12.75" hidden="false" customHeight="false" outlineLevel="0" collapsed="false">
      <c r="A15" s="5" t="s">
        <v>138</v>
      </c>
    </row>
    <row r="16" customFormat="false" ht="12.75" hidden="false" customHeight="false" outlineLevel="0" collapsed="false">
      <c r="H16" s="230"/>
    </row>
    <row r="17" customFormat="false" ht="12.75" hidden="false" customHeight="false" outlineLevel="0" collapsed="false">
      <c r="H17" s="266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217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50</v>
      </c>
      <c r="E6" s="161"/>
      <c r="F6" s="161"/>
      <c r="G6" s="161"/>
      <c r="H6" s="161" t="s">
        <v>218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219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/>
      <c r="E8" s="204"/>
      <c r="F8" s="204"/>
      <c r="G8" s="206"/>
      <c r="H8" s="164" t="s">
        <v>220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/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37257</v>
      </c>
      <c r="B10" s="173"/>
      <c r="C10" s="174" t="s">
        <v>42</v>
      </c>
      <c r="D10" s="175" t="n">
        <v>4.5</v>
      </c>
      <c r="E10" s="173"/>
      <c r="F10" s="176" t="n">
        <f aca="false">5000*31</f>
        <v>155000</v>
      </c>
      <c r="G10" s="175"/>
      <c r="H10" s="175" t="n">
        <f aca="false">+'[5]ELpaso SJ &amp; Prm'!$F60</f>
        <v>5.56</v>
      </c>
      <c r="I10" s="177" t="n">
        <f aca="false">(-D10+H10)*F10</f>
        <v>164300</v>
      </c>
      <c r="J10" s="178"/>
      <c r="K10" s="178" t="n">
        <f aca="false">+I10</f>
        <v>164300</v>
      </c>
    </row>
    <row r="11" customFormat="false" ht="12.75" hidden="false" customHeight="false" outlineLevel="0" collapsed="false">
      <c r="A11" s="172" t="n">
        <v>37288</v>
      </c>
      <c r="B11" s="173"/>
      <c r="C11" s="174" t="s">
        <v>42</v>
      </c>
      <c r="D11" s="175" t="n">
        <v>4.5</v>
      </c>
      <c r="E11" s="173"/>
      <c r="F11" s="176" t="n">
        <f aca="false">5000*28</f>
        <v>140000</v>
      </c>
      <c r="G11" s="175"/>
      <c r="H11" s="175" t="n">
        <f aca="false">+'[5]ELpaso SJ &amp; Prm'!$F61</f>
        <v>5.37</v>
      </c>
      <c r="I11" s="177" t="n">
        <f aca="false">+F11*(+H11-D11)</f>
        <v>121800</v>
      </c>
      <c r="J11" s="178"/>
      <c r="K11" s="178" t="n">
        <f aca="false">+I11</f>
        <v>121800</v>
      </c>
    </row>
    <row r="12" customFormat="false" ht="12.75" hidden="false" customHeight="false" outlineLevel="0" collapsed="false">
      <c r="A12" s="172" t="n">
        <v>37316</v>
      </c>
      <c r="B12" s="173"/>
      <c r="C12" s="174" t="s">
        <v>42</v>
      </c>
      <c r="D12" s="175" t="n">
        <v>4.5</v>
      </c>
      <c r="E12" s="173"/>
      <c r="F12" s="176" t="n">
        <f aca="false">5000*31</f>
        <v>155000</v>
      </c>
      <c r="G12" s="173"/>
      <c r="H12" s="175" t="n">
        <f aca="false">+'[5]ELpaso SJ &amp; Prm'!$F62</f>
        <v>5.07</v>
      </c>
      <c r="I12" s="177" t="n">
        <f aca="false">+F12*(+H12-D12)</f>
        <v>88350</v>
      </c>
      <c r="J12" s="207"/>
      <c r="K12" s="178" t="n">
        <f aca="false">+I12</f>
        <v>88350</v>
      </c>
      <c r="L12" s="207"/>
    </row>
    <row r="13" customFormat="false" ht="12.75" hidden="false" customHeight="false" outlineLevel="0" collapsed="false">
      <c r="A13" s="172" t="n">
        <v>37347</v>
      </c>
      <c r="B13" s="173"/>
      <c r="C13" s="174" t="s">
        <v>42</v>
      </c>
      <c r="D13" s="175" t="n">
        <v>4.5</v>
      </c>
      <c r="E13" s="173"/>
      <c r="F13" s="176" t="n">
        <f aca="false">5000*30</f>
        <v>150000</v>
      </c>
      <c r="G13" s="173"/>
      <c r="H13" s="175" t="n">
        <f aca="false">+'[5]ELpaso SJ &amp; Prm'!$F63</f>
        <v>4.64</v>
      </c>
      <c r="I13" s="177" t="n">
        <f aca="false">+F13*(+H13-D13)</f>
        <v>21000.0000000001</v>
      </c>
      <c r="J13" s="173"/>
      <c r="K13" s="178" t="n">
        <f aca="false">+I13</f>
        <v>21000.0000000001</v>
      </c>
    </row>
    <row r="14" customFormat="false" ht="12.75" hidden="false" customHeight="false" outlineLevel="0" collapsed="false">
      <c r="A14" s="172" t="n">
        <v>37377</v>
      </c>
      <c r="B14" s="173"/>
      <c r="C14" s="174" t="s">
        <v>42</v>
      </c>
      <c r="D14" s="175" t="n">
        <v>4.5</v>
      </c>
      <c r="E14" s="173"/>
      <c r="F14" s="176" t="n">
        <f aca="false">5000*31</f>
        <v>155000</v>
      </c>
      <c r="G14" s="173"/>
      <c r="H14" s="175" t="n">
        <f aca="false">+'[5]ELpaso SJ &amp; Prm'!$F64</f>
        <v>4.51</v>
      </c>
      <c r="I14" s="177" t="n">
        <f aca="false">+F14*(+H14-D14)</f>
        <v>1550.0000000001</v>
      </c>
      <c r="J14" s="173"/>
      <c r="K14" s="178" t="n">
        <f aca="false">+I14</f>
        <v>1550.0000000001</v>
      </c>
    </row>
    <row r="15" customFormat="false" ht="12.75" hidden="false" customHeight="false" outlineLevel="0" collapsed="false">
      <c r="A15" s="172" t="n">
        <v>37408</v>
      </c>
      <c r="B15" s="173"/>
      <c r="C15" s="174" t="s">
        <v>42</v>
      </c>
      <c r="D15" s="175" t="n">
        <v>4.5</v>
      </c>
      <c r="E15" s="173"/>
      <c r="F15" s="176" t="n">
        <f aca="false">5000*30</f>
        <v>150000</v>
      </c>
      <c r="G15" s="173"/>
      <c r="H15" s="175" t="n">
        <f aca="false">+'[5]ELpaso SJ &amp; Prm'!$F65</f>
        <v>4.505</v>
      </c>
      <c r="I15" s="177" t="n">
        <f aca="false">+F15*(+H15-D15)</f>
        <v>749.999999999984</v>
      </c>
      <c r="J15" s="173"/>
      <c r="K15" s="178" t="n">
        <f aca="false">+I15</f>
        <v>749.999999999984</v>
      </c>
    </row>
    <row r="16" customFormat="false" ht="12.75" hidden="false" customHeight="false" outlineLevel="0" collapsed="false">
      <c r="A16" s="172" t="n">
        <v>37438</v>
      </c>
      <c r="B16" s="173"/>
      <c r="C16" s="174" t="s">
        <v>42</v>
      </c>
      <c r="D16" s="175" t="n">
        <v>4.5</v>
      </c>
      <c r="E16" s="173"/>
      <c r="F16" s="176" t="n">
        <f aca="false">5000*31</f>
        <v>155000</v>
      </c>
      <c r="G16" s="173"/>
      <c r="H16" s="175" t="n">
        <f aca="false">+'[5]ELpaso SJ &amp; Prm'!$F66</f>
        <v>4.52</v>
      </c>
      <c r="I16" s="177" t="n">
        <f aca="false">+F16*(+H16-D16)</f>
        <v>3100.00000000007</v>
      </c>
      <c r="J16" s="173"/>
      <c r="K16" s="178" t="n">
        <f aca="false">+I16</f>
        <v>3100.00000000007</v>
      </c>
    </row>
    <row r="17" customFormat="false" ht="12.75" hidden="false" customHeight="false" outlineLevel="0" collapsed="false">
      <c r="A17" s="172" t="n">
        <v>37469</v>
      </c>
      <c r="B17" s="173"/>
      <c r="C17" s="174" t="s">
        <v>42</v>
      </c>
      <c r="D17" s="175" t="n">
        <v>4.5</v>
      </c>
      <c r="E17" s="173"/>
      <c r="F17" s="176" t="n">
        <f aca="false">5000*31</f>
        <v>155000</v>
      </c>
      <c r="G17" s="173"/>
      <c r="H17" s="175" t="n">
        <f aca="false">+'[5]ELpaso SJ &amp; Prm'!$F67</f>
        <v>4.52</v>
      </c>
      <c r="I17" s="177" t="n">
        <f aca="false">+F17*(+H17-D17)</f>
        <v>3100.00000000007</v>
      </c>
      <c r="J17" s="173"/>
      <c r="K17" s="178" t="n">
        <f aca="false">+I17</f>
        <v>3100.00000000007</v>
      </c>
    </row>
    <row r="18" customFormat="false" ht="12.75" hidden="false" customHeight="false" outlineLevel="0" collapsed="false">
      <c r="A18" s="172" t="n">
        <v>37500</v>
      </c>
      <c r="B18" s="173"/>
      <c r="C18" s="174" t="s">
        <v>42</v>
      </c>
      <c r="D18" s="175" t="n">
        <v>4.5</v>
      </c>
      <c r="E18" s="173"/>
      <c r="F18" s="176" t="n">
        <f aca="false">5000*30</f>
        <v>150000</v>
      </c>
      <c r="G18" s="173"/>
      <c r="H18" s="175" t="n">
        <f aca="false">+'[5]ELpaso SJ &amp; Prm'!$F68</f>
        <v>4.52</v>
      </c>
      <c r="I18" s="177" t="n">
        <f aca="false">+F18*(+H18-D18)</f>
        <v>3000.00000000007</v>
      </c>
      <c r="J18" s="173"/>
      <c r="K18" s="178" t="n">
        <f aca="false">+I18</f>
        <v>3000.00000000007</v>
      </c>
    </row>
    <row r="19" customFormat="false" ht="12.75" hidden="false" customHeight="false" outlineLevel="0" collapsed="false">
      <c r="A19" s="172" t="n">
        <v>37530</v>
      </c>
      <c r="B19" s="173"/>
      <c r="C19" s="174" t="s">
        <v>42</v>
      </c>
      <c r="D19" s="175" t="n">
        <v>4.5</v>
      </c>
      <c r="E19" s="173"/>
      <c r="F19" s="176" t="n">
        <f aca="false">5000*31</f>
        <v>155000</v>
      </c>
      <c r="G19" s="173"/>
      <c r="H19" s="175" t="n">
        <f aca="false">+'[5]ELpaso SJ &amp; Prm'!$F69</f>
        <v>4.535</v>
      </c>
      <c r="I19" s="177" t="n">
        <f aca="false">+F19*(+H19-D19)</f>
        <v>5425.00000000002</v>
      </c>
      <c r="J19" s="173"/>
      <c r="K19" s="178" t="n">
        <f aca="false">+I19</f>
        <v>5425.00000000002</v>
      </c>
    </row>
    <row r="20" customFormat="false" ht="12.75" hidden="false" customHeight="false" outlineLevel="0" collapsed="false">
      <c r="A20" s="172" t="n">
        <v>37561</v>
      </c>
      <c r="B20" s="173"/>
      <c r="C20" s="174" t="s">
        <v>42</v>
      </c>
      <c r="D20" s="175" t="n">
        <v>4.5</v>
      </c>
      <c r="E20" s="173"/>
      <c r="F20" s="176" t="n">
        <f aca="false">5000*30</f>
        <v>150000</v>
      </c>
      <c r="G20" s="173"/>
      <c r="H20" s="175" t="n">
        <f aca="false">+'[5]ELpaso SJ &amp; Prm'!$F70</f>
        <v>4.635</v>
      </c>
      <c r="I20" s="177" t="n">
        <f aca="false">+F20*(+H20-D20)</f>
        <v>20250</v>
      </c>
      <c r="J20" s="173"/>
      <c r="K20" s="178" t="n">
        <f aca="false">+I20</f>
        <v>20250</v>
      </c>
    </row>
    <row r="21" customFormat="false" ht="12.75" hidden="false" customHeight="false" outlineLevel="0" collapsed="false">
      <c r="A21" s="172" t="n">
        <v>37591</v>
      </c>
      <c r="B21" s="173"/>
      <c r="C21" s="174" t="s">
        <v>42</v>
      </c>
      <c r="D21" s="175" t="n">
        <v>4.5</v>
      </c>
      <c r="E21" s="173"/>
      <c r="F21" s="196" t="n">
        <f aca="false">5000*31</f>
        <v>155000</v>
      </c>
      <c r="G21" s="173"/>
      <c r="H21" s="175" t="n">
        <f aca="false">+'[5]ELpaso SJ &amp; Prm'!$F71</f>
        <v>4.74</v>
      </c>
      <c r="I21" s="197" t="n">
        <f aca="false">+F21*(+H21-D21)</f>
        <v>37199.9999999999</v>
      </c>
      <c r="J21" s="197"/>
      <c r="K21" s="264" t="n">
        <f aca="false">+I21</f>
        <v>37199.9999999999</v>
      </c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76" t="n">
        <f aca="false">SUM(F10:F21)</f>
        <v>1825000</v>
      </c>
      <c r="G22" s="173"/>
      <c r="H22" s="175"/>
      <c r="I22" s="177" t="n">
        <f aca="false">SUM(I10:I21)</f>
        <v>469825</v>
      </c>
      <c r="J22" s="177" t="n">
        <f aca="false">SUM(J10:J21)</f>
        <v>0</v>
      </c>
      <c r="K22" s="177" t="n">
        <f aca="false">SUM(K10:K21)</f>
        <v>469825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07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1825000</v>
      </c>
      <c r="G25" s="173"/>
      <c r="H25" s="175"/>
      <c r="I25" s="201" t="n">
        <f aca="false">+I22</f>
        <v>469825</v>
      </c>
      <c r="J25" s="201" t="n">
        <f aca="false">+J22</f>
        <v>0</v>
      </c>
      <c r="K25" s="201" t="n">
        <f aca="false">+K22</f>
        <v>469825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  <row r="30" customFormat="false" ht="12.75" hidden="false" customHeight="false" outlineLevel="0" collapsed="false">
      <c r="D30" s="0" t="s">
        <v>79</v>
      </c>
      <c r="H30" s="0" t="s">
        <v>31</v>
      </c>
    </row>
    <row r="31" customFormat="false" ht="12.75" hidden="false" customHeight="false" outlineLevel="0" collapsed="false">
      <c r="D31" s="0" t="s">
        <v>152</v>
      </c>
      <c r="H31" s="0" t="s">
        <v>153</v>
      </c>
    </row>
    <row r="32" customFormat="false" ht="12.75" hidden="false" customHeight="false" outlineLevel="0" collapsed="false">
      <c r="D32" s="0" t="s">
        <v>208</v>
      </c>
      <c r="H32" s="0" t="s">
        <v>209</v>
      </c>
    </row>
    <row r="33" customFormat="false" ht="12.75" hidden="false" customHeight="false" outlineLevel="0" collapsed="false">
      <c r="D33" s="0" t="n">
        <v>-0.05</v>
      </c>
    </row>
    <row r="35" customFormat="false" ht="12.75" hidden="false" customHeight="false" outlineLevel="0" collapsed="false">
      <c r="A35" s="172" t="n">
        <v>37257</v>
      </c>
      <c r="D35" s="214" t="n">
        <f aca="false">+'[5]NGI Socal'!$E10+$D$33</f>
        <v>7.67</v>
      </c>
      <c r="F35" s="176" t="n">
        <f aca="false">27500*31</f>
        <v>852500</v>
      </c>
      <c r="H35" s="0" t="n">
        <f aca="false">+'[5]ELpaso SJ &amp; Prm'!$F20</f>
        <v>5.255</v>
      </c>
      <c r="I35" s="266" t="n">
        <f aca="false">(+H35-D35)*F35</f>
        <v>-2058787.5</v>
      </c>
    </row>
    <row r="36" customFormat="false" ht="12.75" hidden="false" customHeight="false" outlineLevel="0" collapsed="false">
      <c r="A36" s="172" t="n">
        <v>37288</v>
      </c>
      <c r="D36" s="214" t="n">
        <f aca="false">+'[5]NGI Socal'!$E11+$D$33</f>
        <v>7.38</v>
      </c>
      <c r="F36" s="176" t="n">
        <f aca="false">27500*28</f>
        <v>770000</v>
      </c>
      <c r="H36" s="0" t="n">
        <f aca="false">+'[5]ELpaso SJ &amp; Prm'!$F21</f>
        <v>5.065</v>
      </c>
      <c r="I36" s="266" t="n">
        <f aca="false">(+H36-D36)*F36</f>
        <v>-1782550</v>
      </c>
    </row>
    <row r="37" customFormat="false" ht="12.75" hidden="false" customHeight="false" outlineLevel="0" collapsed="false">
      <c r="A37" s="172" t="n">
        <v>37316</v>
      </c>
      <c r="D37" s="214" t="n">
        <f aca="false">+'[5]NGI Socal'!$E12+$D$33</f>
        <v>6.63</v>
      </c>
      <c r="F37" s="176" t="n">
        <f aca="false">27500*31</f>
        <v>852500</v>
      </c>
      <c r="H37" s="0" t="n">
        <f aca="false">+'[5]ELpaso SJ &amp; Prm'!$F22</f>
        <v>4.765</v>
      </c>
      <c r="I37" s="266" t="n">
        <f aca="false">(+H37-D37)*F37</f>
        <v>-1589912.5</v>
      </c>
    </row>
    <row r="38" customFormat="false" ht="12.75" hidden="false" customHeight="false" outlineLevel="0" collapsed="false">
      <c r="A38" s="172" t="n">
        <v>37347</v>
      </c>
      <c r="D38" s="214" t="n">
        <f aca="false">+'[5]NGI Socal'!$E13+$D$33</f>
        <v>6.05</v>
      </c>
      <c r="F38" s="176" t="n">
        <f aca="false">27500*30</f>
        <v>825000</v>
      </c>
      <c r="H38" s="0" t="n">
        <f aca="false">+'[5]ELpaso SJ &amp; Prm'!$F23</f>
        <v>4.37</v>
      </c>
      <c r="I38" s="266" t="n">
        <f aca="false">(+H38-D38)*F38</f>
        <v>-1386000</v>
      </c>
    </row>
    <row r="39" customFormat="false" ht="12.75" hidden="false" customHeight="false" outlineLevel="0" collapsed="false">
      <c r="A39" s="172" t="n">
        <v>37377</v>
      </c>
      <c r="D39" s="214" t="n">
        <f aca="false">+'[5]NGI Socal'!$E14+$D$33</f>
        <v>5.92</v>
      </c>
      <c r="F39" s="176" t="n">
        <f aca="false">27500*31</f>
        <v>852500</v>
      </c>
      <c r="H39" s="0" t="n">
        <f aca="false">+'[5]ELpaso SJ &amp; Prm'!$F24</f>
        <v>4.24</v>
      </c>
      <c r="I39" s="266" t="n">
        <f aca="false">(+H39-D39)*F39</f>
        <v>-1432200</v>
      </c>
    </row>
    <row r="40" customFormat="false" ht="12.75" hidden="false" customHeight="false" outlineLevel="0" collapsed="false">
      <c r="A40" s="172" t="n">
        <v>37408</v>
      </c>
      <c r="D40" s="214" t="n">
        <f aca="false">+'[5]NGI Socal'!$E15+$D$33</f>
        <v>5.915</v>
      </c>
      <c r="F40" s="176" t="n">
        <f aca="false">27500*30</f>
        <v>825000</v>
      </c>
      <c r="H40" s="0" t="n">
        <f aca="false">+'[5]ELpaso SJ &amp; Prm'!$F25</f>
        <v>4.235</v>
      </c>
      <c r="I40" s="266" t="n">
        <f aca="false">(+H40-D40)*F40</f>
        <v>-1386000</v>
      </c>
    </row>
    <row r="41" customFormat="false" ht="12.75" hidden="false" customHeight="false" outlineLevel="0" collapsed="false">
      <c r="A41" s="172" t="n">
        <v>37438</v>
      </c>
      <c r="D41" s="214" t="n">
        <f aca="false">+'[5]NGI Socal'!$E16+$D$33</f>
        <v>6.675</v>
      </c>
      <c r="F41" s="176" t="n">
        <f aca="false">27500*31</f>
        <v>852500</v>
      </c>
      <c r="H41" s="0" t="n">
        <f aca="false">+'[5]ELpaso SJ &amp; Prm'!$F26</f>
        <v>4.25</v>
      </c>
      <c r="I41" s="266" t="n">
        <f aca="false">(+H41-D41)*F41</f>
        <v>-2067312.5</v>
      </c>
    </row>
    <row r="42" customFormat="false" ht="12.75" hidden="false" customHeight="false" outlineLevel="0" collapsed="false">
      <c r="A42" s="172" t="n">
        <v>37469</v>
      </c>
      <c r="D42" s="214" t="n">
        <f aca="false">+'[5]NGI Socal'!$E17+$D$33</f>
        <v>6.675</v>
      </c>
      <c r="F42" s="176" t="n">
        <f aca="false">27500*31</f>
        <v>852500</v>
      </c>
      <c r="H42" s="0" t="n">
        <f aca="false">+'[5]ELpaso SJ &amp; Prm'!$F27</f>
        <v>4.25</v>
      </c>
      <c r="I42" s="266" t="n">
        <f aca="false">(+H42-D42)*F42</f>
        <v>-2067312.5</v>
      </c>
    </row>
    <row r="43" customFormat="false" ht="12.75" hidden="false" customHeight="false" outlineLevel="0" collapsed="false">
      <c r="A43" s="172" t="n">
        <v>37500</v>
      </c>
      <c r="D43" s="214" t="n">
        <f aca="false">+'[5]NGI Socal'!$E18+$D$33</f>
        <v>6.675</v>
      </c>
      <c r="F43" s="176" t="n">
        <f aca="false">27500*30</f>
        <v>825000</v>
      </c>
      <c r="H43" s="0" t="n">
        <f aca="false">+'[5]ELpaso SJ &amp; Prm'!$F28</f>
        <v>4.25</v>
      </c>
      <c r="I43" s="266" t="n">
        <f aca="false">(+H43-D43)*F43</f>
        <v>-2000625</v>
      </c>
    </row>
    <row r="44" customFormat="false" ht="12.75" hidden="false" customHeight="false" outlineLevel="0" collapsed="false">
      <c r="A44" s="172" t="n">
        <v>37530</v>
      </c>
      <c r="D44" s="214" t="n">
        <f aca="false">+'[5]NGI Socal'!$E19+$D$33</f>
        <v>6.06</v>
      </c>
      <c r="F44" s="176" t="n">
        <f aca="false">27500*31</f>
        <v>852500</v>
      </c>
      <c r="H44" s="0" t="n">
        <f aca="false">+'[5]ELpaso SJ &amp; Prm'!$F29</f>
        <v>4.265</v>
      </c>
      <c r="I44" s="266" t="n">
        <f aca="false">(+H44-D44)*F44</f>
        <v>-1530237.5</v>
      </c>
    </row>
    <row r="45" customFormat="false" ht="12.75" hidden="false" customHeight="false" outlineLevel="0" collapsed="false">
      <c r="A45" s="172" t="n">
        <v>37561</v>
      </c>
      <c r="D45" s="214" t="n">
        <f aca="false">+'[5]NGI Socal'!$E20+$D$33</f>
        <v>5.88</v>
      </c>
      <c r="F45" s="176" t="n">
        <f aca="false">27500*30</f>
        <v>825000</v>
      </c>
      <c r="H45" s="0" t="n">
        <f aca="false">+'[5]ELpaso SJ &amp; Prm'!$F30</f>
        <v>4.395</v>
      </c>
      <c r="I45" s="266" t="n">
        <f aca="false">(+H45-D45)*F45</f>
        <v>-1225125</v>
      </c>
    </row>
    <row r="46" customFormat="false" ht="12.75" hidden="false" customHeight="false" outlineLevel="0" collapsed="false">
      <c r="A46" s="172" t="n">
        <v>37591</v>
      </c>
      <c r="D46" s="214" t="n">
        <f aca="false">+'[5]NGI Socal'!$E21+$D$33</f>
        <v>5.985</v>
      </c>
      <c r="F46" s="196" t="n">
        <f aca="false">27500*31</f>
        <v>852500</v>
      </c>
      <c r="H46" s="0" t="n">
        <f aca="false">+'[5]ELpaso SJ &amp; Prm'!$F31</f>
        <v>4.5</v>
      </c>
      <c r="I46" s="266" t="n">
        <f aca="false">(+H46-D46)*F46</f>
        <v>-1265962.5</v>
      </c>
    </row>
    <row r="47" customFormat="false" ht="12.75" hidden="false" customHeight="false" outlineLevel="0" collapsed="false">
      <c r="I47" s="266" t="n">
        <f aca="false">SUM(I35:I46)</f>
        <v>-19792025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221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31</v>
      </c>
      <c r="E6" s="161"/>
      <c r="F6" s="161"/>
      <c r="G6" s="161"/>
      <c r="H6" s="161" t="s">
        <v>50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219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/>
      <c r="E8" s="204"/>
      <c r="F8" s="204"/>
      <c r="G8" s="206"/>
      <c r="H8" s="164" t="s">
        <v>220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/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37257</v>
      </c>
      <c r="B10" s="173"/>
      <c r="C10" s="174" t="s">
        <v>42</v>
      </c>
      <c r="D10" s="175" t="n">
        <v>4.43</v>
      </c>
      <c r="E10" s="173"/>
      <c r="F10" s="176" t="n">
        <f aca="false">-5000*31</f>
        <v>-155000</v>
      </c>
      <c r="G10" s="175"/>
      <c r="H10" s="175" t="n">
        <f aca="false">+'[5]ELpaso SJ &amp; Prm'!$F60</f>
        <v>5.56</v>
      </c>
      <c r="I10" s="177" t="n">
        <f aca="false">(-D10+H10)*F10</f>
        <v>-175150</v>
      </c>
      <c r="J10" s="178"/>
      <c r="K10" s="178" t="n">
        <f aca="false">+I10</f>
        <v>-175150</v>
      </c>
    </row>
    <row r="11" customFormat="false" ht="12.75" hidden="false" customHeight="false" outlineLevel="0" collapsed="false">
      <c r="A11" s="172" t="n">
        <v>37288</v>
      </c>
      <c r="B11" s="173"/>
      <c r="C11" s="174" t="s">
        <v>42</v>
      </c>
      <c r="D11" s="175" t="n">
        <v>4.43</v>
      </c>
      <c r="E11" s="173"/>
      <c r="F11" s="176" t="n">
        <f aca="false">-5000*28</f>
        <v>-140000</v>
      </c>
      <c r="G11" s="175"/>
      <c r="H11" s="175" t="n">
        <f aca="false">+'[5]ELpaso SJ &amp; Prm'!$F61</f>
        <v>5.37</v>
      </c>
      <c r="I11" s="177" t="n">
        <f aca="false">(-D11+H11)*F11</f>
        <v>-131600</v>
      </c>
      <c r="J11" s="178"/>
      <c r="K11" s="178" t="n">
        <f aca="false">+I11</f>
        <v>-131600</v>
      </c>
    </row>
    <row r="12" customFormat="false" ht="12.75" hidden="false" customHeight="false" outlineLevel="0" collapsed="false">
      <c r="A12" s="172" t="n">
        <v>37316</v>
      </c>
      <c r="B12" s="173"/>
      <c r="C12" s="174" t="s">
        <v>42</v>
      </c>
      <c r="D12" s="175" t="n">
        <v>4.43</v>
      </c>
      <c r="E12" s="173"/>
      <c r="F12" s="176" t="n">
        <f aca="false">-5000*31</f>
        <v>-155000</v>
      </c>
      <c r="G12" s="173"/>
      <c r="H12" s="175" t="n">
        <f aca="false">+'[5]ELpaso SJ &amp; Prm'!$F62</f>
        <v>5.07</v>
      </c>
      <c r="I12" s="177" t="n">
        <f aca="false">(-D12+H12)*F12</f>
        <v>-99200.0000000001</v>
      </c>
      <c r="J12" s="207"/>
      <c r="K12" s="178" t="n">
        <f aca="false">+I12</f>
        <v>-99200.0000000001</v>
      </c>
      <c r="L12" s="207"/>
    </row>
    <row r="13" customFormat="false" ht="12.75" hidden="false" customHeight="false" outlineLevel="0" collapsed="false">
      <c r="A13" s="172" t="n">
        <v>37347</v>
      </c>
      <c r="B13" s="173"/>
      <c r="C13" s="174" t="s">
        <v>42</v>
      </c>
      <c r="D13" s="175" t="n">
        <v>4.43</v>
      </c>
      <c r="E13" s="173"/>
      <c r="F13" s="176" t="n">
        <f aca="false">-5000*30</f>
        <v>-150000</v>
      </c>
      <c r="G13" s="173"/>
      <c r="H13" s="175" t="n">
        <f aca="false">+'[5]ELpaso SJ &amp; Prm'!$F63</f>
        <v>4.64</v>
      </c>
      <c r="I13" s="177" t="n">
        <f aca="false">(-D13+H13)*F13</f>
        <v>-31500.0000000001</v>
      </c>
      <c r="J13" s="173"/>
      <c r="K13" s="178" t="n">
        <f aca="false">+I13</f>
        <v>-31500.0000000001</v>
      </c>
    </row>
    <row r="14" customFormat="false" ht="12.75" hidden="false" customHeight="false" outlineLevel="0" collapsed="false">
      <c r="A14" s="172" t="n">
        <v>37377</v>
      </c>
      <c r="B14" s="173"/>
      <c r="C14" s="174" t="s">
        <v>42</v>
      </c>
      <c r="D14" s="175" t="n">
        <v>4.43</v>
      </c>
      <c r="E14" s="173"/>
      <c r="F14" s="176" t="n">
        <f aca="false">-5000*31</f>
        <v>-155000</v>
      </c>
      <c r="G14" s="173"/>
      <c r="H14" s="175" t="n">
        <f aca="false">+'[5]ELpaso SJ &amp; Prm'!$F64</f>
        <v>4.51</v>
      </c>
      <c r="I14" s="177" t="n">
        <f aca="false">(-D14+H14)*F14</f>
        <v>-12400.0000000002</v>
      </c>
      <c r="J14" s="173"/>
      <c r="K14" s="178" t="n">
        <f aca="false">+I14</f>
        <v>-12400.0000000002</v>
      </c>
    </row>
    <row r="15" customFormat="false" ht="12.75" hidden="false" customHeight="false" outlineLevel="0" collapsed="false">
      <c r="A15" s="172" t="n">
        <v>37408</v>
      </c>
      <c r="B15" s="173"/>
      <c r="C15" s="174" t="s">
        <v>42</v>
      </c>
      <c r="D15" s="175" t="n">
        <v>4.43</v>
      </c>
      <c r="E15" s="173"/>
      <c r="F15" s="176" t="n">
        <f aca="false">-5000*30</f>
        <v>-150000</v>
      </c>
      <c r="G15" s="173"/>
      <c r="H15" s="175" t="n">
        <f aca="false">+'[5]ELpaso SJ &amp; Prm'!$F65</f>
        <v>4.505</v>
      </c>
      <c r="I15" s="177" t="n">
        <f aca="false">(-D15+H15)*F15</f>
        <v>-11250</v>
      </c>
      <c r="J15" s="173"/>
      <c r="K15" s="178" t="n">
        <f aca="false">+I15</f>
        <v>-11250</v>
      </c>
    </row>
    <row r="16" customFormat="false" ht="12.75" hidden="false" customHeight="false" outlineLevel="0" collapsed="false">
      <c r="A16" s="172" t="n">
        <v>37438</v>
      </c>
      <c r="B16" s="173"/>
      <c r="C16" s="174" t="s">
        <v>42</v>
      </c>
      <c r="D16" s="175" t="n">
        <v>4.43</v>
      </c>
      <c r="E16" s="173"/>
      <c r="F16" s="176" t="n">
        <f aca="false">-5000*31</f>
        <v>-155000</v>
      </c>
      <c r="G16" s="173"/>
      <c r="H16" s="175" t="n">
        <f aca="false">+'[5]ELpaso SJ &amp; Prm'!$F66</f>
        <v>4.52</v>
      </c>
      <c r="I16" s="177" t="n">
        <f aca="false">(-D16+H16)*F16</f>
        <v>-13950.0000000001</v>
      </c>
      <c r="J16" s="173"/>
      <c r="K16" s="178" t="n">
        <f aca="false">+I16</f>
        <v>-13950.0000000001</v>
      </c>
    </row>
    <row r="17" customFormat="false" ht="12.75" hidden="false" customHeight="false" outlineLevel="0" collapsed="false">
      <c r="A17" s="172" t="n">
        <v>37469</v>
      </c>
      <c r="B17" s="173"/>
      <c r="C17" s="174" t="s">
        <v>42</v>
      </c>
      <c r="D17" s="175" t="n">
        <v>4.43</v>
      </c>
      <c r="E17" s="173"/>
      <c r="F17" s="176" t="n">
        <f aca="false">-5000*31</f>
        <v>-155000</v>
      </c>
      <c r="G17" s="173"/>
      <c r="H17" s="175" t="n">
        <f aca="false">+'[5]ELpaso SJ &amp; Prm'!$F67</f>
        <v>4.52</v>
      </c>
      <c r="I17" s="177" t="n">
        <f aca="false">(-D17+H17)*F17</f>
        <v>-13950.0000000001</v>
      </c>
      <c r="J17" s="173"/>
      <c r="K17" s="178" t="n">
        <f aca="false">+I17</f>
        <v>-13950.0000000001</v>
      </c>
    </row>
    <row r="18" customFormat="false" ht="12.75" hidden="false" customHeight="false" outlineLevel="0" collapsed="false">
      <c r="A18" s="172" t="n">
        <v>37500</v>
      </c>
      <c r="B18" s="173"/>
      <c r="C18" s="174" t="s">
        <v>42</v>
      </c>
      <c r="D18" s="175" t="n">
        <v>4.43</v>
      </c>
      <c r="E18" s="173"/>
      <c r="F18" s="176" t="n">
        <f aca="false">-5000*30</f>
        <v>-150000</v>
      </c>
      <c r="G18" s="173"/>
      <c r="H18" s="175" t="n">
        <f aca="false">+'[5]ELpaso SJ &amp; Prm'!$F68</f>
        <v>4.52</v>
      </c>
      <c r="I18" s="177" t="n">
        <f aca="false">(-D18+H18)*F18</f>
        <v>-13500.0000000001</v>
      </c>
      <c r="J18" s="173"/>
      <c r="K18" s="178" t="n">
        <f aca="false">+I18</f>
        <v>-13500.0000000001</v>
      </c>
    </row>
    <row r="19" customFormat="false" ht="12.75" hidden="false" customHeight="false" outlineLevel="0" collapsed="false">
      <c r="A19" s="172" t="n">
        <v>37530</v>
      </c>
      <c r="B19" s="173"/>
      <c r="C19" s="174" t="s">
        <v>42</v>
      </c>
      <c r="D19" s="175" t="n">
        <v>4.43</v>
      </c>
      <c r="E19" s="173"/>
      <c r="F19" s="176" t="n">
        <f aca="false">-5000*31</f>
        <v>-155000</v>
      </c>
      <c r="G19" s="173"/>
      <c r="H19" s="175" t="n">
        <f aca="false">+'[5]ELpaso SJ &amp; Prm'!$F69</f>
        <v>4.535</v>
      </c>
      <c r="I19" s="177" t="n">
        <f aca="false">(-D19+H19)*F19</f>
        <v>-16275.0000000001</v>
      </c>
      <c r="J19" s="173"/>
      <c r="K19" s="178" t="n">
        <f aca="false">+I19</f>
        <v>-16275.0000000001</v>
      </c>
    </row>
    <row r="20" customFormat="false" ht="12.75" hidden="false" customHeight="false" outlineLevel="0" collapsed="false">
      <c r="A20" s="172" t="n">
        <v>37561</v>
      </c>
      <c r="B20" s="173"/>
      <c r="C20" s="174" t="s">
        <v>42</v>
      </c>
      <c r="D20" s="175" t="n">
        <v>4.43</v>
      </c>
      <c r="E20" s="173"/>
      <c r="F20" s="176" t="n">
        <f aca="false">-5000*30</f>
        <v>-150000</v>
      </c>
      <c r="G20" s="173"/>
      <c r="H20" s="175" t="n">
        <f aca="false">+'[5]ELpaso SJ &amp; Prm'!$F70</f>
        <v>4.635</v>
      </c>
      <c r="I20" s="177" t="n">
        <f aca="false">(-D20+H20)*F20</f>
        <v>-30750</v>
      </c>
      <c r="J20" s="173"/>
      <c r="K20" s="178" t="n">
        <f aca="false">+I20</f>
        <v>-30750</v>
      </c>
    </row>
    <row r="21" customFormat="false" ht="12.75" hidden="false" customHeight="false" outlineLevel="0" collapsed="false">
      <c r="A21" s="172" t="n">
        <v>37591</v>
      </c>
      <c r="B21" s="173"/>
      <c r="C21" s="174" t="s">
        <v>42</v>
      </c>
      <c r="D21" s="175" t="n">
        <v>4.43</v>
      </c>
      <c r="E21" s="173"/>
      <c r="F21" s="196" t="n">
        <f aca="false">-5000*31</f>
        <v>-155000</v>
      </c>
      <c r="G21" s="173"/>
      <c r="H21" s="175" t="n">
        <f aca="false">+'[5]ELpaso SJ &amp; Prm'!$F71</f>
        <v>4.74</v>
      </c>
      <c r="I21" s="177" t="n">
        <f aca="false">(-D21+H21)*F21</f>
        <v>-48049.9999999999</v>
      </c>
      <c r="J21" s="197"/>
      <c r="K21" s="264" t="n">
        <f aca="false">+I21</f>
        <v>-48049.9999999999</v>
      </c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76" t="n">
        <f aca="false">SUM(F10:F21)</f>
        <v>-1825000</v>
      </c>
      <c r="G22" s="173"/>
      <c r="H22" s="175"/>
      <c r="I22" s="177" t="n">
        <f aca="false">SUM(I10:I21)</f>
        <v>-597575.000000001</v>
      </c>
      <c r="J22" s="177" t="n">
        <f aca="false">SUM(J10:J21)</f>
        <v>0</v>
      </c>
      <c r="K22" s="177" t="n">
        <f aca="false">SUM(K10:K21)</f>
        <v>-597575.000000001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07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-1825000</v>
      </c>
      <c r="G25" s="173"/>
      <c r="H25" s="175"/>
      <c r="I25" s="201" t="n">
        <f aca="false">+I22</f>
        <v>-597575.000000001</v>
      </c>
      <c r="J25" s="201" t="n">
        <f aca="false">+J22</f>
        <v>0</v>
      </c>
      <c r="K25" s="201" t="n">
        <f aca="false">+K22</f>
        <v>-597575.000000001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  <row r="30" customFormat="false" ht="12.75" hidden="false" customHeight="false" outlineLevel="0" collapsed="false">
      <c r="D30" s="0" t="s">
        <v>79</v>
      </c>
      <c r="H30" s="0" t="s">
        <v>31</v>
      </c>
    </row>
    <row r="31" customFormat="false" ht="12.75" hidden="false" customHeight="false" outlineLevel="0" collapsed="false">
      <c r="D31" s="0" t="s">
        <v>152</v>
      </c>
      <c r="H31" s="0" t="s">
        <v>153</v>
      </c>
    </row>
    <row r="32" customFormat="false" ht="12.75" hidden="false" customHeight="false" outlineLevel="0" collapsed="false">
      <c r="D32" s="0" t="s">
        <v>208</v>
      </c>
      <c r="H32" s="0" t="s">
        <v>209</v>
      </c>
    </row>
    <row r="33" customFormat="false" ht="12.75" hidden="false" customHeight="false" outlineLevel="0" collapsed="false">
      <c r="D33" s="0" t="n">
        <v>-0.05</v>
      </c>
    </row>
    <row r="35" customFormat="false" ht="12.75" hidden="false" customHeight="false" outlineLevel="0" collapsed="false">
      <c r="A35" s="172" t="n">
        <v>37257</v>
      </c>
      <c r="D35" s="214" t="n">
        <f aca="false">+'[5]NGI Socal'!$E10+$D$33</f>
        <v>7.67</v>
      </c>
      <c r="F35" s="176" t="n">
        <f aca="false">27500*31</f>
        <v>852500</v>
      </c>
      <c r="H35" s="0" t="n">
        <f aca="false">+'[5]ELpaso SJ &amp; Prm'!$F20</f>
        <v>5.255</v>
      </c>
      <c r="I35" s="266" t="n">
        <f aca="false">(+H35-D35)*F35</f>
        <v>-2058787.5</v>
      </c>
    </row>
    <row r="36" customFormat="false" ht="12.75" hidden="false" customHeight="false" outlineLevel="0" collapsed="false">
      <c r="A36" s="172" t="n">
        <v>37288</v>
      </c>
      <c r="D36" s="214" t="n">
        <f aca="false">+'[5]NGI Socal'!$E11+$D$33</f>
        <v>7.38</v>
      </c>
      <c r="F36" s="176" t="n">
        <f aca="false">27500*28</f>
        <v>770000</v>
      </c>
      <c r="H36" s="0" t="n">
        <f aca="false">+'[5]ELpaso SJ &amp; Prm'!$F21</f>
        <v>5.065</v>
      </c>
      <c r="I36" s="266" t="n">
        <f aca="false">(+H36-D36)*F36</f>
        <v>-1782550</v>
      </c>
    </row>
    <row r="37" customFormat="false" ht="12.75" hidden="false" customHeight="false" outlineLevel="0" collapsed="false">
      <c r="A37" s="172" t="n">
        <v>37316</v>
      </c>
      <c r="D37" s="214" t="n">
        <f aca="false">+'[5]NGI Socal'!$E12+$D$33</f>
        <v>6.63</v>
      </c>
      <c r="F37" s="176" t="n">
        <f aca="false">27500*31</f>
        <v>852500</v>
      </c>
      <c r="H37" s="0" t="n">
        <f aca="false">+'[5]ELpaso SJ &amp; Prm'!$F22</f>
        <v>4.765</v>
      </c>
      <c r="I37" s="266" t="n">
        <f aca="false">(+H37-D37)*F37</f>
        <v>-1589912.5</v>
      </c>
    </row>
    <row r="38" customFormat="false" ht="12.75" hidden="false" customHeight="false" outlineLevel="0" collapsed="false">
      <c r="A38" s="172" t="n">
        <v>37347</v>
      </c>
      <c r="D38" s="214" t="n">
        <f aca="false">+'[5]NGI Socal'!$E13+$D$33</f>
        <v>6.05</v>
      </c>
      <c r="F38" s="176" t="n">
        <f aca="false">27500*30</f>
        <v>825000</v>
      </c>
      <c r="H38" s="0" t="n">
        <f aca="false">+'[5]ELpaso SJ &amp; Prm'!$F23</f>
        <v>4.37</v>
      </c>
      <c r="I38" s="266" t="n">
        <f aca="false">(+H38-D38)*F38</f>
        <v>-1386000</v>
      </c>
    </row>
    <row r="39" customFormat="false" ht="12.75" hidden="false" customHeight="false" outlineLevel="0" collapsed="false">
      <c r="A39" s="172" t="n">
        <v>37377</v>
      </c>
      <c r="D39" s="214" t="n">
        <f aca="false">+'[5]NGI Socal'!$E14+$D$33</f>
        <v>5.92</v>
      </c>
      <c r="F39" s="176" t="n">
        <f aca="false">27500*31</f>
        <v>852500</v>
      </c>
      <c r="H39" s="0" t="n">
        <f aca="false">+'[5]ELpaso SJ &amp; Prm'!$F24</f>
        <v>4.24</v>
      </c>
      <c r="I39" s="266" t="n">
        <f aca="false">(+H39-D39)*F39</f>
        <v>-1432200</v>
      </c>
    </row>
    <row r="40" customFormat="false" ht="12.75" hidden="false" customHeight="false" outlineLevel="0" collapsed="false">
      <c r="A40" s="172" t="n">
        <v>37408</v>
      </c>
      <c r="D40" s="214" t="n">
        <f aca="false">+'[5]NGI Socal'!$E15+$D$33</f>
        <v>5.915</v>
      </c>
      <c r="F40" s="176" t="n">
        <f aca="false">27500*30</f>
        <v>825000</v>
      </c>
      <c r="H40" s="0" t="n">
        <f aca="false">+'[5]ELpaso SJ &amp; Prm'!$F25</f>
        <v>4.235</v>
      </c>
      <c r="I40" s="266" t="n">
        <f aca="false">(+H40-D40)*F40</f>
        <v>-1386000</v>
      </c>
    </row>
    <row r="41" customFormat="false" ht="12.75" hidden="false" customHeight="false" outlineLevel="0" collapsed="false">
      <c r="A41" s="172" t="n">
        <v>37438</v>
      </c>
      <c r="D41" s="214" t="n">
        <f aca="false">+'[5]NGI Socal'!$E16+$D$33</f>
        <v>6.675</v>
      </c>
      <c r="F41" s="176" t="n">
        <f aca="false">27500*31</f>
        <v>852500</v>
      </c>
      <c r="H41" s="0" t="n">
        <f aca="false">+'[5]ELpaso SJ &amp; Prm'!$F26</f>
        <v>4.25</v>
      </c>
      <c r="I41" s="266" t="n">
        <f aca="false">(+H41-D41)*F41</f>
        <v>-2067312.5</v>
      </c>
    </row>
    <row r="42" customFormat="false" ht="12.75" hidden="false" customHeight="false" outlineLevel="0" collapsed="false">
      <c r="A42" s="172" t="n">
        <v>37469</v>
      </c>
      <c r="D42" s="214" t="n">
        <f aca="false">+'[5]NGI Socal'!$E17+$D$33</f>
        <v>6.675</v>
      </c>
      <c r="F42" s="176" t="n">
        <f aca="false">27500*31</f>
        <v>852500</v>
      </c>
      <c r="H42" s="0" t="n">
        <f aca="false">+'[5]ELpaso SJ &amp; Prm'!$F27</f>
        <v>4.25</v>
      </c>
      <c r="I42" s="266" t="n">
        <f aca="false">(+H42-D42)*F42</f>
        <v>-2067312.5</v>
      </c>
    </row>
    <row r="43" customFormat="false" ht="12.75" hidden="false" customHeight="false" outlineLevel="0" collapsed="false">
      <c r="A43" s="172" t="n">
        <v>37500</v>
      </c>
      <c r="D43" s="214" t="n">
        <f aca="false">+'[5]NGI Socal'!$E18+$D$33</f>
        <v>6.675</v>
      </c>
      <c r="F43" s="176" t="n">
        <f aca="false">27500*30</f>
        <v>825000</v>
      </c>
      <c r="H43" s="0" t="n">
        <f aca="false">+'[5]ELpaso SJ &amp; Prm'!$F28</f>
        <v>4.25</v>
      </c>
      <c r="I43" s="266" t="n">
        <f aca="false">(+H43-D43)*F43</f>
        <v>-2000625</v>
      </c>
    </row>
    <row r="44" customFormat="false" ht="12.75" hidden="false" customHeight="false" outlineLevel="0" collapsed="false">
      <c r="A44" s="172" t="n">
        <v>37530</v>
      </c>
      <c r="D44" s="214" t="n">
        <f aca="false">+'[5]NGI Socal'!$E19+$D$33</f>
        <v>6.06</v>
      </c>
      <c r="F44" s="176" t="n">
        <f aca="false">27500*31</f>
        <v>852500</v>
      </c>
      <c r="H44" s="0" t="n">
        <f aca="false">+'[5]ELpaso SJ &amp; Prm'!$F29</f>
        <v>4.265</v>
      </c>
      <c r="I44" s="266" t="n">
        <f aca="false">(+H44-D44)*F44</f>
        <v>-1530237.5</v>
      </c>
    </row>
    <row r="45" customFormat="false" ht="12.75" hidden="false" customHeight="false" outlineLevel="0" collapsed="false">
      <c r="A45" s="172" t="n">
        <v>37561</v>
      </c>
      <c r="D45" s="214" t="n">
        <f aca="false">+'[5]NGI Socal'!$E20+$D$33</f>
        <v>5.88</v>
      </c>
      <c r="F45" s="176" t="n">
        <f aca="false">27500*30</f>
        <v>825000</v>
      </c>
      <c r="H45" s="0" t="n">
        <f aca="false">+'[5]ELpaso SJ &amp; Prm'!$F30</f>
        <v>4.395</v>
      </c>
      <c r="I45" s="266" t="n">
        <f aca="false">(+H45-D45)*F45</f>
        <v>-1225125</v>
      </c>
    </row>
    <row r="46" customFormat="false" ht="12.75" hidden="false" customHeight="false" outlineLevel="0" collapsed="false">
      <c r="A46" s="172" t="n">
        <v>37591</v>
      </c>
      <c r="D46" s="214" t="n">
        <f aca="false">+'[5]NGI Socal'!$E21+$D$33</f>
        <v>5.985</v>
      </c>
      <c r="F46" s="196" t="n">
        <f aca="false">27500*31</f>
        <v>852500</v>
      </c>
      <c r="H46" s="0" t="n">
        <f aca="false">+'[5]ELpaso SJ &amp; Prm'!$F31</f>
        <v>4.5</v>
      </c>
      <c r="I46" s="266" t="n">
        <f aca="false">(+H46-D46)*F46</f>
        <v>-1265962.5</v>
      </c>
    </row>
    <row r="47" customFormat="false" ht="12.75" hidden="false" customHeight="false" outlineLevel="0" collapsed="false">
      <c r="I47" s="266" t="n">
        <f aca="false">SUM(I35:I46)</f>
        <v>-19792025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222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31</v>
      </c>
      <c r="E6" s="161"/>
      <c r="F6" s="161"/>
      <c r="G6" s="161"/>
      <c r="H6" s="161" t="s">
        <v>71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223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203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-0.15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37622</v>
      </c>
      <c r="B10" s="173"/>
      <c r="C10" s="174" t="s">
        <v>42</v>
      </c>
      <c r="D10" s="175" t="n">
        <f aca="false">+'[5]Henry Hub'!$E17+$D$9</f>
        <v>4.565</v>
      </c>
      <c r="E10" s="173"/>
      <c r="F10" s="176" t="n">
        <f aca="false">-37500*31</f>
        <v>-1162500</v>
      </c>
      <c r="G10" s="176" t="n">
        <f aca="false">+F10/31</f>
        <v>-37500</v>
      </c>
      <c r="H10" s="175" t="n">
        <f aca="false">+'[5]ELpaso SJ &amp; Prm'!$F32</f>
        <v>4.54</v>
      </c>
      <c r="I10" s="177" t="n">
        <f aca="false">SUM(H10-D10)*F10</f>
        <v>29062.4999999994</v>
      </c>
      <c r="J10" s="178"/>
      <c r="K10" s="178" t="n">
        <f aca="false">+I10</f>
        <v>29062.4999999994</v>
      </c>
    </row>
    <row r="11" customFormat="false" ht="12.75" hidden="false" customHeight="false" outlineLevel="0" collapsed="false">
      <c r="A11" s="172" t="n">
        <v>37653</v>
      </c>
      <c r="B11" s="173"/>
      <c r="C11" s="174" t="s">
        <v>42</v>
      </c>
      <c r="D11" s="175" t="n">
        <f aca="false">+'[5]Henry Hub'!$E18+$D$9</f>
        <v>4.401</v>
      </c>
      <c r="E11" s="173"/>
      <c r="F11" s="176" t="n">
        <f aca="false">-37500*28</f>
        <v>-1050000</v>
      </c>
      <c r="G11" s="176" t="n">
        <f aca="false">+F11/28</f>
        <v>-37500</v>
      </c>
      <c r="H11" s="175" t="n">
        <f aca="false">+'[5]ELpaso SJ &amp; Prm'!$F33</f>
        <v>4.376</v>
      </c>
      <c r="I11" s="177" t="n">
        <f aca="false">SUM(H11-D11)*F11</f>
        <v>26249.9999999994</v>
      </c>
      <c r="J11" s="178"/>
      <c r="K11" s="178" t="n">
        <f aca="false">+I11</f>
        <v>26249.9999999994</v>
      </c>
    </row>
    <row r="12" customFormat="false" ht="12.75" hidden="false" customHeight="false" outlineLevel="0" collapsed="false">
      <c r="A12" s="172" t="n">
        <v>37681</v>
      </c>
      <c r="B12" s="173"/>
      <c r="C12" s="174" t="s">
        <v>42</v>
      </c>
      <c r="D12" s="175" t="n">
        <f aca="false">+'[5]Henry Hub'!$E19+$D$9</f>
        <v>4.171</v>
      </c>
      <c r="E12" s="173"/>
      <c r="F12" s="176" t="n">
        <f aca="false">-37500*31</f>
        <v>-1162500</v>
      </c>
      <c r="G12" s="176" t="n">
        <f aca="false">+F12/31</f>
        <v>-37500</v>
      </c>
      <c r="H12" s="175" t="n">
        <f aca="false">+'[5]ELpaso SJ &amp; Prm'!$F34</f>
        <v>4.146</v>
      </c>
      <c r="I12" s="177" t="n">
        <f aca="false">SUM(H12-D12)*F12</f>
        <v>29062.4999999994</v>
      </c>
      <c r="J12" s="207"/>
      <c r="K12" s="178" t="n">
        <f aca="false">+I12</f>
        <v>29062.4999999994</v>
      </c>
      <c r="L12" s="207"/>
    </row>
    <row r="13" customFormat="false" ht="12.75" hidden="false" customHeight="false" outlineLevel="0" collapsed="false">
      <c r="A13" s="172" t="n">
        <v>37712</v>
      </c>
      <c r="B13" s="173"/>
      <c r="C13" s="174" t="s">
        <v>42</v>
      </c>
      <c r="D13" s="175" t="n">
        <f aca="false">+'[5]Henry Hub'!$E20+$D$9</f>
        <v>3.941</v>
      </c>
      <c r="E13" s="173"/>
      <c r="F13" s="176" t="n">
        <f aca="false">-37500*30</f>
        <v>-1125000</v>
      </c>
      <c r="G13" s="176" t="n">
        <f aca="false">+F13/30</f>
        <v>-37500</v>
      </c>
      <c r="H13" s="175" t="n">
        <f aca="false">+'[5]ELpaso SJ &amp; Prm'!$F35</f>
        <v>3.921</v>
      </c>
      <c r="I13" s="177" t="n">
        <f aca="false">SUM(H13-D13)*F13</f>
        <v>22500</v>
      </c>
      <c r="J13" s="173"/>
      <c r="K13" s="178" t="n">
        <f aca="false">+I13</f>
        <v>22500</v>
      </c>
    </row>
    <row r="14" customFormat="false" ht="12.75" hidden="false" customHeight="false" outlineLevel="0" collapsed="false">
      <c r="A14" s="172" t="n">
        <v>37742</v>
      </c>
      <c r="B14" s="173"/>
      <c r="C14" s="174" t="s">
        <v>42</v>
      </c>
      <c r="D14" s="175" t="n">
        <f aca="false">+'[5]Henry Hub'!$E21+$D$9</f>
        <v>3.907</v>
      </c>
      <c r="E14" s="173"/>
      <c r="F14" s="176" t="n">
        <f aca="false">-37500*31</f>
        <v>-1162500</v>
      </c>
      <c r="G14" s="176" t="n">
        <f aca="false">+F14/31</f>
        <v>-37500</v>
      </c>
      <c r="H14" s="175" t="n">
        <f aca="false">+'[5]ELpaso SJ &amp; Prm'!$F36</f>
        <v>3.887</v>
      </c>
      <c r="I14" s="177" t="n">
        <f aca="false">SUM(H14-D14)*F14</f>
        <v>23250</v>
      </c>
      <c r="J14" s="173"/>
      <c r="K14" s="178" t="n">
        <f aca="false">+I14</f>
        <v>23250</v>
      </c>
    </row>
    <row r="15" customFormat="false" ht="12.75" hidden="false" customHeight="false" outlineLevel="0" collapsed="false">
      <c r="A15" s="172" t="n">
        <v>37773</v>
      </c>
      <c r="B15" s="173"/>
      <c r="C15" s="174" t="s">
        <v>42</v>
      </c>
      <c r="D15" s="175" t="n">
        <f aca="false">+'[5]Henry Hub'!$E22+$D$9</f>
        <v>3.932</v>
      </c>
      <c r="E15" s="173"/>
      <c r="F15" s="176" t="n">
        <f aca="false">-37500*30</f>
        <v>-1125000</v>
      </c>
      <c r="G15" s="176" t="n">
        <f aca="false">+F15/30</f>
        <v>-37500</v>
      </c>
      <c r="H15" s="175" t="n">
        <f aca="false">+'[5]ELpaso SJ &amp; Prm'!$F37</f>
        <v>3.912</v>
      </c>
      <c r="I15" s="177" t="n">
        <f aca="false">SUM(H15-D15)*F15</f>
        <v>22500</v>
      </c>
      <c r="J15" s="173"/>
      <c r="K15" s="178" t="n">
        <f aca="false">+I15</f>
        <v>22500</v>
      </c>
    </row>
    <row r="16" customFormat="false" ht="12.75" hidden="false" customHeight="false" outlineLevel="0" collapsed="false">
      <c r="A16" s="172" t="n">
        <v>37803</v>
      </c>
      <c r="B16" s="173"/>
      <c r="C16" s="174" t="s">
        <v>42</v>
      </c>
      <c r="D16" s="175" t="n">
        <f aca="false">+'[5]Henry Hub'!$E23+$D$9</f>
        <v>3.953</v>
      </c>
      <c r="E16" s="173"/>
      <c r="F16" s="176" t="n">
        <f aca="false">-37500*31</f>
        <v>-1162500</v>
      </c>
      <c r="G16" s="176" t="n">
        <f aca="false">+F16/31</f>
        <v>-37500</v>
      </c>
      <c r="H16" s="175" t="n">
        <f aca="false">+'[5]ELpaso SJ &amp; Prm'!$F38</f>
        <v>3.933</v>
      </c>
      <c r="I16" s="177" t="n">
        <f aca="false">SUM(H16-D16)*F16</f>
        <v>23250</v>
      </c>
      <c r="J16" s="173"/>
      <c r="K16" s="178" t="n">
        <f aca="false">+I16</f>
        <v>23250</v>
      </c>
    </row>
    <row r="17" customFormat="false" ht="12.75" hidden="false" customHeight="false" outlineLevel="0" collapsed="false">
      <c r="A17" s="172" t="n">
        <v>37834</v>
      </c>
      <c r="B17" s="173"/>
      <c r="C17" s="174" t="s">
        <v>42</v>
      </c>
      <c r="D17" s="175" t="n">
        <f aca="false">+'[5]Henry Hub'!$E24+$D$9</f>
        <v>3.953</v>
      </c>
      <c r="E17" s="173"/>
      <c r="F17" s="176" t="n">
        <f aca="false">-37500*31</f>
        <v>-1162500</v>
      </c>
      <c r="G17" s="176" t="n">
        <f aca="false">+F17/31</f>
        <v>-37500</v>
      </c>
      <c r="H17" s="175" t="n">
        <f aca="false">+'[5]ELpaso SJ &amp; Prm'!$F39</f>
        <v>3.933</v>
      </c>
      <c r="I17" s="177" t="n">
        <f aca="false">SUM(H17-D17)*F17</f>
        <v>23250</v>
      </c>
      <c r="J17" s="173"/>
      <c r="K17" s="178" t="n">
        <f aca="false">+I17</f>
        <v>23250</v>
      </c>
    </row>
    <row r="18" customFormat="false" ht="12.75" hidden="false" customHeight="false" outlineLevel="0" collapsed="false">
      <c r="A18" s="172" t="n">
        <v>37865</v>
      </c>
      <c r="B18" s="173"/>
      <c r="C18" s="174" t="s">
        <v>42</v>
      </c>
      <c r="D18" s="175" t="n">
        <f aca="false">+'[5]Henry Hub'!$E25+$D$9</f>
        <v>3.968</v>
      </c>
      <c r="E18" s="173"/>
      <c r="F18" s="176" t="n">
        <f aca="false">-37500*30</f>
        <v>-1125000</v>
      </c>
      <c r="G18" s="176" t="n">
        <f aca="false">+F18/30</f>
        <v>-37500</v>
      </c>
      <c r="H18" s="175" t="n">
        <f aca="false">+'[5]ELpaso SJ &amp; Prm'!$F40</f>
        <v>3.948</v>
      </c>
      <c r="I18" s="177" t="n">
        <f aca="false">SUM(H18-D18)*F18</f>
        <v>22500</v>
      </c>
      <c r="J18" s="173"/>
      <c r="K18" s="178" t="n">
        <f aca="false">+I18</f>
        <v>22500</v>
      </c>
    </row>
    <row r="19" customFormat="false" ht="12.75" hidden="false" customHeight="false" outlineLevel="0" collapsed="false">
      <c r="A19" s="172" t="n">
        <v>37895</v>
      </c>
      <c r="B19" s="173"/>
      <c r="C19" s="174" t="s">
        <v>42</v>
      </c>
      <c r="D19" s="175" t="n">
        <f aca="false">+'[5]Henry Hub'!$E26+$D$9</f>
        <v>3.998</v>
      </c>
      <c r="E19" s="173"/>
      <c r="F19" s="176" t="n">
        <f aca="false">-37500*31</f>
        <v>-1162500</v>
      </c>
      <c r="G19" s="176" t="n">
        <f aca="false">+F19/31</f>
        <v>-37500</v>
      </c>
      <c r="H19" s="175" t="n">
        <f aca="false">+'[5]ELpaso SJ &amp; Prm'!$F41</f>
        <v>3.978</v>
      </c>
      <c r="I19" s="177" t="n">
        <f aca="false">SUM(H19-D19)*F19</f>
        <v>23250</v>
      </c>
      <c r="J19" s="173"/>
      <c r="K19" s="178" t="n">
        <f aca="false">+I19</f>
        <v>23250</v>
      </c>
    </row>
    <row r="20" customFormat="false" ht="12.75" hidden="false" customHeight="false" outlineLevel="0" collapsed="false">
      <c r="A20" s="172" t="n">
        <v>37926</v>
      </c>
      <c r="B20" s="173"/>
      <c r="C20" s="174" t="s">
        <v>42</v>
      </c>
      <c r="D20" s="175" t="n">
        <f aca="false">+'[5]Henry Hub'!$E27+$D$9</f>
        <v>4.138</v>
      </c>
      <c r="E20" s="173"/>
      <c r="F20" s="176" t="n">
        <f aca="false">-37500*30</f>
        <v>-1125000</v>
      </c>
      <c r="G20" s="176" t="n">
        <f aca="false">+F20/30</f>
        <v>-37500</v>
      </c>
      <c r="H20" s="175" t="n">
        <f aca="false">+'[5]ELpaso SJ &amp; Prm'!$F42</f>
        <v>4.113</v>
      </c>
      <c r="I20" s="177" t="n">
        <f aca="false">SUM(H20-D20)*F20</f>
        <v>28124.9999999994</v>
      </c>
      <c r="J20" s="173"/>
      <c r="K20" s="178" t="n">
        <f aca="false">+I20</f>
        <v>28124.9999999994</v>
      </c>
    </row>
    <row r="21" customFormat="false" ht="12.75" hidden="false" customHeight="false" outlineLevel="0" collapsed="false">
      <c r="A21" s="172" t="n">
        <v>37956</v>
      </c>
      <c r="B21" s="173"/>
      <c r="C21" s="174" t="s">
        <v>42</v>
      </c>
      <c r="D21" s="175" t="n">
        <f aca="false">+'[5]Henry Hub'!$E28+$D$9</f>
        <v>4.263</v>
      </c>
      <c r="E21" s="173"/>
      <c r="F21" s="196" t="n">
        <f aca="false">-37500*31</f>
        <v>-1162500</v>
      </c>
      <c r="G21" s="176" t="n">
        <f aca="false">+F21/31</f>
        <v>-37500</v>
      </c>
      <c r="H21" s="175" t="n">
        <f aca="false">+'[5]ELpaso SJ &amp; Prm'!$F43</f>
        <v>4.238</v>
      </c>
      <c r="I21" s="197" t="n">
        <f aca="false">SUM(H21-D21)*F21</f>
        <v>29062.4999999994</v>
      </c>
      <c r="J21" s="197"/>
      <c r="K21" s="264" t="n">
        <f aca="false">+I21</f>
        <v>29062.4999999994</v>
      </c>
    </row>
    <row r="22" customFormat="false" ht="12.75" hidden="false" customHeight="false" outlineLevel="0" collapsed="false">
      <c r="A22" s="172"/>
      <c r="B22" s="173"/>
      <c r="C22" s="174"/>
      <c r="D22" s="175" t="n">
        <f aca="false">SUM(D10:D21)/12</f>
        <v>4.09916666666667</v>
      </c>
      <c r="E22" s="173"/>
      <c r="F22" s="176" t="n">
        <f aca="false">SUM(F10:F21)</f>
        <v>-13687500</v>
      </c>
      <c r="G22" s="173"/>
      <c r="H22" s="175" t="n">
        <f aca="false">SUM(H10:H21)/12</f>
        <v>4.07708333333333</v>
      </c>
      <c r="I22" s="177" t="n">
        <f aca="false">SUM(I10:I21)</f>
        <v>302062.499999997</v>
      </c>
      <c r="J22" s="177" t="n">
        <f aca="false">SUM(J10:J21)</f>
        <v>0</v>
      </c>
      <c r="K22" s="177" t="n">
        <f aca="false">SUM(K10:K21)</f>
        <v>302062.499999997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69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-13687500</v>
      </c>
      <c r="G25" s="173"/>
      <c r="H25" s="175"/>
      <c r="I25" s="201" t="n">
        <f aca="false">+I22</f>
        <v>302062.499999997</v>
      </c>
      <c r="J25" s="201" t="n">
        <f aca="false">+J22</f>
        <v>0</v>
      </c>
      <c r="K25" s="201" t="n">
        <f aca="false">+K22</f>
        <v>302062.499999997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7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225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71</v>
      </c>
      <c r="E6" s="161"/>
      <c r="F6" s="161"/>
      <c r="G6" s="161"/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205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226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1.03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37622</v>
      </c>
      <c r="B10" s="173"/>
      <c r="C10" s="174" t="s">
        <v>42</v>
      </c>
      <c r="D10" s="175" t="n">
        <f aca="false">+'[5]Henry Hub'!$E17+$D$9</f>
        <v>5.745</v>
      </c>
      <c r="E10" s="173"/>
      <c r="F10" s="176" t="n">
        <f aca="false">37500*31</f>
        <v>1162500</v>
      </c>
      <c r="G10" s="176" t="n">
        <f aca="false">+F10/31</f>
        <v>37500</v>
      </c>
      <c r="H10" s="175" t="n">
        <f aca="false">+'[5]NGI Socal'!$E22</f>
        <v>6.075</v>
      </c>
      <c r="I10" s="177" t="n">
        <f aca="false">SUM(-D10+H10)*F10</f>
        <v>383624.999999999</v>
      </c>
      <c r="J10" s="178"/>
      <c r="K10" s="178" t="n">
        <f aca="false">+I10</f>
        <v>383624.999999999</v>
      </c>
    </row>
    <row r="11" customFormat="false" ht="12.75" hidden="false" customHeight="false" outlineLevel="0" collapsed="false">
      <c r="A11" s="172" t="n">
        <v>37653</v>
      </c>
      <c r="B11" s="173"/>
      <c r="C11" s="174" t="s">
        <v>42</v>
      </c>
      <c r="D11" s="175" t="n">
        <f aca="false">+'[5]Henry Hub'!$E18+$D$9</f>
        <v>5.581</v>
      </c>
      <c r="E11" s="173"/>
      <c r="F11" s="176" t="n">
        <f aca="false">37500*28</f>
        <v>1050000</v>
      </c>
      <c r="G11" s="176" t="n">
        <f aca="false">+F11/28</f>
        <v>37500</v>
      </c>
      <c r="H11" s="175" t="n">
        <f aca="false">+'[5]NGI Socal'!$E23</f>
        <v>5.911</v>
      </c>
      <c r="I11" s="177" t="n">
        <f aca="false">SUM(-D11+H11)*F11</f>
        <v>346499.999999999</v>
      </c>
      <c r="J11" s="178"/>
      <c r="K11" s="178" t="n">
        <f aca="false">+I11</f>
        <v>346499.999999999</v>
      </c>
    </row>
    <row r="12" customFormat="false" ht="12.75" hidden="false" customHeight="false" outlineLevel="0" collapsed="false">
      <c r="A12" s="172" t="n">
        <v>37681</v>
      </c>
      <c r="B12" s="173"/>
      <c r="C12" s="174" t="s">
        <v>42</v>
      </c>
      <c r="D12" s="175" t="n">
        <f aca="false">+'[5]Henry Hub'!$E19+$D$9</f>
        <v>5.351</v>
      </c>
      <c r="E12" s="173"/>
      <c r="F12" s="176" t="n">
        <f aca="false">37500*31</f>
        <v>1162500</v>
      </c>
      <c r="G12" s="176" t="n">
        <f aca="false">+F12/31</f>
        <v>37500</v>
      </c>
      <c r="H12" s="175" t="n">
        <f aca="false">+'[5]NGI Socal'!$E24</f>
        <v>5.681</v>
      </c>
      <c r="I12" s="177" t="n">
        <f aca="false">SUM(-D12+H12)*F12</f>
        <v>383624.999999999</v>
      </c>
      <c r="J12" s="207"/>
      <c r="K12" s="178" t="n">
        <f aca="false">+I12</f>
        <v>383624.999999999</v>
      </c>
      <c r="L12" s="207"/>
    </row>
    <row r="13" customFormat="false" ht="12.75" hidden="false" customHeight="false" outlineLevel="0" collapsed="false">
      <c r="A13" s="172" t="n">
        <v>37712</v>
      </c>
      <c r="B13" s="173"/>
      <c r="C13" s="174" t="s">
        <v>42</v>
      </c>
      <c r="D13" s="175" t="n">
        <f aca="false">+'[5]Henry Hub'!$E20+$D$9</f>
        <v>5.121</v>
      </c>
      <c r="E13" s="173"/>
      <c r="F13" s="176" t="n">
        <f aca="false">37500*30</f>
        <v>1125000</v>
      </c>
      <c r="G13" s="176" t="n">
        <f aca="false">+F13/30</f>
        <v>37500</v>
      </c>
      <c r="H13" s="175" t="n">
        <f aca="false">+'[5]NGI Socal'!$E25</f>
        <v>5.566</v>
      </c>
      <c r="I13" s="177" t="n">
        <f aca="false">SUM(-D13+H13)*F13</f>
        <v>500624.999999999</v>
      </c>
      <c r="J13" s="173"/>
      <c r="K13" s="178" t="n">
        <f aca="false">+I13</f>
        <v>500624.999999999</v>
      </c>
    </row>
    <row r="14" customFormat="false" ht="12.75" hidden="false" customHeight="false" outlineLevel="0" collapsed="false">
      <c r="A14" s="172" t="n">
        <v>37742</v>
      </c>
      <c r="B14" s="173"/>
      <c r="C14" s="174" t="s">
        <v>42</v>
      </c>
      <c r="D14" s="175" t="n">
        <f aca="false">+'[5]Henry Hub'!$E21+$D$9</f>
        <v>5.087</v>
      </c>
      <c r="E14" s="173"/>
      <c r="F14" s="176" t="n">
        <f aca="false">37500*31</f>
        <v>1162500</v>
      </c>
      <c r="G14" s="176" t="n">
        <f aca="false">+F14/31</f>
        <v>37500</v>
      </c>
      <c r="H14" s="175" t="n">
        <f aca="false">+'[5]NGI Socal'!$E26</f>
        <v>5.532</v>
      </c>
      <c r="I14" s="177" t="n">
        <f aca="false">SUM(-D14+H14)*F14</f>
        <v>517312.499999999</v>
      </c>
      <c r="J14" s="173"/>
      <c r="K14" s="178" t="n">
        <f aca="false">+I14</f>
        <v>517312.499999999</v>
      </c>
    </row>
    <row r="15" customFormat="false" ht="12.75" hidden="false" customHeight="false" outlineLevel="0" collapsed="false">
      <c r="A15" s="172" t="n">
        <v>37773</v>
      </c>
      <c r="B15" s="173"/>
      <c r="C15" s="174" t="s">
        <v>42</v>
      </c>
      <c r="D15" s="175" t="n">
        <f aca="false">+'[5]Henry Hub'!$E22+$D$9</f>
        <v>5.112</v>
      </c>
      <c r="E15" s="173"/>
      <c r="F15" s="176" t="n">
        <f aca="false">37500*30</f>
        <v>1125000</v>
      </c>
      <c r="G15" s="176" t="n">
        <f aca="false">+F15/30</f>
        <v>37500</v>
      </c>
      <c r="H15" s="175" t="n">
        <f aca="false">+'[5]NGI Socal'!$E27</f>
        <v>5.557</v>
      </c>
      <c r="I15" s="177" t="n">
        <f aca="false">SUM(-D15+H15)*F15</f>
        <v>500624.999999999</v>
      </c>
      <c r="J15" s="173"/>
      <c r="K15" s="178" t="n">
        <f aca="false">+I15</f>
        <v>500624.999999999</v>
      </c>
    </row>
    <row r="16" customFormat="false" ht="12.75" hidden="false" customHeight="false" outlineLevel="0" collapsed="false">
      <c r="A16" s="172" t="n">
        <v>37803</v>
      </c>
      <c r="B16" s="173"/>
      <c r="C16" s="174" t="s">
        <v>42</v>
      </c>
      <c r="D16" s="175" t="n">
        <f aca="false">+'[5]Henry Hub'!$E23+$D$9</f>
        <v>5.133</v>
      </c>
      <c r="E16" s="173"/>
      <c r="F16" s="176" t="n">
        <f aca="false">37500*31</f>
        <v>1162500</v>
      </c>
      <c r="G16" s="176" t="n">
        <f aca="false">+F16/31</f>
        <v>37500</v>
      </c>
      <c r="H16" s="175" t="n">
        <f aca="false">+'[5]NGI Socal'!$E28</f>
        <v>5.578</v>
      </c>
      <c r="I16" s="177" t="n">
        <f aca="false">SUM(-D16+H16)*F16</f>
        <v>517312.499999999</v>
      </c>
      <c r="J16" s="173"/>
      <c r="K16" s="178" t="n">
        <f aca="false">+I16</f>
        <v>517312.499999999</v>
      </c>
    </row>
    <row r="17" customFormat="false" ht="12.75" hidden="false" customHeight="false" outlineLevel="0" collapsed="false">
      <c r="A17" s="172" t="n">
        <v>37834</v>
      </c>
      <c r="B17" s="173"/>
      <c r="C17" s="174" t="s">
        <v>42</v>
      </c>
      <c r="D17" s="175" t="n">
        <f aca="false">+'[5]Henry Hub'!$E24+$D$9</f>
        <v>5.133</v>
      </c>
      <c r="E17" s="173"/>
      <c r="F17" s="176" t="n">
        <f aca="false">37500*31</f>
        <v>1162500</v>
      </c>
      <c r="G17" s="176" t="n">
        <f aca="false">+F17/31</f>
        <v>37500</v>
      </c>
      <c r="H17" s="175" t="n">
        <f aca="false">+'[5]NGI Socal'!$E29</f>
        <v>5.578</v>
      </c>
      <c r="I17" s="177" t="n">
        <f aca="false">SUM(-D17+H17)*F17</f>
        <v>517312.499999999</v>
      </c>
      <c r="J17" s="173"/>
      <c r="K17" s="178" t="n">
        <f aca="false">+I17</f>
        <v>517312.499999999</v>
      </c>
    </row>
    <row r="18" customFormat="false" ht="12.75" hidden="false" customHeight="false" outlineLevel="0" collapsed="false">
      <c r="A18" s="172" t="n">
        <v>37865</v>
      </c>
      <c r="B18" s="173"/>
      <c r="C18" s="174" t="s">
        <v>42</v>
      </c>
      <c r="D18" s="175" t="n">
        <f aca="false">+'[5]Henry Hub'!$E25+$D$9</f>
        <v>5.148</v>
      </c>
      <c r="E18" s="173"/>
      <c r="F18" s="176" t="n">
        <f aca="false">37500*30</f>
        <v>1125000</v>
      </c>
      <c r="G18" s="176" t="n">
        <f aca="false">+F18/30</f>
        <v>37500</v>
      </c>
      <c r="H18" s="175" t="n">
        <f aca="false">+'[5]NGI Socal'!$E30</f>
        <v>5.593</v>
      </c>
      <c r="I18" s="177" t="n">
        <f aca="false">SUM(-D18+H18)*F18</f>
        <v>500624.999999999</v>
      </c>
      <c r="J18" s="173"/>
      <c r="K18" s="178" t="n">
        <f aca="false">+I18</f>
        <v>500624.999999999</v>
      </c>
    </row>
    <row r="19" customFormat="false" ht="12.75" hidden="false" customHeight="false" outlineLevel="0" collapsed="false">
      <c r="A19" s="172" t="n">
        <v>37895</v>
      </c>
      <c r="B19" s="173"/>
      <c r="C19" s="174" t="s">
        <v>42</v>
      </c>
      <c r="D19" s="175" t="n">
        <f aca="false">+'[5]Henry Hub'!$E26+$D$9</f>
        <v>5.178</v>
      </c>
      <c r="E19" s="173"/>
      <c r="F19" s="176" t="n">
        <f aca="false">37500*31</f>
        <v>1162500</v>
      </c>
      <c r="G19" s="176" t="n">
        <f aca="false">+F19/31</f>
        <v>37500</v>
      </c>
      <c r="H19" s="175" t="n">
        <f aca="false">+'[5]NGI Socal'!$E31</f>
        <v>5.623</v>
      </c>
      <c r="I19" s="177" t="n">
        <f aca="false">SUM(-D19+H19)*F19</f>
        <v>517312.499999999</v>
      </c>
      <c r="J19" s="173"/>
      <c r="K19" s="178" t="n">
        <f aca="false">+I19</f>
        <v>517312.499999999</v>
      </c>
    </row>
    <row r="20" customFormat="false" ht="12.75" hidden="false" customHeight="false" outlineLevel="0" collapsed="false">
      <c r="A20" s="172" t="n">
        <v>37926</v>
      </c>
      <c r="B20" s="173"/>
      <c r="C20" s="174" t="s">
        <v>42</v>
      </c>
      <c r="D20" s="175" t="n">
        <f aca="false">+'[5]Henry Hub'!$E27+$D$9</f>
        <v>5.318</v>
      </c>
      <c r="E20" s="173"/>
      <c r="F20" s="176" t="n">
        <f aca="false">37500*30</f>
        <v>1125000</v>
      </c>
      <c r="G20" s="176" t="n">
        <f aca="false">+F20/30</f>
        <v>37500</v>
      </c>
      <c r="H20" s="175" t="n">
        <f aca="false">+'[5]NGI Socal'!$E32</f>
        <v>4.969</v>
      </c>
      <c r="I20" s="177" t="n">
        <f aca="false">SUM(-D20+H20)*F20</f>
        <v>-392625</v>
      </c>
      <c r="J20" s="173"/>
      <c r="K20" s="178" t="n">
        <f aca="false">+I20</f>
        <v>-392625</v>
      </c>
    </row>
    <row r="21" customFormat="false" ht="12.75" hidden="false" customHeight="false" outlineLevel="0" collapsed="false">
      <c r="A21" s="172" t="n">
        <v>37956</v>
      </c>
      <c r="B21" s="173"/>
      <c r="C21" s="174" t="s">
        <v>42</v>
      </c>
      <c r="D21" s="270" t="n">
        <f aca="false">+'[5]Henry Hub'!$E28+$D$9</f>
        <v>5.443</v>
      </c>
      <c r="E21" s="173"/>
      <c r="F21" s="196" t="n">
        <f aca="false">37500*31</f>
        <v>1162500</v>
      </c>
      <c r="G21" s="176" t="n">
        <f aca="false">+F21/31</f>
        <v>37500</v>
      </c>
      <c r="H21" s="270" t="n">
        <f aca="false">+'[5]NGI Socal'!$E33</f>
        <v>5.094</v>
      </c>
      <c r="I21" s="197" t="n">
        <f aca="false">SUM(-D21+H21)*F21</f>
        <v>-405712.5</v>
      </c>
      <c r="J21" s="197"/>
      <c r="K21" s="264" t="n">
        <f aca="false">+I21</f>
        <v>-405712.5</v>
      </c>
    </row>
    <row r="22" customFormat="false" ht="12.75" hidden="false" customHeight="false" outlineLevel="0" collapsed="false">
      <c r="A22" s="172"/>
      <c r="B22" s="173"/>
      <c r="C22" s="174"/>
      <c r="D22" s="175" t="n">
        <f aca="false">SUM(D10:D21)/12</f>
        <v>5.27916666666667</v>
      </c>
      <c r="E22" s="173"/>
      <c r="F22" s="176" t="n">
        <f aca="false">SUM(F10:F21)</f>
        <v>13687500</v>
      </c>
      <c r="G22" s="173"/>
      <c r="H22" s="175" t="n">
        <f aca="false">SUM(H10:H21)/12</f>
        <v>5.56308333333333</v>
      </c>
      <c r="I22" s="177" t="n">
        <f aca="false">SUM(I10:I21)</f>
        <v>3886537.49999999</v>
      </c>
      <c r="J22" s="177" t="n">
        <f aca="false">SUM(J10:J21)</f>
        <v>0</v>
      </c>
      <c r="K22" s="177" t="n">
        <f aca="false">SUM(K10:K21)</f>
        <v>3886537.49999999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69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13687500</v>
      </c>
      <c r="G25" s="173"/>
      <c r="H25" s="175"/>
      <c r="I25" s="201" t="n">
        <f aca="false">+I22</f>
        <v>3886537.49999999</v>
      </c>
      <c r="J25" s="201" t="n">
        <f aca="false">+J22</f>
        <v>0</v>
      </c>
      <c r="K25" s="201" t="n">
        <f aca="false">+K22</f>
        <v>3886537.49999999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227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31</v>
      </c>
      <c r="E6" s="161"/>
      <c r="F6" s="161"/>
      <c r="G6" s="161"/>
      <c r="H6" s="161" t="s">
        <v>71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228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/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-0.14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37622</v>
      </c>
      <c r="B10" s="173"/>
      <c r="C10" s="174" t="s">
        <v>42</v>
      </c>
      <c r="D10" s="175" t="n">
        <f aca="false">+'[5]Henry Hub'!$E17+$D$9</f>
        <v>4.575</v>
      </c>
      <c r="E10" s="173"/>
      <c r="F10" s="176" t="n">
        <f aca="false">-11500*31</f>
        <v>-356500</v>
      </c>
      <c r="G10" s="176" t="n">
        <f aca="false">+F10/31</f>
        <v>-11500</v>
      </c>
      <c r="H10" s="175" t="n">
        <f aca="false">+'[5]ELpaso SJ &amp; Prm'!$F32</f>
        <v>4.54</v>
      </c>
      <c r="I10" s="177" t="n">
        <f aca="false">SUM(-D10+H10)*F10</f>
        <v>12477.5000000001</v>
      </c>
      <c r="J10" s="178"/>
      <c r="K10" s="178" t="n">
        <f aca="false">+I10</f>
        <v>12477.5000000001</v>
      </c>
    </row>
    <row r="11" customFormat="false" ht="12.75" hidden="false" customHeight="false" outlineLevel="0" collapsed="false">
      <c r="A11" s="172" t="n">
        <v>37653</v>
      </c>
      <c r="B11" s="173"/>
      <c r="C11" s="174" t="s">
        <v>42</v>
      </c>
      <c r="D11" s="175" t="n">
        <f aca="false">+'[5]Henry Hub'!$E18+$D$9</f>
        <v>4.411</v>
      </c>
      <c r="E11" s="173"/>
      <c r="F11" s="176" t="n">
        <f aca="false">-11500*28</f>
        <v>-322000</v>
      </c>
      <c r="G11" s="176" t="n">
        <f aca="false">+F11/28</f>
        <v>-11500</v>
      </c>
      <c r="H11" s="175" t="n">
        <f aca="false">+'[5]ELpaso SJ &amp; Prm'!$F33</f>
        <v>4.376</v>
      </c>
      <c r="I11" s="177" t="n">
        <f aca="false">SUM(-D11+H11)*F11</f>
        <v>11270</v>
      </c>
      <c r="J11" s="178"/>
      <c r="K11" s="178" t="n">
        <f aca="false">+I11</f>
        <v>11270</v>
      </c>
    </row>
    <row r="12" customFormat="false" ht="12.75" hidden="false" customHeight="false" outlineLevel="0" collapsed="false">
      <c r="A12" s="172" t="n">
        <v>37681</v>
      </c>
      <c r="B12" s="173"/>
      <c r="C12" s="174" t="s">
        <v>42</v>
      </c>
      <c r="D12" s="175" t="n">
        <f aca="false">+'[5]Henry Hub'!$E19+$D$9</f>
        <v>4.181</v>
      </c>
      <c r="E12" s="173"/>
      <c r="F12" s="176" t="n">
        <f aca="false">-11500*31</f>
        <v>-356500</v>
      </c>
      <c r="G12" s="176" t="n">
        <f aca="false">+F12/31</f>
        <v>-11500</v>
      </c>
      <c r="H12" s="175" t="n">
        <f aca="false">+'[5]ELpaso SJ &amp; Prm'!$F34</f>
        <v>4.146</v>
      </c>
      <c r="I12" s="177" t="n">
        <f aca="false">SUM(-D12+H12)*F12</f>
        <v>12477.5000000001</v>
      </c>
      <c r="J12" s="207"/>
      <c r="K12" s="178" t="n">
        <f aca="false">+I12</f>
        <v>12477.5000000001</v>
      </c>
      <c r="L12" s="207"/>
    </row>
    <row r="13" customFormat="false" ht="12.75" hidden="false" customHeight="false" outlineLevel="0" collapsed="false">
      <c r="A13" s="172" t="n">
        <v>37712</v>
      </c>
      <c r="B13" s="173"/>
      <c r="C13" s="174" t="s">
        <v>42</v>
      </c>
      <c r="D13" s="175" t="n">
        <f aca="false">+'[5]Henry Hub'!$E20+$D$9</f>
        <v>3.951</v>
      </c>
      <c r="E13" s="173"/>
      <c r="F13" s="176" t="n">
        <f aca="false">-11500*30</f>
        <v>-345000</v>
      </c>
      <c r="G13" s="176" t="n">
        <f aca="false">+F13/30</f>
        <v>-11500</v>
      </c>
      <c r="H13" s="175" t="n">
        <f aca="false">+'[5]ELpaso SJ &amp; Prm'!$F35</f>
        <v>3.921</v>
      </c>
      <c r="I13" s="177" t="n">
        <f aca="false">SUM(-D13+H13)*F13</f>
        <v>10349.9999999999</v>
      </c>
      <c r="J13" s="173"/>
      <c r="K13" s="178" t="n">
        <f aca="false">+I13</f>
        <v>10349.9999999999</v>
      </c>
    </row>
    <row r="14" customFormat="false" ht="12.75" hidden="false" customHeight="false" outlineLevel="0" collapsed="false">
      <c r="A14" s="172" t="n">
        <v>37742</v>
      </c>
      <c r="B14" s="173"/>
      <c r="C14" s="174" t="s">
        <v>42</v>
      </c>
      <c r="D14" s="175" t="n">
        <f aca="false">+'[5]Henry Hub'!$E21+$D$9</f>
        <v>3.917</v>
      </c>
      <c r="E14" s="173"/>
      <c r="F14" s="176" t="n">
        <f aca="false">-11500*31</f>
        <v>-356500</v>
      </c>
      <c r="G14" s="176" t="n">
        <f aca="false">+F14/31</f>
        <v>-11500</v>
      </c>
      <c r="H14" s="175" t="n">
        <f aca="false">+'[5]ELpaso SJ &amp; Prm'!$F36</f>
        <v>3.887</v>
      </c>
      <c r="I14" s="177" t="n">
        <f aca="false">SUM(-D14+H14)*F14</f>
        <v>10694.9999999999</v>
      </c>
      <c r="J14" s="173"/>
      <c r="K14" s="178" t="n">
        <f aca="false">+I14</f>
        <v>10694.9999999999</v>
      </c>
    </row>
    <row r="15" customFormat="false" ht="12.75" hidden="false" customHeight="false" outlineLevel="0" collapsed="false">
      <c r="A15" s="172" t="n">
        <v>37773</v>
      </c>
      <c r="B15" s="173"/>
      <c r="C15" s="174" t="s">
        <v>42</v>
      </c>
      <c r="D15" s="175" t="n">
        <f aca="false">+'[5]Henry Hub'!$E22+$D$9</f>
        <v>3.942</v>
      </c>
      <c r="E15" s="173"/>
      <c r="F15" s="176" t="n">
        <f aca="false">-11500*30</f>
        <v>-345000</v>
      </c>
      <c r="G15" s="176" t="n">
        <f aca="false">+F15/30</f>
        <v>-11500</v>
      </c>
      <c r="H15" s="175" t="n">
        <f aca="false">+'[5]ELpaso SJ &amp; Prm'!$F37</f>
        <v>3.912</v>
      </c>
      <c r="I15" s="177" t="n">
        <f aca="false">SUM(-D15+H15)*F15</f>
        <v>10349.9999999999</v>
      </c>
      <c r="J15" s="173"/>
      <c r="K15" s="178" t="n">
        <f aca="false">+I15</f>
        <v>10349.9999999999</v>
      </c>
    </row>
    <row r="16" customFormat="false" ht="12.75" hidden="false" customHeight="false" outlineLevel="0" collapsed="false">
      <c r="A16" s="172" t="n">
        <v>37803</v>
      </c>
      <c r="B16" s="173"/>
      <c r="C16" s="174" t="s">
        <v>42</v>
      </c>
      <c r="D16" s="175" t="n">
        <f aca="false">+'[5]Henry Hub'!$E23+$D$9</f>
        <v>3.963</v>
      </c>
      <c r="E16" s="173"/>
      <c r="F16" s="176" t="n">
        <f aca="false">-11500*31</f>
        <v>-356500</v>
      </c>
      <c r="G16" s="176" t="n">
        <f aca="false">+F16/31</f>
        <v>-11500</v>
      </c>
      <c r="H16" s="175" t="n">
        <f aca="false">+'[5]ELpaso SJ &amp; Prm'!$F38</f>
        <v>3.933</v>
      </c>
      <c r="I16" s="177" t="n">
        <f aca="false">SUM(-D16+H16)*F16</f>
        <v>10694.9999999999</v>
      </c>
      <c r="J16" s="173"/>
      <c r="K16" s="178" t="n">
        <f aca="false">+I16</f>
        <v>10694.9999999999</v>
      </c>
    </row>
    <row r="17" customFormat="false" ht="12.75" hidden="false" customHeight="false" outlineLevel="0" collapsed="false">
      <c r="A17" s="172" t="n">
        <v>37834</v>
      </c>
      <c r="B17" s="173"/>
      <c r="C17" s="174" t="s">
        <v>42</v>
      </c>
      <c r="D17" s="175" t="n">
        <f aca="false">+'[5]Henry Hub'!$E24+$D$9</f>
        <v>3.963</v>
      </c>
      <c r="E17" s="173"/>
      <c r="F17" s="176" t="n">
        <f aca="false">-11500*31</f>
        <v>-356500</v>
      </c>
      <c r="G17" s="176" t="n">
        <f aca="false">+F17/31</f>
        <v>-11500</v>
      </c>
      <c r="H17" s="175" t="n">
        <f aca="false">+'[5]ELpaso SJ &amp; Prm'!$F39</f>
        <v>3.933</v>
      </c>
      <c r="I17" s="177" t="n">
        <f aca="false">SUM(-D17+H17)*F17</f>
        <v>10694.9999999999</v>
      </c>
      <c r="J17" s="173"/>
      <c r="K17" s="178" t="n">
        <f aca="false">+I17</f>
        <v>10694.9999999999</v>
      </c>
    </row>
    <row r="18" customFormat="false" ht="12.75" hidden="false" customHeight="false" outlineLevel="0" collapsed="false">
      <c r="A18" s="172" t="n">
        <v>37865</v>
      </c>
      <c r="B18" s="173"/>
      <c r="C18" s="174" t="s">
        <v>42</v>
      </c>
      <c r="D18" s="175" t="n">
        <f aca="false">+'[5]Henry Hub'!$E25+$D$9</f>
        <v>3.978</v>
      </c>
      <c r="E18" s="173"/>
      <c r="F18" s="176" t="n">
        <f aca="false">-11500*30</f>
        <v>-345000</v>
      </c>
      <c r="G18" s="176" t="n">
        <f aca="false">+F18/30</f>
        <v>-11500</v>
      </c>
      <c r="H18" s="175" t="n">
        <f aca="false">+'[5]ELpaso SJ &amp; Prm'!$F40</f>
        <v>3.948</v>
      </c>
      <c r="I18" s="177" t="n">
        <f aca="false">SUM(-D18+H18)*F18</f>
        <v>10349.9999999999</v>
      </c>
      <c r="J18" s="173"/>
      <c r="K18" s="178" t="n">
        <f aca="false">+I18</f>
        <v>10349.9999999999</v>
      </c>
    </row>
    <row r="19" customFormat="false" ht="12.75" hidden="false" customHeight="false" outlineLevel="0" collapsed="false">
      <c r="A19" s="172" t="n">
        <v>37895</v>
      </c>
      <c r="B19" s="173"/>
      <c r="C19" s="174" t="s">
        <v>42</v>
      </c>
      <c r="D19" s="175" t="n">
        <f aca="false">+'[5]Henry Hub'!$E26+$D$9</f>
        <v>4.008</v>
      </c>
      <c r="E19" s="173"/>
      <c r="F19" s="176" t="n">
        <f aca="false">-11500*31</f>
        <v>-356500</v>
      </c>
      <c r="G19" s="176" t="n">
        <f aca="false">+F19/31</f>
        <v>-11500</v>
      </c>
      <c r="H19" s="175" t="n">
        <f aca="false">+'[5]ELpaso SJ &amp; Prm'!$F41</f>
        <v>3.978</v>
      </c>
      <c r="I19" s="177" t="n">
        <f aca="false">SUM(-D19+H19)*F19</f>
        <v>10695.0000000001</v>
      </c>
      <c r="J19" s="173"/>
      <c r="K19" s="178" t="n">
        <f aca="false">+I19</f>
        <v>10695.0000000001</v>
      </c>
    </row>
    <row r="20" customFormat="false" ht="12.75" hidden="false" customHeight="false" outlineLevel="0" collapsed="false">
      <c r="A20" s="172" t="n">
        <v>37926</v>
      </c>
      <c r="B20" s="173"/>
      <c r="C20" s="174" t="s">
        <v>42</v>
      </c>
      <c r="D20" s="175" t="n">
        <f aca="false">+'[5]Henry Hub'!$E27+$D$9</f>
        <v>4.148</v>
      </c>
      <c r="E20" s="173"/>
      <c r="F20" s="176" t="n">
        <f aca="false">-11500*30</f>
        <v>-345000</v>
      </c>
      <c r="G20" s="176" t="n">
        <f aca="false">+F20/30</f>
        <v>-11500</v>
      </c>
      <c r="H20" s="175" t="n">
        <f aca="false">+'[5]ELpaso SJ &amp; Prm'!$F42</f>
        <v>4.113</v>
      </c>
      <c r="I20" s="177" t="n">
        <f aca="false">SUM(-D20+H20)*F20</f>
        <v>12075.0000000001</v>
      </c>
      <c r="J20" s="173"/>
      <c r="K20" s="178" t="n">
        <f aca="false">+I20</f>
        <v>12075.0000000001</v>
      </c>
    </row>
    <row r="21" customFormat="false" ht="12.75" hidden="false" customHeight="false" outlineLevel="0" collapsed="false">
      <c r="A21" s="172" t="n">
        <v>37956</v>
      </c>
      <c r="B21" s="173"/>
      <c r="C21" s="174" t="s">
        <v>42</v>
      </c>
      <c r="D21" s="270" t="n">
        <f aca="false">+'[5]Henry Hub'!$E28+$D$9</f>
        <v>4.273</v>
      </c>
      <c r="E21" s="173"/>
      <c r="F21" s="196" t="n">
        <f aca="false">-11500*31</f>
        <v>-356500</v>
      </c>
      <c r="G21" s="176" t="n">
        <f aca="false">+F21/31</f>
        <v>-11500</v>
      </c>
      <c r="H21" s="175" t="n">
        <f aca="false">+'[5]ELpaso SJ &amp; Prm'!$F43</f>
        <v>4.238</v>
      </c>
      <c r="I21" s="197" t="n">
        <f aca="false">SUM(-D21+H21)*F21</f>
        <v>12477.5000000001</v>
      </c>
      <c r="J21" s="197"/>
      <c r="K21" s="264" t="n">
        <f aca="false">+I21</f>
        <v>12477.5000000001</v>
      </c>
    </row>
    <row r="22" customFormat="false" ht="12.75" hidden="false" customHeight="false" outlineLevel="0" collapsed="false">
      <c r="A22" s="172"/>
      <c r="B22" s="173"/>
      <c r="C22" s="174"/>
      <c r="D22" s="175" t="n">
        <f aca="false">SUM(D10:D21)/12</f>
        <v>4.10916666666667</v>
      </c>
      <c r="E22" s="173"/>
      <c r="F22" s="176" t="n">
        <f aca="false">SUM(F10:F21)</f>
        <v>-4197500</v>
      </c>
      <c r="G22" s="173"/>
      <c r="H22" s="175" t="n">
        <f aca="false">SUM(H10:H21)/12</f>
        <v>4.07708333333333</v>
      </c>
      <c r="I22" s="177" t="n">
        <f aca="false">SUM(I10:I21)</f>
        <v>134607.5</v>
      </c>
      <c r="J22" s="177" t="n">
        <f aca="false">SUM(J10:J21)</f>
        <v>0</v>
      </c>
      <c r="K22" s="177" t="n">
        <f aca="false">SUM(K10:K21)</f>
        <v>134607.5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69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-4197500</v>
      </c>
      <c r="G25" s="173"/>
      <c r="H25" s="175"/>
      <c r="I25" s="201" t="n">
        <f aca="false">+I22</f>
        <v>134607.5</v>
      </c>
      <c r="J25" s="201" t="n">
        <f aca="false">+J22</f>
        <v>0</v>
      </c>
      <c r="K25" s="201" t="n">
        <f aca="false">+K22</f>
        <v>134607.5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229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42</v>
      </c>
      <c r="E6" s="161"/>
      <c r="F6" s="161"/>
      <c r="G6" s="161"/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205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226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1.16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37622</v>
      </c>
      <c r="B10" s="173"/>
      <c r="C10" s="174" t="s">
        <v>42</v>
      </c>
      <c r="D10" s="175" t="n">
        <f aca="false">+'[5]Henry Hub'!$E17+$D$9</f>
        <v>5.875</v>
      </c>
      <c r="E10" s="173"/>
      <c r="F10" s="176" t="n">
        <f aca="false">11500*31</f>
        <v>356500</v>
      </c>
      <c r="G10" s="176" t="n">
        <f aca="false">+F10/31</f>
        <v>11500</v>
      </c>
      <c r="H10" s="175" t="n">
        <f aca="false">+'[5]NGI Socal'!$E22</f>
        <v>6.075</v>
      </c>
      <c r="I10" s="177" t="n">
        <f aca="false">SUM(-D10+H10)*F10</f>
        <v>71299.9999999998</v>
      </c>
      <c r="J10" s="178"/>
      <c r="K10" s="178" t="n">
        <f aca="false">+I10</f>
        <v>71299.9999999998</v>
      </c>
    </row>
    <row r="11" customFormat="false" ht="12.75" hidden="false" customHeight="false" outlineLevel="0" collapsed="false">
      <c r="A11" s="172" t="n">
        <v>37653</v>
      </c>
      <c r="B11" s="173"/>
      <c r="C11" s="174" t="s">
        <v>42</v>
      </c>
      <c r="D11" s="175" t="n">
        <f aca="false">+'[5]Henry Hub'!$E18+$D$9</f>
        <v>5.711</v>
      </c>
      <c r="E11" s="173"/>
      <c r="F11" s="176" t="n">
        <f aca="false">11500*28</f>
        <v>322000</v>
      </c>
      <c r="G11" s="176" t="n">
        <f aca="false">+F11/28</f>
        <v>11500</v>
      </c>
      <c r="H11" s="175" t="n">
        <f aca="false">+'[5]NGI Socal'!$E23</f>
        <v>5.911</v>
      </c>
      <c r="I11" s="177" t="n">
        <f aca="false">SUM(-D11+H11)*F11</f>
        <v>64399.9999999998</v>
      </c>
      <c r="J11" s="178"/>
      <c r="K11" s="178" t="n">
        <f aca="false">+I11</f>
        <v>64399.9999999998</v>
      </c>
    </row>
    <row r="12" customFormat="false" ht="12.75" hidden="false" customHeight="false" outlineLevel="0" collapsed="false">
      <c r="A12" s="172" t="n">
        <v>37681</v>
      </c>
      <c r="B12" s="173"/>
      <c r="C12" s="174" t="s">
        <v>42</v>
      </c>
      <c r="D12" s="175" t="n">
        <f aca="false">+'[5]Henry Hub'!$E19+$D$9</f>
        <v>5.481</v>
      </c>
      <c r="E12" s="173"/>
      <c r="F12" s="176" t="n">
        <f aca="false">11500*31</f>
        <v>356500</v>
      </c>
      <c r="G12" s="176" t="n">
        <f aca="false">+F12/31</f>
        <v>11500</v>
      </c>
      <c r="H12" s="175" t="n">
        <f aca="false">+'[5]NGI Socal'!$E24</f>
        <v>5.681</v>
      </c>
      <c r="I12" s="177" t="n">
        <f aca="false">SUM(-D12+H12)*F12</f>
        <v>71299.9999999998</v>
      </c>
      <c r="J12" s="207"/>
      <c r="K12" s="178" t="n">
        <f aca="false">+I12</f>
        <v>71299.9999999998</v>
      </c>
      <c r="L12" s="207"/>
    </row>
    <row r="13" customFormat="false" ht="12.75" hidden="false" customHeight="false" outlineLevel="0" collapsed="false">
      <c r="A13" s="172" t="n">
        <v>37712</v>
      </c>
      <c r="B13" s="173"/>
      <c r="C13" s="174" t="s">
        <v>42</v>
      </c>
      <c r="D13" s="175" t="n">
        <f aca="false">+'[5]Henry Hub'!$E20+$D$9</f>
        <v>5.251</v>
      </c>
      <c r="E13" s="173"/>
      <c r="F13" s="176" t="n">
        <f aca="false">11500*30</f>
        <v>345000</v>
      </c>
      <c r="G13" s="176" t="n">
        <f aca="false">+F13/30</f>
        <v>11500</v>
      </c>
      <c r="H13" s="175" t="n">
        <f aca="false">+'[5]NGI Socal'!$E25</f>
        <v>5.566</v>
      </c>
      <c r="I13" s="177" t="n">
        <f aca="false">SUM(-D13+H13)*F13</f>
        <v>108675</v>
      </c>
      <c r="J13" s="173"/>
      <c r="K13" s="178" t="n">
        <f aca="false">+I13</f>
        <v>108675</v>
      </c>
    </row>
    <row r="14" customFormat="false" ht="12.75" hidden="false" customHeight="false" outlineLevel="0" collapsed="false">
      <c r="A14" s="172" t="n">
        <v>37742</v>
      </c>
      <c r="B14" s="173"/>
      <c r="C14" s="174" t="s">
        <v>42</v>
      </c>
      <c r="D14" s="175" t="n">
        <f aca="false">+'[5]Henry Hub'!$E21+$D$9</f>
        <v>5.217</v>
      </c>
      <c r="E14" s="173"/>
      <c r="F14" s="176" t="n">
        <f aca="false">11500*31</f>
        <v>356500</v>
      </c>
      <c r="G14" s="176" t="n">
        <f aca="false">+F14/31</f>
        <v>11500</v>
      </c>
      <c r="H14" s="175" t="n">
        <f aca="false">+'[5]NGI Socal'!$E26</f>
        <v>5.532</v>
      </c>
      <c r="I14" s="177" t="n">
        <f aca="false">SUM(-D14+H14)*F14</f>
        <v>112297.5</v>
      </c>
      <c r="J14" s="173"/>
      <c r="K14" s="178" t="n">
        <f aca="false">+I14</f>
        <v>112297.5</v>
      </c>
    </row>
    <row r="15" customFormat="false" ht="12.75" hidden="false" customHeight="false" outlineLevel="0" collapsed="false">
      <c r="A15" s="172" t="n">
        <v>37773</v>
      </c>
      <c r="B15" s="173"/>
      <c r="C15" s="174" t="s">
        <v>42</v>
      </c>
      <c r="D15" s="175" t="n">
        <f aca="false">+'[5]Henry Hub'!$E22+$D$9</f>
        <v>5.242</v>
      </c>
      <c r="E15" s="173"/>
      <c r="F15" s="176" t="n">
        <f aca="false">11500*30</f>
        <v>345000</v>
      </c>
      <c r="G15" s="176" t="n">
        <f aca="false">+F15/30</f>
        <v>11500</v>
      </c>
      <c r="H15" s="175" t="n">
        <f aca="false">+'[5]NGI Socal'!$E27</f>
        <v>5.557</v>
      </c>
      <c r="I15" s="177" t="n">
        <f aca="false">SUM(-D15+H15)*F15</f>
        <v>108675</v>
      </c>
      <c r="J15" s="173"/>
      <c r="K15" s="178" t="n">
        <f aca="false">+I15</f>
        <v>108675</v>
      </c>
    </row>
    <row r="16" customFormat="false" ht="12.75" hidden="false" customHeight="false" outlineLevel="0" collapsed="false">
      <c r="A16" s="172" t="n">
        <v>37803</v>
      </c>
      <c r="B16" s="173"/>
      <c r="C16" s="174" t="s">
        <v>42</v>
      </c>
      <c r="D16" s="175" t="n">
        <f aca="false">+'[5]Henry Hub'!$E23+$D$9</f>
        <v>5.263</v>
      </c>
      <c r="E16" s="173"/>
      <c r="F16" s="176" t="n">
        <f aca="false">11500*31</f>
        <v>356500</v>
      </c>
      <c r="G16" s="176" t="n">
        <f aca="false">+F16/31</f>
        <v>11500</v>
      </c>
      <c r="H16" s="175" t="n">
        <f aca="false">+'[5]NGI Socal'!$E28</f>
        <v>5.578</v>
      </c>
      <c r="I16" s="177" t="n">
        <f aca="false">SUM(-D16+H16)*F16</f>
        <v>112297.5</v>
      </c>
      <c r="J16" s="173"/>
      <c r="K16" s="178" t="n">
        <f aca="false">+I16</f>
        <v>112297.5</v>
      </c>
    </row>
    <row r="17" customFormat="false" ht="12.75" hidden="false" customHeight="false" outlineLevel="0" collapsed="false">
      <c r="A17" s="172" t="n">
        <v>37834</v>
      </c>
      <c r="B17" s="173"/>
      <c r="C17" s="174" t="s">
        <v>42</v>
      </c>
      <c r="D17" s="175" t="n">
        <f aca="false">+'[5]Henry Hub'!$E24+$D$9</f>
        <v>5.263</v>
      </c>
      <c r="E17" s="173"/>
      <c r="F17" s="176" t="n">
        <f aca="false">11500*31</f>
        <v>356500</v>
      </c>
      <c r="G17" s="176" t="n">
        <f aca="false">+F17/31</f>
        <v>11500</v>
      </c>
      <c r="H17" s="175" t="n">
        <f aca="false">+'[5]NGI Socal'!$E29</f>
        <v>5.578</v>
      </c>
      <c r="I17" s="177" t="n">
        <f aca="false">SUM(-D17+H17)*F17</f>
        <v>112297.5</v>
      </c>
      <c r="J17" s="173"/>
      <c r="K17" s="178" t="n">
        <f aca="false">+I17</f>
        <v>112297.5</v>
      </c>
    </row>
    <row r="18" customFormat="false" ht="12.75" hidden="false" customHeight="false" outlineLevel="0" collapsed="false">
      <c r="A18" s="172" t="n">
        <v>37865</v>
      </c>
      <c r="B18" s="173"/>
      <c r="C18" s="174" t="s">
        <v>42</v>
      </c>
      <c r="D18" s="175" t="n">
        <f aca="false">+'[5]Henry Hub'!$E25+$D$9</f>
        <v>5.278</v>
      </c>
      <c r="E18" s="173"/>
      <c r="F18" s="176" t="n">
        <f aca="false">11500*30</f>
        <v>345000</v>
      </c>
      <c r="G18" s="176" t="n">
        <f aca="false">+F18/30</f>
        <v>11500</v>
      </c>
      <c r="H18" s="175" t="n">
        <f aca="false">+'[5]NGI Socal'!$E30</f>
        <v>5.593</v>
      </c>
      <c r="I18" s="177" t="n">
        <f aca="false">SUM(-D18+H18)*F18</f>
        <v>108675</v>
      </c>
      <c r="J18" s="173"/>
      <c r="K18" s="178" t="n">
        <f aca="false">+I18</f>
        <v>108675</v>
      </c>
    </row>
    <row r="19" customFormat="false" ht="12.75" hidden="false" customHeight="false" outlineLevel="0" collapsed="false">
      <c r="A19" s="172" t="n">
        <v>37895</v>
      </c>
      <c r="B19" s="173"/>
      <c r="C19" s="174" t="s">
        <v>42</v>
      </c>
      <c r="D19" s="175" t="n">
        <f aca="false">+'[5]Henry Hub'!$E26+$D$9</f>
        <v>5.308</v>
      </c>
      <c r="E19" s="173"/>
      <c r="F19" s="176" t="n">
        <f aca="false">11500*31</f>
        <v>356500</v>
      </c>
      <c r="G19" s="176" t="n">
        <f aca="false">+F19/31</f>
        <v>11500</v>
      </c>
      <c r="H19" s="175" t="n">
        <f aca="false">+'[5]NGI Socal'!$E31</f>
        <v>5.623</v>
      </c>
      <c r="I19" s="177" t="n">
        <f aca="false">SUM(-D19+H19)*F19</f>
        <v>112297.5</v>
      </c>
      <c r="J19" s="173"/>
      <c r="K19" s="178" t="n">
        <f aca="false">+I19</f>
        <v>112297.5</v>
      </c>
    </row>
    <row r="20" customFormat="false" ht="12.75" hidden="false" customHeight="false" outlineLevel="0" collapsed="false">
      <c r="A20" s="172" t="n">
        <v>37926</v>
      </c>
      <c r="B20" s="173"/>
      <c r="C20" s="174" t="s">
        <v>42</v>
      </c>
      <c r="D20" s="175" t="n">
        <f aca="false">+'[5]Henry Hub'!$E27+$D$9</f>
        <v>5.448</v>
      </c>
      <c r="E20" s="173"/>
      <c r="F20" s="176" t="n">
        <f aca="false">11500*30</f>
        <v>345000</v>
      </c>
      <c r="G20" s="176" t="n">
        <f aca="false">+F20/30</f>
        <v>11500</v>
      </c>
      <c r="H20" s="175" t="n">
        <f aca="false">+'[5]NGI Socal'!$E32</f>
        <v>4.969</v>
      </c>
      <c r="I20" s="177" t="n">
        <f aca="false">SUM(-D20+H20)*F20</f>
        <v>-165255</v>
      </c>
      <c r="J20" s="173"/>
      <c r="K20" s="178" t="n">
        <f aca="false">+I20</f>
        <v>-165255</v>
      </c>
    </row>
    <row r="21" customFormat="false" ht="12.75" hidden="false" customHeight="false" outlineLevel="0" collapsed="false">
      <c r="A21" s="172" t="n">
        <v>37956</v>
      </c>
      <c r="B21" s="173"/>
      <c r="C21" s="174" t="s">
        <v>42</v>
      </c>
      <c r="D21" s="270" t="n">
        <f aca="false">+'[5]Henry Hub'!$E28+$D$9</f>
        <v>5.573</v>
      </c>
      <c r="E21" s="173"/>
      <c r="F21" s="196" t="n">
        <f aca="false">11500*31</f>
        <v>356500</v>
      </c>
      <c r="G21" s="176" t="n">
        <f aca="false">+F21/31</f>
        <v>11500</v>
      </c>
      <c r="H21" s="270" t="n">
        <f aca="false">+'[5]NGI Socal'!$E33</f>
        <v>5.094</v>
      </c>
      <c r="I21" s="197" t="n">
        <f aca="false">SUM(-D21+H21)*F21</f>
        <v>-170763.5</v>
      </c>
      <c r="J21" s="197"/>
      <c r="K21" s="264" t="n">
        <f aca="false">+I21</f>
        <v>-170763.5</v>
      </c>
    </row>
    <row r="22" customFormat="false" ht="12.75" hidden="false" customHeight="false" outlineLevel="0" collapsed="false">
      <c r="A22" s="172"/>
      <c r="B22" s="173"/>
      <c r="C22" s="174"/>
      <c r="D22" s="175" t="n">
        <f aca="false">SUM(D10:D21)/12</f>
        <v>5.40916666666667</v>
      </c>
      <c r="E22" s="173"/>
      <c r="F22" s="176" t="n">
        <f aca="false">SUM(F10:F21)</f>
        <v>4197500</v>
      </c>
      <c r="G22" s="173"/>
      <c r="H22" s="175" t="n">
        <f aca="false">SUM(H10:H21)/12</f>
        <v>5.56308333333333</v>
      </c>
      <c r="I22" s="177" t="n">
        <f aca="false">SUM(I10:I21)</f>
        <v>646196.499999998</v>
      </c>
      <c r="J22" s="177" t="n">
        <f aca="false">SUM(J10:J21)</f>
        <v>0</v>
      </c>
      <c r="K22" s="177" t="n">
        <f aca="false">SUM(K10:K21)</f>
        <v>646196.499999998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269"/>
      <c r="H23" s="175"/>
      <c r="I23" s="177"/>
      <c r="J23" s="179"/>
      <c r="K23" s="199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 t="n">
        <f aca="false">+F22</f>
        <v>4197500</v>
      </c>
      <c r="G25" s="173"/>
      <c r="H25" s="175"/>
      <c r="I25" s="201" t="n">
        <f aca="false">+I22</f>
        <v>646196.499999998</v>
      </c>
      <c r="J25" s="201" t="n">
        <f aca="false">+J22</f>
        <v>0</v>
      </c>
      <c r="K25" s="201" t="n">
        <f aca="false">+K22</f>
        <v>646196.499999998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139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140</v>
      </c>
      <c r="E6" s="161"/>
      <c r="F6" s="161" t="s">
        <v>130</v>
      </c>
      <c r="G6" s="161" t="s">
        <v>97</v>
      </c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132</v>
      </c>
      <c r="E7" s="164"/>
      <c r="F7" s="164" t="s">
        <v>133</v>
      </c>
      <c r="G7" s="164" t="s">
        <v>17</v>
      </c>
      <c r="H7" s="164" t="s">
        <v>141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8" t="s">
        <v>17</v>
      </c>
      <c r="E8" s="167"/>
      <c r="F8" s="167"/>
      <c r="G8" s="169" t="s">
        <v>135</v>
      </c>
      <c r="H8" s="170" t="s">
        <v>17</v>
      </c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36892</v>
      </c>
      <c r="B9" s="173"/>
      <c r="C9" s="174" t="s">
        <v>50</v>
      </c>
      <c r="D9" s="175" t="n">
        <v>3.74</v>
      </c>
      <c r="E9" s="173"/>
      <c r="F9" s="176" t="n">
        <f aca="false">-5000*31</f>
        <v>-155000</v>
      </c>
      <c r="G9" s="175"/>
      <c r="H9" s="175" t="n">
        <v>9.81</v>
      </c>
      <c r="I9" s="177" t="n">
        <f aca="false">SUM(D9-H9)*F9</f>
        <v>940850</v>
      </c>
      <c r="J9" s="178" t="n">
        <f aca="false">+I9</f>
        <v>940850</v>
      </c>
      <c r="K9" s="178"/>
    </row>
    <row r="10" customFormat="false" ht="12.75" hidden="false" customHeight="false" outlineLevel="0" collapsed="false">
      <c r="A10" s="172" t="n">
        <v>36923</v>
      </c>
      <c r="B10" s="173"/>
      <c r="C10" s="174" t="s">
        <v>50</v>
      </c>
      <c r="D10" s="175" t="n">
        <v>3.74</v>
      </c>
      <c r="E10" s="173"/>
      <c r="F10" s="176" t="n">
        <f aca="false">-5000*28</f>
        <v>-140000</v>
      </c>
      <c r="G10" s="175"/>
      <c r="H10" s="175" t="n">
        <f aca="false">+'[5]ELpaso SJ &amp; Prm'!$F49</f>
        <v>6.605</v>
      </c>
      <c r="I10" s="177" t="n">
        <f aca="false">SUM(D10-H10)*F10</f>
        <v>401100</v>
      </c>
      <c r="J10" s="178"/>
      <c r="K10" s="178" t="n">
        <f aca="false">+I10</f>
        <v>401100</v>
      </c>
    </row>
    <row r="11" customFormat="false" ht="12.75" hidden="false" customHeight="false" outlineLevel="0" collapsed="false">
      <c r="A11" s="172" t="n">
        <v>36951</v>
      </c>
      <c r="B11" s="173"/>
      <c r="C11" s="174" t="s">
        <v>50</v>
      </c>
      <c r="D11" s="175" t="n">
        <v>3.74</v>
      </c>
      <c r="E11" s="173"/>
      <c r="F11" s="176" t="n">
        <f aca="false">-5000*31</f>
        <v>-155000</v>
      </c>
      <c r="G11" s="175"/>
      <c r="H11" s="175" t="n">
        <f aca="false">+'[5]ELpaso SJ &amp; Prm'!$F50</f>
        <v>5.832</v>
      </c>
      <c r="I11" s="177" t="n">
        <f aca="false">SUM(D11-H11)*F11</f>
        <v>324260</v>
      </c>
      <c r="J11" s="178"/>
      <c r="K11" s="178" t="n">
        <f aca="false">+I11</f>
        <v>324260</v>
      </c>
    </row>
    <row r="12" customFormat="false" ht="12.75" hidden="false" customHeight="false" outlineLevel="0" collapsed="false">
      <c r="A12" s="172" t="n">
        <v>36982</v>
      </c>
      <c r="B12" s="173"/>
      <c r="C12" s="174" t="s">
        <v>50</v>
      </c>
      <c r="D12" s="175" t="n">
        <v>3.74</v>
      </c>
      <c r="E12" s="173"/>
      <c r="F12" s="176" t="n">
        <f aca="false">-5000*30</f>
        <v>-150000</v>
      </c>
      <c r="G12" s="175"/>
      <c r="H12" s="175" t="n">
        <f aca="false">+'[5]ELpaso SJ &amp; Prm'!$F51</f>
        <v>5.3</v>
      </c>
      <c r="I12" s="177" t="n">
        <f aca="false">SUM(D12-H12)*F12</f>
        <v>234000</v>
      </c>
      <c r="J12" s="178"/>
      <c r="K12" s="178" t="n">
        <f aca="false">+I12</f>
        <v>234000</v>
      </c>
    </row>
    <row r="13" customFormat="false" ht="12.75" hidden="false" customHeight="false" outlineLevel="0" collapsed="false">
      <c r="A13" s="172" t="n">
        <v>37012</v>
      </c>
      <c r="B13" s="173"/>
      <c r="C13" s="174" t="s">
        <v>50</v>
      </c>
      <c r="D13" s="175" t="n">
        <v>3.74</v>
      </c>
      <c r="E13" s="173"/>
      <c r="F13" s="176" t="n">
        <f aca="false">-5000*31</f>
        <v>-155000</v>
      </c>
      <c r="G13" s="173"/>
      <c r="H13" s="175" t="n">
        <f aca="false">+'[5]ELpaso SJ &amp; Prm'!$F52</f>
        <v>5.16</v>
      </c>
      <c r="I13" s="177" t="n">
        <f aca="false">SUM(D13-H13)*F13</f>
        <v>220100</v>
      </c>
      <c r="J13" s="179"/>
      <c r="K13" s="178" t="n">
        <f aca="false">+I13</f>
        <v>220100</v>
      </c>
    </row>
    <row r="14" customFormat="false" ht="12.75" hidden="false" customHeight="false" outlineLevel="0" collapsed="false">
      <c r="A14" s="172" t="n">
        <v>37043</v>
      </c>
      <c r="B14" s="173"/>
      <c r="C14" s="174" t="s">
        <v>50</v>
      </c>
      <c r="D14" s="175" t="n">
        <v>3.74</v>
      </c>
      <c r="E14" s="173"/>
      <c r="F14" s="176" t="n">
        <f aca="false">-5000*30</f>
        <v>-150000</v>
      </c>
      <c r="G14" s="173"/>
      <c r="H14" s="175" t="n">
        <f aca="false">+'[5]ELpaso SJ &amp; Prm'!$F53</f>
        <v>5.18</v>
      </c>
      <c r="I14" s="177" t="n">
        <f aca="false">SUM(D14-H14)*F14</f>
        <v>216000</v>
      </c>
      <c r="J14" s="179"/>
      <c r="K14" s="178" t="n">
        <f aca="false">+I14</f>
        <v>216000</v>
      </c>
    </row>
    <row r="15" customFormat="false" ht="12.75" hidden="false" customHeight="false" outlineLevel="0" collapsed="false">
      <c r="A15" s="172" t="n">
        <v>37073</v>
      </c>
      <c r="B15" s="173"/>
      <c r="C15" s="174" t="s">
        <v>50</v>
      </c>
      <c r="D15" s="175" t="n">
        <v>3.74</v>
      </c>
      <c r="E15" s="173"/>
      <c r="F15" s="176" t="n">
        <f aca="false">-5000*31</f>
        <v>-155000</v>
      </c>
      <c r="G15" s="173"/>
      <c r="H15" s="175" t="n">
        <f aca="false">+'[5]ELpaso SJ &amp; Prm'!$F54</f>
        <v>5.37</v>
      </c>
      <c r="I15" s="177" t="n">
        <f aca="false">SUM(D15-H15)*F15</f>
        <v>252650</v>
      </c>
      <c r="J15" s="179"/>
      <c r="K15" s="178" t="n">
        <f aca="false">+I15</f>
        <v>252650</v>
      </c>
    </row>
    <row r="16" customFormat="false" ht="12.75" hidden="false" customHeight="false" outlineLevel="0" collapsed="false">
      <c r="A16" s="172" t="n">
        <v>37104</v>
      </c>
      <c r="B16" s="173"/>
      <c r="C16" s="174" t="s">
        <v>50</v>
      </c>
      <c r="D16" s="175" t="n">
        <v>3.74</v>
      </c>
      <c r="E16" s="173"/>
      <c r="F16" s="176" t="n">
        <f aca="false">-5000*31</f>
        <v>-155000</v>
      </c>
      <c r="G16" s="173"/>
      <c r="H16" s="175" t="n">
        <f aca="false">+'[5]ELpaso SJ &amp; Prm'!$F55</f>
        <v>5.38</v>
      </c>
      <c r="I16" s="177" t="n">
        <f aca="false">SUM(D16-H16)*F16</f>
        <v>254200</v>
      </c>
      <c r="J16" s="179"/>
      <c r="K16" s="178" t="n">
        <f aca="false">+I16</f>
        <v>254200</v>
      </c>
    </row>
    <row r="17" customFormat="false" ht="12.75" hidden="false" customHeight="false" outlineLevel="0" collapsed="false">
      <c r="A17" s="172" t="n">
        <v>37135</v>
      </c>
      <c r="B17" s="173"/>
      <c r="C17" s="174" t="s">
        <v>50</v>
      </c>
      <c r="D17" s="175" t="n">
        <v>3.74</v>
      </c>
      <c r="E17" s="173"/>
      <c r="F17" s="176" t="n">
        <f aca="false">-5000*30</f>
        <v>-150000</v>
      </c>
      <c r="G17" s="173"/>
      <c r="H17" s="175" t="n">
        <f aca="false">+'[5]ELpaso SJ &amp; Prm'!$F56</f>
        <v>5.35</v>
      </c>
      <c r="I17" s="177" t="n">
        <f aca="false">SUM(D17-H17)*F17</f>
        <v>241500</v>
      </c>
      <c r="J17" s="179"/>
      <c r="K17" s="178" t="n">
        <f aca="false">+I17</f>
        <v>241500</v>
      </c>
    </row>
    <row r="18" customFormat="false" ht="12.75" hidden="false" customHeight="false" outlineLevel="0" collapsed="false">
      <c r="A18" s="172" t="n">
        <v>37165</v>
      </c>
      <c r="B18" s="173"/>
      <c r="C18" s="174" t="s">
        <v>50</v>
      </c>
      <c r="D18" s="175" t="n">
        <v>3.74</v>
      </c>
      <c r="E18" s="173"/>
      <c r="F18" s="176" t="n">
        <f aca="false">-5000*31</f>
        <v>-155000</v>
      </c>
      <c r="G18" s="173"/>
      <c r="H18" s="175" t="n">
        <f aca="false">+'[5]ELpaso SJ &amp; Prm'!$F57</f>
        <v>5.325</v>
      </c>
      <c r="I18" s="177" t="n">
        <f aca="false">SUM(D18-H18)*F18</f>
        <v>245675</v>
      </c>
      <c r="J18" s="179"/>
      <c r="K18" s="178" t="n">
        <f aca="false">+I18</f>
        <v>245675</v>
      </c>
    </row>
    <row r="19" customFormat="false" ht="12.75" hidden="false" customHeight="false" outlineLevel="0" collapsed="false">
      <c r="A19" s="172" t="n">
        <v>37196</v>
      </c>
      <c r="B19" s="173"/>
      <c r="C19" s="174" t="s">
        <v>50</v>
      </c>
      <c r="D19" s="175" t="n">
        <v>3.74</v>
      </c>
      <c r="E19" s="173"/>
      <c r="F19" s="176" t="n">
        <f aca="false">-5000*30</f>
        <v>-150000</v>
      </c>
      <c r="G19" s="173"/>
      <c r="H19" s="175" t="n">
        <f aca="false">+'[5]ELpaso SJ &amp; Prm'!$F58</f>
        <v>5.375</v>
      </c>
      <c r="I19" s="177" t="n">
        <f aca="false">SUM(D19-H19)*F19</f>
        <v>245250</v>
      </c>
      <c r="J19" s="179"/>
      <c r="K19" s="178" t="n">
        <f aca="false">+I19</f>
        <v>245250</v>
      </c>
    </row>
    <row r="20" customFormat="false" ht="12.75" hidden="false" customHeight="false" outlineLevel="0" collapsed="false">
      <c r="A20" s="172" t="n">
        <v>37226</v>
      </c>
      <c r="B20" s="173"/>
      <c r="C20" s="174" t="s">
        <v>50</v>
      </c>
      <c r="D20" s="175" t="n">
        <v>3.74</v>
      </c>
      <c r="E20" s="173"/>
      <c r="F20" s="176" t="n">
        <f aca="false">-5000*31</f>
        <v>-155000</v>
      </c>
      <c r="G20" s="173"/>
      <c r="H20" s="175" t="n">
        <f aca="false">+'[5]ELpaso SJ &amp; Prm'!$F59</f>
        <v>5.51</v>
      </c>
      <c r="I20" s="177" t="n">
        <f aca="false">SUM(D20-H20)*F20</f>
        <v>274350</v>
      </c>
      <c r="J20" s="179"/>
      <c r="K20" s="178" t="n">
        <f aca="false">+I20</f>
        <v>274350</v>
      </c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3"/>
      <c r="B22" s="173"/>
      <c r="C22" s="173"/>
      <c r="D22" s="173"/>
      <c r="E22" s="173"/>
      <c r="F22" s="180" t="n">
        <f aca="false">SUM(F9:F20)</f>
        <v>-1825000</v>
      </c>
      <c r="G22" s="173"/>
      <c r="H22" s="173"/>
      <c r="I22" s="181" t="n">
        <f aca="false">SUM(I9:I20)</f>
        <v>3849935</v>
      </c>
      <c r="J22" s="181" t="n">
        <f aca="false">SUM(J9:J20)</f>
        <v>940850</v>
      </c>
      <c r="K22" s="181" t="n">
        <f aca="false">SUM(K9:K20)</f>
        <v>2909085</v>
      </c>
    </row>
    <row r="23" customFormat="false" ht="12.75" hidden="false" customHeight="false" outlineLevel="0" collapsed="false">
      <c r="A23" s="173"/>
      <c r="B23" s="173"/>
      <c r="C23" s="173"/>
      <c r="D23" s="173"/>
      <c r="E23" s="173"/>
      <c r="F23" s="182"/>
      <c r="G23" s="173"/>
      <c r="H23" s="173"/>
      <c r="I23" s="183"/>
      <c r="J23" s="184"/>
      <c r="K23" s="184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73"/>
      <c r="G24" s="185" t="s">
        <v>135</v>
      </c>
      <c r="H24" s="186"/>
      <c r="I24" s="173"/>
      <c r="J24" s="179"/>
      <c r="K24" s="179"/>
    </row>
    <row r="25" customFormat="false" ht="12.75" hidden="false" customHeight="false" outlineLevel="0" collapsed="false">
      <c r="A25" s="173"/>
      <c r="B25" s="173"/>
      <c r="C25" s="173"/>
      <c r="D25" s="175"/>
      <c r="E25" s="173"/>
      <c r="F25" s="173"/>
      <c r="G25" s="187"/>
      <c r="H25" s="186"/>
      <c r="I25" s="173"/>
      <c r="J25" s="179"/>
      <c r="K25" s="179"/>
    </row>
    <row r="26" customFormat="false" ht="12.75" hidden="false" customHeight="false" outlineLevel="0" collapsed="false">
      <c r="A26" s="172" t="n">
        <v>36892</v>
      </c>
      <c r="B26" s="173"/>
      <c r="C26" s="174" t="s">
        <v>137</v>
      </c>
      <c r="D26" s="175" t="n">
        <v>3.74</v>
      </c>
      <c r="E26" s="173"/>
      <c r="F26" s="176" t="n">
        <f aca="false">5000*31</f>
        <v>155000</v>
      </c>
      <c r="G26" s="175"/>
      <c r="H26" s="175" t="n">
        <v>9.81</v>
      </c>
      <c r="I26" s="177" t="n">
        <f aca="false">(+D26-H26)*F26</f>
        <v>-940850</v>
      </c>
      <c r="J26" s="178" t="n">
        <f aca="false">+I26</f>
        <v>-940850</v>
      </c>
      <c r="K26" s="178"/>
    </row>
    <row r="27" customFormat="false" ht="12.75" hidden="false" customHeight="false" outlineLevel="0" collapsed="false">
      <c r="A27" s="172" t="n">
        <v>36923</v>
      </c>
      <c r="B27" s="173"/>
      <c r="C27" s="174" t="s">
        <v>137</v>
      </c>
      <c r="D27" s="175" t="n">
        <v>3.74</v>
      </c>
      <c r="E27" s="173"/>
      <c r="F27" s="176" t="n">
        <f aca="false">5000*28</f>
        <v>140000</v>
      </c>
      <c r="G27" s="175"/>
      <c r="H27" s="175" t="n">
        <f aca="false">+'[5]ELpaso SJ &amp; Prm'!$F49</f>
        <v>6.605</v>
      </c>
      <c r="I27" s="177" t="n">
        <f aca="false">(+D27-H27)*F27</f>
        <v>-401100</v>
      </c>
      <c r="J27" s="178"/>
      <c r="K27" s="178" t="n">
        <f aca="false">+I27</f>
        <v>-401100</v>
      </c>
    </row>
    <row r="28" customFormat="false" ht="12.75" hidden="false" customHeight="false" outlineLevel="0" collapsed="false">
      <c r="A28" s="172" t="n">
        <v>36951</v>
      </c>
      <c r="B28" s="173"/>
      <c r="C28" s="174" t="s">
        <v>137</v>
      </c>
      <c r="D28" s="175" t="n">
        <v>3.74</v>
      </c>
      <c r="E28" s="173"/>
      <c r="F28" s="176" t="n">
        <f aca="false">5000*31</f>
        <v>155000</v>
      </c>
      <c r="G28" s="175"/>
      <c r="H28" s="175" t="n">
        <f aca="false">+'[5]ELpaso SJ &amp; Prm'!$F50</f>
        <v>5.832</v>
      </c>
      <c r="I28" s="177" t="n">
        <f aca="false">(+D28-H28)*F28</f>
        <v>-324260</v>
      </c>
      <c r="J28" s="178"/>
      <c r="K28" s="178" t="n">
        <f aca="false">+I28</f>
        <v>-324260</v>
      </c>
    </row>
    <row r="29" customFormat="false" ht="12.75" hidden="false" customHeight="false" outlineLevel="0" collapsed="false">
      <c r="A29" s="172" t="n">
        <v>36982</v>
      </c>
      <c r="B29" s="173"/>
      <c r="C29" s="174" t="s">
        <v>137</v>
      </c>
      <c r="D29" s="175" t="n">
        <v>3.74</v>
      </c>
      <c r="E29" s="173"/>
      <c r="F29" s="176" t="n">
        <f aca="false">5000*30</f>
        <v>150000</v>
      </c>
      <c r="G29" s="175"/>
      <c r="H29" s="175" t="n">
        <f aca="false">+'[5]ELpaso SJ &amp; Prm'!$F51</f>
        <v>5.3</v>
      </c>
      <c r="I29" s="177" t="n">
        <f aca="false">(+D29-H29)*F29</f>
        <v>-234000</v>
      </c>
      <c r="J29" s="178"/>
      <c r="K29" s="178" t="n">
        <f aca="false">+I29</f>
        <v>-234000</v>
      </c>
    </row>
    <row r="30" customFormat="false" ht="12.75" hidden="false" customHeight="false" outlineLevel="0" collapsed="false">
      <c r="A30" s="172" t="n">
        <v>37012</v>
      </c>
      <c r="B30" s="173"/>
      <c r="C30" s="174" t="s">
        <v>137</v>
      </c>
      <c r="D30" s="175" t="n">
        <v>3.74</v>
      </c>
      <c r="E30" s="173"/>
      <c r="F30" s="176" t="n">
        <f aca="false">5000*31</f>
        <v>155000</v>
      </c>
      <c r="G30" s="173"/>
      <c r="H30" s="175" t="n">
        <f aca="false">+'[5]ELpaso SJ &amp; Prm'!$F52</f>
        <v>5.16</v>
      </c>
      <c r="I30" s="177" t="n">
        <f aca="false">(+D30-H30)*F30</f>
        <v>-220100</v>
      </c>
      <c r="J30" s="179"/>
      <c r="K30" s="178" t="n">
        <f aca="false">+I30</f>
        <v>-220100</v>
      </c>
    </row>
    <row r="31" customFormat="false" ht="12.75" hidden="false" customHeight="false" outlineLevel="0" collapsed="false">
      <c r="A31" s="172" t="n">
        <v>37043</v>
      </c>
      <c r="B31" s="173"/>
      <c r="C31" s="174" t="s">
        <v>137</v>
      </c>
      <c r="D31" s="175" t="n">
        <v>3.74</v>
      </c>
      <c r="E31" s="173"/>
      <c r="F31" s="176" t="n">
        <f aca="false">5000*30</f>
        <v>150000</v>
      </c>
      <c r="G31" s="173"/>
      <c r="H31" s="175" t="n">
        <f aca="false">+'[5]ELpaso SJ &amp; Prm'!$F53</f>
        <v>5.18</v>
      </c>
      <c r="I31" s="177" t="n">
        <f aca="false">(+D31-H31)*F31</f>
        <v>-216000</v>
      </c>
      <c r="J31" s="179"/>
      <c r="K31" s="178" t="n">
        <f aca="false">+I31</f>
        <v>-216000</v>
      </c>
    </row>
    <row r="32" customFormat="false" ht="12.75" hidden="false" customHeight="false" outlineLevel="0" collapsed="false">
      <c r="A32" s="172" t="n">
        <v>37073</v>
      </c>
      <c r="B32" s="173"/>
      <c r="C32" s="174" t="s">
        <v>137</v>
      </c>
      <c r="D32" s="175" t="n">
        <v>3.74</v>
      </c>
      <c r="E32" s="173"/>
      <c r="F32" s="176" t="n">
        <f aca="false">5000*31</f>
        <v>155000</v>
      </c>
      <c r="G32" s="173"/>
      <c r="H32" s="175" t="n">
        <f aca="false">+'[5]ELpaso SJ &amp; Prm'!$F54</f>
        <v>5.37</v>
      </c>
      <c r="I32" s="177" t="n">
        <f aca="false">(+D32-H32)*F32</f>
        <v>-252650</v>
      </c>
      <c r="J32" s="179"/>
      <c r="K32" s="178" t="n">
        <f aca="false">+I32</f>
        <v>-252650</v>
      </c>
    </row>
    <row r="33" customFormat="false" ht="12.75" hidden="false" customHeight="false" outlineLevel="0" collapsed="false">
      <c r="A33" s="172" t="n">
        <v>37104</v>
      </c>
      <c r="B33" s="173"/>
      <c r="C33" s="174" t="s">
        <v>137</v>
      </c>
      <c r="D33" s="175" t="n">
        <v>3.74</v>
      </c>
      <c r="E33" s="173"/>
      <c r="F33" s="176" t="n">
        <f aca="false">5000*31</f>
        <v>155000</v>
      </c>
      <c r="G33" s="173"/>
      <c r="H33" s="175" t="n">
        <f aca="false">+'[5]ELpaso SJ &amp; Prm'!$F55</f>
        <v>5.38</v>
      </c>
      <c r="I33" s="177" t="n">
        <f aca="false">(+D33-H33)*F33</f>
        <v>-254200</v>
      </c>
      <c r="J33" s="179"/>
      <c r="K33" s="178" t="n">
        <f aca="false">+I33</f>
        <v>-254200</v>
      </c>
    </row>
    <row r="34" customFormat="false" ht="12.75" hidden="false" customHeight="false" outlineLevel="0" collapsed="false">
      <c r="A34" s="172" t="n">
        <v>37135</v>
      </c>
      <c r="B34" s="173"/>
      <c r="C34" s="174" t="s">
        <v>137</v>
      </c>
      <c r="D34" s="175" t="n">
        <v>3.74</v>
      </c>
      <c r="E34" s="173"/>
      <c r="F34" s="176" t="n">
        <f aca="false">5000*30</f>
        <v>150000</v>
      </c>
      <c r="G34" s="173"/>
      <c r="H34" s="175" t="n">
        <f aca="false">+'[5]ELpaso SJ &amp; Prm'!$F56</f>
        <v>5.35</v>
      </c>
      <c r="I34" s="177" t="n">
        <f aca="false">(+D34-H34)*F34</f>
        <v>-241500</v>
      </c>
      <c r="J34" s="179"/>
      <c r="K34" s="178" t="n">
        <f aca="false">+I34</f>
        <v>-241500</v>
      </c>
    </row>
    <row r="35" customFormat="false" ht="12.75" hidden="false" customHeight="false" outlineLevel="0" collapsed="false">
      <c r="A35" s="172" t="n">
        <v>37165</v>
      </c>
      <c r="B35" s="173"/>
      <c r="C35" s="174" t="s">
        <v>137</v>
      </c>
      <c r="D35" s="175" t="n">
        <v>3.74</v>
      </c>
      <c r="E35" s="173"/>
      <c r="F35" s="176" t="n">
        <f aca="false">5000*31</f>
        <v>155000</v>
      </c>
      <c r="G35" s="173"/>
      <c r="H35" s="175" t="n">
        <f aca="false">+'[5]ELpaso SJ &amp; Prm'!$F57</f>
        <v>5.325</v>
      </c>
      <c r="I35" s="177" t="n">
        <f aca="false">(+D35-H35)*F35</f>
        <v>-245675</v>
      </c>
      <c r="J35" s="179"/>
      <c r="K35" s="178" t="n">
        <f aca="false">+I35</f>
        <v>-245675</v>
      </c>
    </row>
    <row r="36" customFormat="false" ht="12.75" hidden="false" customHeight="false" outlineLevel="0" collapsed="false">
      <c r="A36" s="172" t="n">
        <v>37196</v>
      </c>
      <c r="B36" s="173"/>
      <c r="C36" s="174" t="s">
        <v>137</v>
      </c>
      <c r="D36" s="175" t="n">
        <v>3.74</v>
      </c>
      <c r="E36" s="173"/>
      <c r="F36" s="176" t="n">
        <f aca="false">5000*30</f>
        <v>150000</v>
      </c>
      <c r="G36" s="173"/>
      <c r="H36" s="175" t="n">
        <f aca="false">+'[5]ELpaso SJ &amp; Prm'!$F58</f>
        <v>5.375</v>
      </c>
      <c r="I36" s="177" t="n">
        <f aca="false">(+D36-H36)*F36</f>
        <v>-245250</v>
      </c>
      <c r="J36" s="179"/>
      <c r="K36" s="178" t="n">
        <f aca="false">+I36</f>
        <v>-245250</v>
      </c>
    </row>
    <row r="37" customFormat="false" ht="12.75" hidden="false" customHeight="false" outlineLevel="0" collapsed="false">
      <c r="A37" s="172" t="n">
        <v>37226</v>
      </c>
      <c r="B37" s="173"/>
      <c r="C37" s="174" t="s">
        <v>137</v>
      </c>
      <c r="D37" s="175" t="n">
        <v>3.74</v>
      </c>
      <c r="E37" s="173"/>
      <c r="F37" s="176" t="n">
        <f aca="false">5000*31</f>
        <v>155000</v>
      </c>
      <c r="G37" s="173"/>
      <c r="H37" s="175" t="n">
        <f aca="false">+'[5]ELpaso SJ &amp; Prm'!$F59</f>
        <v>5.51</v>
      </c>
      <c r="I37" s="177" t="n">
        <f aca="false">(+D37-H37)*F37</f>
        <v>-274350</v>
      </c>
      <c r="J37" s="179"/>
      <c r="K37" s="178" t="n">
        <f aca="false">+I37</f>
        <v>-274350</v>
      </c>
    </row>
    <row r="38" customFormat="false" ht="12.75" hidden="false" customHeight="false" outlineLevel="0" collapsed="false">
      <c r="A38" s="172"/>
      <c r="B38" s="173"/>
      <c r="C38" s="174"/>
      <c r="D38" s="175"/>
      <c r="E38" s="173"/>
      <c r="F38" s="176"/>
      <c r="G38" s="173"/>
      <c r="H38" s="175"/>
      <c r="I38" s="188"/>
      <c r="J38" s="179"/>
      <c r="K38" s="178"/>
    </row>
    <row r="39" customFormat="false" ht="12.75" hidden="false" customHeight="false" outlineLevel="0" collapsed="false">
      <c r="A39" s="173"/>
      <c r="B39" s="173"/>
      <c r="C39" s="173"/>
      <c r="D39" s="173"/>
      <c r="E39" s="173"/>
      <c r="F39" s="180" t="n">
        <f aca="false">SUM(F26:F38)</f>
        <v>1825000</v>
      </c>
      <c r="G39" s="173"/>
      <c r="H39" s="173"/>
      <c r="I39" s="189" t="n">
        <f aca="false">SUM(I26:I38)</f>
        <v>-3849935</v>
      </c>
      <c r="J39" s="189" t="n">
        <f aca="false">SUM(J26:J38)</f>
        <v>-940850</v>
      </c>
      <c r="K39" s="189" t="n">
        <f aca="false">SUM(K26:K38)</f>
        <v>-2909085</v>
      </c>
    </row>
    <row r="40" customFormat="false" ht="12.75" hidden="false" customHeight="false" outlineLevel="0" collapsed="false">
      <c r="A40" s="173"/>
      <c r="B40" s="173"/>
      <c r="C40" s="173"/>
      <c r="D40" s="173"/>
      <c r="E40" s="173"/>
      <c r="F40" s="173"/>
      <c r="G40" s="173"/>
      <c r="H40" s="173"/>
      <c r="I40" s="173"/>
      <c r="J40" s="179"/>
      <c r="K40" s="179"/>
    </row>
    <row r="41" customFormat="false" ht="13.5" hidden="false" customHeight="false" outlineLevel="0" collapsed="false">
      <c r="A41" s="173"/>
      <c r="B41" s="173"/>
      <c r="C41" s="173"/>
      <c r="D41" s="173"/>
      <c r="E41" s="173"/>
      <c r="F41" s="190" t="n">
        <f aca="false">+F39+F22</f>
        <v>0</v>
      </c>
      <c r="G41" s="173"/>
      <c r="H41" s="173"/>
      <c r="I41" s="191" t="n">
        <f aca="false">+I39+I22</f>
        <v>0</v>
      </c>
      <c r="J41" s="191" t="n">
        <f aca="false">+J39+J22</f>
        <v>0</v>
      </c>
      <c r="K41" s="191" t="n">
        <f aca="false">+K39+K22</f>
        <v>0</v>
      </c>
    </row>
    <row r="42" customFormat="false" ht="13.5" hidden="false" customHeight="false" outlineLevel="0" collapsed="false">
      <c r="A42" s="192"/>
      <c r="B42" s="192"/>
      <c r="C42" s="192"/>
      <c r="D42" s="192"/>
      <c r="E42" s="192"/>
      <c r="F42" s="192"/>
      <c r="G42" s="192"/>
      <c r="H42" s="192"/>
      <c r="I42" s="192"/>
      <c r="J42" s="193"/>
      <c r="K42" s="193"/>
    </row>
    <row r="44" customFormat="false" ht="12.75" hidden="false" customHeight="false" outlineLevel="0" collapsed="false">
      <c r="A44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230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31</v>
      </c>
      <c r="E6" s="161"/>
      <c r="F6" s="161"/>
      <c r="G6" s="161"/>
      <c r="H6" s="161" t="s">
        <v>71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231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232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-0.21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37226</v>
      </c>
      <c r="B10" s="173"/>
      <c r="C10" s="174" t="s">
        <v>42</v>
      </c>
      <c r="D10" s="175" t="n">
        <f aca="false">+'[5]Henry Hub'!$E17+$D$9</f>
        <v>4.505</v>
      </c>
      <c r="E10" s="173"/>
      <c r="F10" s="176" t="n">
        <f aca="false">-13500*31</f>
        <v>-418500</v>
      </c>
      <c r="G10" s="176" t="n">
        <f aca="false">+F10/31</f>
        <v>-13500</v>
      </c>
      <c r="H10" s="175" t="n">
        <f aca="false">+'[5]ELpaso SJ &amp; Prm'!$F$19</f>
        <v>5.205</v>
      </c>
      <c r="I10" s="177" t="n">
        <f aca="false">SUM(-D10+H10)*F10</f>
        <v>-292950</v>
      </c>
      <c r="J10" s="178"/>
      <c r="K10" s="178" t="n">
        <f aca="false">+I10</f>
        <v>-292950</v>
      </c>
    </row>
    <row r="11" customFormat="false" ht="12.75" hidden="false" customHeight="false" outlineLevel="0" collapsed="false">
      <c r="A11" s="172"/>
      <c r="B11" s="173"/>
      <c r="C11" s="174"/>
      <c r="D11" s="270"/>
      <c r="E11" s="173"/>
      <c r="F11" s="196"/>
      <c r="G11" s="176"/>
      <c r="H11" s="270"/>
      <c r="I11" s="197"/>
      <c r="J11" s="197"/>
      <c r="K11" s="264"/>
    </row>
    <row r="12" customFormat="false" ht="12.75" hidden="false" customHeight="false" outlineLevel="0" collapsed="false">
      <c r="A12" s="172"/>
      <c r="B12" s="173"/>
      <c r="C12" s="174"/>
      <c r="D12" s="175"/>
      <c r="E12" s="173"/>
      <c r="F12" s="176" t="n">
        <f aca="false">SUM(F10:F11)</f>
        <v>-418500</v>
      </c>
      <c r="G12" s="173"/>
      <c r="H12" s="175"/>
      <c r="I12" s="177" t="n">
        <f aca="false">SUM(I10:I11)</f>
        <v>-292950</v>
      </c>
      <c r="J12" s="177" t="n">
        <f aca="false">SUM(J10:J11)</f>
        <v>0</v>
      </c>
      <c r="K12" s="177" t="n">
        <f aca="false">SUM(K10:K11)</f>
        <v>-292950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76"/>
      <c r="G13" s="269"/>
      <c r="H13" s="175"/>
      <c r="I13" s="177"/>
      <c r="J13" s="179"/>
      <c r="K13" s="199"/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76"/>
      <c r="G14" s="173"/>
      <c r="H14" s="175"/>
      <c r="I14" s="177"/>
      <c r="J14" s="179"/>
      <c r="K14" s="199"/>
    </row>
    <row r="15" customFormat="false" ht="13.5" hidden="false" customHeight="false" outlineLevel="0" collapsed="false">
      <c r="A15" s="172"/>
      <c r="B15" s="173"/>
      <c r="C15" s="174"/>
      <c r="D15" s="175"/>
      <c r="E15" s="173"/>
      <c r="F15" s="200" t="n">
        <f aca="false">+F12</f>
        <v>-418500</v>
      </c>
      <c r="G15" s="173"/>
      <c r="H15" s="175"/>
      <c r="I15" s="201" t="n">
        <f aca="false">+I12</f>
        <v>-292950</v>
      </c>
      <c r="J15" s="201" t="n">
        <f aca="false">+J12</f>
        <v>0</v>
      </c>
      <c r="K15" s="201" t="n">
        <f aca="false">+K12</f>
        <v>-292950</v>
      </c>
    </row>
    <row r="16" customFormat="false" ht="13.5" hidden="false" customHeight="false" outlineLevel="0" collapsed="false">
      <c r="A16" s="192"/>
      <c r="B16" s="192"/>
      <c r="C16" s="192"/>
      <c r="D16" s="192"/>
      <c r="E16" s="192"/>
      <c r="F16" s="192"/>
      <c r="G16" s="192"/>
      <c r="H16" s="192"/>
      <c r="I16" s="192"/>
      <c r="J16" s="193"/>
      <c r="K16" s="193"/>
    </row>
    <row r="18" customFormat="false" ht="12.75" hidden="false" customHeight="false" outlineLevel="0" collapsed="false">
      <c r="A1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233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42</v>
      </c>
      <c r="E6" s="161"/>
      <c r="F6" s="161"/>
      <c r="G6" s="161"/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205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226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0.9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37226</v>
      </c>
      <c r="B10" s="173"/>
      <c r="C10" s="174" t="s">
        <v>42</v>
      </c>
      <c r="D10" s="175" t="n">
        <f aca="false">+'[5]Henry Hub'!$E17+$D$9</f>
        <v>5.615</v>
      </c>
      <c r="E10" s="173"/>
      <c r="F10" s="176" t="n">
        <f aca="false">13500*31</f>
        <v>418500</v>
      </c>
      <c r="G10" s="176" t="n">
        <f aca="false">+F10/31</f>
        <v>13500</v>
      </c>
      <c r="H10" s="175" t="n">
        <f aca="false">+'[5]NGI Socal'!$E$9</f>
        <v>7.68</v>
      </c>
      <c r="I10" s="177" t="n">
        <f aca="false">SUM(-D10+H10)*F10</f>
        <v>864202.5</v>
      </c>
      <c r="J10" s="178"/>
      <c r="K10" s="178" t="n">
        <f aca="false">+I10</f>
        <v>864202.5</v>
      </c>
    </row>
    <row r="11" customFormat="false" ht="12.75" hidden="false" customHeight="false" outlineLevel="0" collapsed="false">
      <c r="A11" s="172"/>
      <c r="B11" s="173"/>
      <c r="C11" s="174"/>
      <c r="D11" s="270"/>
      <c r="E11" s="173"/>
      <c r="F11" s="196"/>
      <c r="G11" s="176"/>
      <c r="H11" s="270"/>
      <c r="I11" s="197"/>
      <c r="J11" s="197"/>
      <c r="K11" s="264"/>
    </row>
    <row r="12" customFormat="false" ht="12.75" hidden="false" customHeight="false" outlineLevel="0" collapsed="false">
      <c r="A12" s="172"/>
      <c r="B12" s="173"/>
      <c r="C12" s="174"/>
      <c r="D12" s="175"/>
      <c r="E12" s="173"/>
      <c r="F12" s="176" t="n">
        <f aca="false">SUM(F10:F11)</f>
        <v>418500</v>
      </c>
      <c r="G12" s="173"/>
      <c r="H12" s="175"/>
      <c r="I12" s="177" t="n">
        <f aca="false">SUM(I10:I11)</f>
        <v>864202.5</v>
      </c>
      <c r="J12" s="177" t="n">
        <f aca="false">SUM(J10:J11)</f>
        <v>0</v>
      </c>
      <c r="K12" s="177" t="n">
        <f aca="false">SUM(K10:K11)</f>
        <v>864202.5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76"/>
      <c r="G13" s="269"/>
      <c r="H13" s="175"/>
      <c r="I13" s="177"/>
      <c r="J13" s="179"/>
      <c r="K13" s="199"/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76"/>
      <c r="G14" s="173"/>
      <c r="H14" s="175"/>
      <c r="I14" s="177"/>
      <c r="J14" s="179"/>
      <c r="K14" s="199"/>
    </row>
    <row r="15" customFormat="false" ht="13.5" hidden="false" customHeight="false" outlineLevel="0" collapsed="false">
      <c r="A15" s="172"/>
      <c r="B15" s="173"/>
      <c r="C15" s="174"/>
      <c r="D15" s="175"/>
      <c r="E15" s="173"/>
      <c r="F15" s="200" t="n">
        <f aca="false">+F12</f>
        <v>418500</v>
      </c>
      <c r="G15" s="173"/>
      <c r="H15" s="175"/>
      <c r="I15" s="201" t="n">
        <f aca="false">+I12</f>
        <v>864202.5</v>
      </c>
      <c r="J15" s="201" t="n">
        <f aca="false">+J12</f>
        <v>0</v>
      </c>
      <c r="K15" s="201" t="n">
        <f aca="false">+K12</f>
        <v>864202.5</v>
      </c>
    </row>
    <row r="16" customFormat="false" ht="13.5" hidden="false" customHeight="false" outlineLevel="0" collapsed="false">
      <c r="A16" s="192"/>
      <c r="B16" s="192"/>
      <c r="C16" s="192"/>
      <c r="D16" s="192"/>
      <c r="E16" s="192"/>
      <c r="F16" s="192"/>
      <c r="G16" s="192"/>
      <c r="H16" s="192"/>
      <c r="I16" s="192"/>
      <c r="J16" s="193"/>
      <c r="K16" s="193"/>
    </row>
    <row r="18" customFormat="false" ht="12.75" hidden="false" customHeight="false" outlineLevel="0" collapsed="false">
      <c r="A1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234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31</v>
      </c>
      <c r="E6" s="161"/>
      <c r="F6" s="161"/>
      <c r="G6" s="161"/>
      <c r="H6" s="161" t="s">
        <v>71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235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232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-0.15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37562</v>
      </c>
      <c r="B10" s="173"/>
      <c r="C10" s="174" t="s">
        <v>42</v>
      </c>
      <c r="D10" s="175" t="n">
        <f aca="false">+[5]NYMEX!$C29+D9</f>
        <v>4.42</v>
      </c>
      <c r="E10" s="173"/>
      <c r="F10" s="176" t="n">
        <f aca="false">-21500*30</f>
        <v>-645000</v>
      </c>
      <c r="G10" s="176"/>
      <c r="H10" s="175" t="n">
        <f aca="false">+'[5]ELpaso SJ &amp; Prm'!$F30</f>
        <v>4.395</v>
      </c>
      <c r="I10" s="177" t="n">
        <f aca="false">SUM(-D10+H10)*F10</f>
        <v>16124.9999999997</v>
      </c>
      <c r="J10" s="178"/>
      <c r="K10" s="178" t="n">
        <f aca="false">+I10</f>
        <v>16124.9999999997</v>
      </c>
    </row>
    <row r="11" customFormat="false" ht="12.75" hidden="false" customHeight="false" outlineLevel="0" collapsed="false">
      <c r="A11" s="172" t="n">
        <v>37591</v>
      </c>
      <c r="B11" s="173"/>
      <c r="C11" s="174" t="s">
        <v>42</v>
      </c>
      <c r="D11" s="175" t="n">
        <f aca="false">+[5]NYMEX!$C30+D9</f>
        <v>4.525</v>
      </c>
      <c r="E11" s="173"/>
      <c r="F11" s="176" t="n">
        <f aca="false">-21500*31</f>
        <v>-666500</v>
      </c>
      <c r="G11" s="176"/>
      <c r="H11" s="175" t="n">
        <f aca="false">+'[5]ELpaso SJ &amp; Prm'!$F31</f>
        <v>4.5</v>
      </c>
      <c r="I11" s="177" t="n">
        <f aca="false">SUM(-D11+H11)*F11</f>
        <v>16662.4999999996</v>
      </c>
      <c r="J11" s="178"/>
      <c r="K11" s="178" t="n">
        <f aca="false">+I11</f>
        <v>16662.4999999996</v>
      </c>
    </row>
    <row r="12" customFormat="false" ht="12.75" hidden="false" customHeight="false" outlineLevel="0" collapsed="false">
      <c r="A12" s="172"/>
      <c r="B12" s="173"/>
      <c r="C12" s="174"/>
      <c r="D12" s="270"/>
      <c r="E12" s="173"/>
      <c r="F12" s="196"/>
      <c r="G12" s="176"/>
      <c r="H12" s="270"/>
      <c r="I12" s="197"/>
      <c r="J12" s="197"/>
      <c r="K12" s="264"/>
    </row>
    <row r="13" customFormat="false" ht="12.75" hidden="false" customHeight="false" outlineLevel="0" collapsed="false">
      <c r="A13" s="172"/>
      <c r="B13" s="173"/>
      <c r="C13" s="174"/>
      <c r="D13" s="175" t="n">
        <f aca="false">SUM(D10:D12)/2</f>
        <v>4.4725</v>
      </c>
      <c r="E13" s="173"/>
      <c r="F13" s="176" t="n">
        <f aca="false">SUM(F10:F12)</f>
        <v>-1311500</v>
      </c>
      <c r="G13" s="173"/>
      <c r="H13" s="175" t="n">
        <f aca="false">SUM(H10:H12)/2</f>
        <v>4.4475</v>
      </c>
      <c r="I13" s="177" t="n">
        <f aca="false">SUM(I10:I12)</f>
        <v>32787.4999999993</v>
      </c>
      <c r="J13" s="177" t="n">
        <f aca="false">SUM(J10:J12)</f>
        <v>0</v>
      </c>
      <c r="K13" s="177" t="n">
        <f aca="false">SUM(K10:K12)</f>
        <v>32787.4999999993</v>
      </c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76"/>
      <c r="G14" s="269"/>
      <c r="H14" s="175"/>
      <c r="I14" s="177"/>
      <c r="J14" s="179"/>
      <c r="K14" s="199"/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3.5" hidden="false" customHeight="false" outlineLevel="0" collapsed="false">
      <c r="A16" s="172"/>
      <c r="B16" s="173"/>
      <c r="C16" s="174"/>
      <c r="D16" s="175"/>
      <c r="E16" s="173"/>
      <c r="F16" s="200" t="n">
        <f aca="false">+F13</f>
        <v>-1311500</v>
      </c>
      <c r="G16" s="173"/>
      <c r="H16" s="175"/>
      <c r="I16" s="201" t="n">
        <f aca="false">+I13</f>
        <v>32787.4999999993</v>
      </c>
      <c r="J16" s="201" t="n">
        <f aca="false">+J13</f>
        <v>0</v>
      </c>
      <c r="K16" s="201" t="n">
        <f aca="false">+K13</f>
        <v>32787.4999999993</v>
      </c>
    </row>
    <row r="17" customFormat="false" ht="13.5" hidden="false" customHeight="false" outlineLevel="0" collapsed="false">
      <c r="A17" s="192"/>
      <c r="B17" s="192"/>
      <c r="C17" s="192"/>
      <c r="D17" s="192"/>
      <c r="E17" s="192"/>
      <c r="F17" s="192"/>
      <c r="G17" s="192"/>
      <c r="H17" s="192"/>
      <c r="I17" s="192"/>
      <c r="J17" s="193"/>
      <c r="K17" s="193"/>
    </row>
    <row r="19" customFormat="false" ht="12.75" hidden="false" customHeight="false" outlineLevel="0" collapsed="false">
      <c r="A19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8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236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71</v>
      </c>
      <c r="E6" s="161"/>
      <c r="F6" s="161"/>
      <c r="G6" s="161"/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205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224</v>
      </c>
      <c r="E8" s="204"/>
      <c r="F8" s="204"/>
      <c r="G8" s="206"/>
      <c r="H8" s="164" t="s">
        <v>226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0.85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37561</v>
      </c>
      <c r="B10" s="173"/>
      <c r="C10" s="174" t="s">
        <v>42</v>
      </c>
      <c r="D10" s="175" t="n">
        <f aca="false">+[5]NYMEX!$C29+$D$9</f>
        <v>5.42</v>
      </c>
      <c r="E10" s="173"/>
      <c r="F10" s="176" t="n">
        <f aca="false">21500*30</f>
        <v>645000</v>
      </c>
      <c r="G10" s="176"/>
      <c r="H10" s="175" t="n">
        <f aca="false">+'[5]NGI Socal'!$E20</f>
        <v>5.93</v>
      </c>
      <c r="I10" s="177" t="n">
        <f aca="false">SUM(-D10+H10)*F10</f>
        <v>328950</v>
      </c>
      <c r="J10" s="178"/>
      <c r="K10" s="178" t="n">
        <f aca="false">+I10</f>
        <v>328950</v>
      </c>
    </row>
    <row r="11" customFormat="false" ht="12.75" hidden="false" customHeight="false" outlineLevel="0" collapsed="false">
      <c r="A11" s="172" t="n">
        <v>37591</v>
      </c>
      <c r="B11" s="173"/>
      <c r="C11" s="174" t="s">
        <v>42</v>
      </c>
      <c r="D11" s="175" t="n">
        <f aca="false">+[5]NYMEX!$C30+$D$9</f>
        <v>5.525</v>
      </c>
      <c r="E11" s="173"/>
      <c r="F11" s="176" t="n">
        <f aca="false">21500*31</f>
        <v>666500</v>
      </c>
      <c r="G11" s="176"/>
      <c r="H11" s="175" t="n">
        <f aca="false">+'[5]NGI Socal'!$E21</f>
        <v>6.035</v>
      </c>
      <c r="I11" s="177" t="n">
        <f aca="false">SUM(-D11+H11)*F11</f>
        <v>339915</v>
      </c>
      <c r="J11" s="178"/>
      <c r="K11" s="178" t="n">
        <f aca="false">+I11</f>
        <v>339915</v>
      </c>
    </row>
    <row r="12" customFormat="false" ht="12.75" hidden="false" customHeight="false" outlineLevel="0" collapsed="false">
      <c r="A12" s="172"/>
      <c r="B12" s="173"/>
      <c r="C12" s="174"/>
      <c r="D12" s="270"/>
      <c r="E12" s="173"/>
      <c r="F12" s="196"/>
      <c r="G12" s="176"/>
      <c r="H12" s="270"/>
      <c r="I12" s="197"/>
      <c r="J12" s="197"/>
      <c r="K12" s="264"/>
    </row>
    <row r="13" customFormat="false" ht="12.75" hidden="false" customHeight="false" outlineLevel="0" collapsed="false">
      <c r="A13" s="172"/>
      <c r="B13" s="173"/>
      <c r="C13" s="174"/>
      <c r="D13" s="175" t="n">
        <f aca="false">SUM(D10:D12)/2</f>
        <v>5.4725</v>
      </c>
      <c r="E13" s="173"/>
      <c r="F13" s="176" t="n">
        <f aca="false">SUM(F10:F12)</f>
        <v>1311500</v>
      </c>
      <c r="G13" s="173"/>
      <c r="H13" s="175" t="n">
        <f aca="false">SUM(H10:H12)/2</f>
        <v>5.9825</v>
      </c>
      <c r="I13" s="177" t="n">
        <f aca="false">SUM(I10:I12)</f>
        <v>668865</v>
      </c>
      <c r="J13" s="177" t="n">
        <f aca="false">SUM(J10:J12)</f>
        <v>0</v>
      </c>
      <c r="K13" s="177" t="n">
        <f aca="false">SUM(K10:K12)</f>
        <v>668865</v>
      </c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76"/>
      <c r="G14" s="269"/>
      <c r="H14" s="175"/>
      <c r="I14" s="177"/>
      <c r="J14" s="179"/>
      <c r="K14" s="199"/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3.5" hidden="false" customHeight="false" outlineLevel="0" collapsed="false">
      <c r="A16" s="172"/>
      <c r="B16" s="173"/>
      <c r="C16" s="174"/>
      <c r="D16" s="175"/>
      <c r="E16" s="173"/>
      <c r="F16" s="200" t="n">
        <f aca="false">+F13</f>
        <v>1311500</v>
      </c>
      <c r="G16" s="173"/>
      <c r="H16" s="175"/>
      <c r="I16" s="201" t="n">
        <f aca="false">+I13</f>
        <v>668865</v>
      </c>
      <c r="J16" s="201" t="n">
        <f aca="false">+J13</f>
        <v>0</v>
      </c>
      <c r="K16" s="201" t="n">
        <f aca="false">+K13</f>
        <v>668865</v>
      </c>
    </row>
    <row r="17" customFormat="false" ht="13.5" hidden="false" customHeight="false" outlineLevel="0" collapsed="false">
      <c r="A17" s="192"/>
      <c r="B17" s="192"/>
      <c r="C17" s="192"/>
      <c r="D17" s="192"/>
      <c r="E17" s="192"/>
      <c r="F17" s="192"/>
      <c r="G17" s="192"/>
      <c r="H17" s="192"/>
      <c r="I17" s="192"/>
      <c r="J17" s="193"/>
      <c r="K17" s="193"/>
    </row>
    <row r="19" customFormat="false" ht="12.75" hidden="false" customHeight="false" outlineLevel="0" collapsed="false">
      <c r="A19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4.56"/>
    <col collapsed="false" customWidth="true" hidden="false" outlineLevel="0" max="11" min="9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237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 t="s">
        <v>238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239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135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36526</v>
      </c>
      <c r="B9" s="173"/>
      <c r="C9" s="174" t="s">
        <v>42</v>
      </c>
      <c r="D9" s="175" t="n">
        <v>2.365</v>
      </c>
      <c r="E9" s="173"/>
      <c r="F9" s="176" t="n">
        <f aca="false">-15000*31</f>
        <v>-465000</v>
      </c>
      <c r="G9" s="175" t="n">
        <v>2.19</v>
      </c>
      <c r="H9" s="175"/>
      <c r="I9" s="177" t="n">
        <f aca="false">(+D9-G9)*F9</f>
        <v>-81375.0000000001</v>
      </c>
      <c r="J9" s="178" t="n">
        <f aca="false">+I9</f>
        <v>-81375.0000000001</v>
      </c>
      <c r="K9" s="178"/>
    </row>
    <row r="10" customFormat="false" ht="12.75" hidden="false" customHeight="false" outlineLevel="0" collapsed="false">
      <c r="A10" s="172" t="n">
        <v>36557</v>
      </c>
      <c r="B10" s="173"/>
      <c r="C10" s="174" t="s">
        <v>42</v>
      </c>
      <c r="D10" s="175" t="n">
        <v>2.365</v>
      </c>
      <c r="E10" s="173"/>
      <c r="F10" s="176" t="n">
        <f aca="false">-15000*29</f>
        <v>-435000</v>
      </c>
      <c r="G10" s="175" t="n">
        <v>2.41</v>
      </c>
      <c r="H10" s="175"/>
      <c r="I10" s="177" t="n">
        <f aca="false">(+D10-G10)*F10</f>
        <v>19575</v>
      </c>
      <c r="J10" s="178" t="n">
        <f aca="false">+I10</f>
        <v>19575</v>
      </c>
      <c r="K10" s="178"/>
    </row>
    <row r="11" customFormat="false" ht="12.75" hidden="false" customHeight="false" outlineLevel="0" collapsed="false">
      <c r="A11" s="172" t="n">
        <v>36586</v>
      </c>
      <c r="B11" s="173"/>
      <c r="C11" s="174" t="s">
        <v>42</v>
      </c>
      <c r="D11" s="175" t="n">
        <v>2.365</v>
      </c>
      <c r="E11" s="173"/>
      <c r="F11" s="176" t="n">
        <f aca="false">-15000*31</f>
        <v>-465000</v>
      </c>
      <c r="G11" s="175" t="n">
        <v>2.41</v>
      </c>
      <c r="H11" s="175"/>
      <c r="I11" s="177" t="n">
        <f aca="false">(+D11-G11)*F11</f>
        <v>20925</v>
      </c>
      <c r="J11" s="178" t="n">
        <f aca="false">+I11</f>
        <v>20925</v>
      </c>
      <c r="K11" s="178"/>
    </row>
    <row r="12" customFormat="false" ht="12.75" hidden="false" customHeight="false" outlineLevel="0" collapsed="false">
      <c r="A12" s="172" t="n">
        <v>36617</v>
      </c>
      <c r="B12" s="173"/>
      <c r="C12" s="174" t="s">
        <v>42</v>
      </c>
      <c r="D12" s="175" t="n">
        <v>2.365</v>
      </c>
      <c r="E12" s="173"/>
      <c r="F12" s="176" t="n">
        <f aca="false">-15000*30</f>
        <v>-450000</v>
      </c>
      <c r="G12" s="175" t="n">
        <v>2.79</v>
      </c>
      <c r="H12" s="175"/>
      <c r="I12" s="177" t="n">
        <f aca="false">(+D12-G12)*F12</f>
        <v>191250</v>
      </c>
      <c r="J12" s="178" t="n">
        <f aca="false">+I12</f>
        <v>191250</v>
      </c>
      <c r="K12" s="178"/>
    </row>
    <row r="13" customFormat="false" ht="12.75" hidden="false" customHeight="false" outlineLevel="0" collapsed="false">
      <c r="A13" s="172" t="n">
        <v>36647</v>
      </c>
      <c r="B13" s="173"/>
      <c r="C13" s="174" t="s">
        <v>42</v>
      </c>
      <c r="D13" s="175" t="n">
        <v>2.365</v>
      </c>
      <c r="E13" s="173"/>
      <c r="F13" s="176" t="n">
        <f aca="false">-15000*31</f>
        <v>-465000</v>
      </c>
      <c r="G13" s="175" t="n">
        <v>2.87</v>
      </c>
      <c r="H13" s="175"/>
      <c r="I13" s="177" t="n">
        <f aca="false">(+D13-G13)*F13</f>
        <v>234825</v>
      </c>
      <c r="J13" s="178" t="n">
        <f aca="false">+I13</f>
        <v>234825</v>
      </c>
      <c r="K13" s="178"/>
    </row>
    <row r="14" customFormat="false" ht="12.75" hidden="false" customHeight="false" outlineLevel="0" collapsed="false">
      <c r="A14" s="172" t="n">
        <v>36678</v>
      </c>
      <c r="B14" s="173"/>
      <c r="C14" s="174" t="s">
        <v>42</v>
      </c>
      <c r="D14" s="175" t="n">
        <v>2.365</v>
      </c>
      <c r="E14" s="173"/>
      <c r="F14" s="176" t="n">
        <f aca="false">-15000*30</f>
        <v>-450000</v>
      </c>
      <c r="G14" s="175" t="n">
        <v>4.1</v>
      </c>
      <c r="H14" s="175"/>
      <c r="I14" s="177" t="n">
        <f aca="false">(+D14-G14)*F14</f>
        <v>780750</v>
      </c>
      <c r="J14" s="178" t="n">
        <f aca="false">+I14</f>
        <v>780750</v>
      </c>
      <c r="K14" s="178"/>
    </row>
    <row r="15" customFormat="false" ht="12.75" hidden="false" customHeight="false" outlineLevel="0" collapsed="false">
      <c r="A15" s="172" t="n">
        <v>36708</v>
      </c>
      <c r="B15" s="173"/>
      <c r="C15" s="174" t="s">
        <v>42</v>
      </c>
      <c r="D15" s="175" t="n">
        <v>2.365</v>
      </c>
      <c r="E15" s="173"/>
      <c r="F15" s="176" t="n">
        <f aca="false">-15000*31</f>
        <v>-465000</v>
      </c>
      <c r="G15" s="175" t="n">
        <v>4.35</v>
      </c>
      <c r="H15" s="175"/>
      <c r="I15" s="177" t="n">
        <f aca="false">(+D15-G15)*F15</f>
        <v>923025</v>
      </c>
      <c r="J15" s="178" t="n">
        <f aca="false">+I15</f>
        <v>923025</v>
      </c>
      <c r="K15" s="178"/>
    </row>
    <row r="16" customFormat="false" ht="12.75" hidden="false" customHeight="false" outlineLevel="0" collapsed="false">
      <c r="A16" s="172" t="n">
        <v>36739</v>
      </c>
      <c r="B16" s="173"/>
      <c r="C16" s="174" t="s">
        <v>42</v>
      </c>
      <c r="D16" s="175" t="n">
        <v>2.365</v>
      </c>
      <c r="E16" s="173"/>
      <c r="F16" s="176" t="n">
        <f aca="false">-15000*31</f>
        <v>-465000</v>
      </c>
      <c r="G16" s="175" t="n">
        <v>3.77</v>
      </c>
      <c r="H16" s="175"/>
      <c r="I16" s="177" t="n">
        <f aca="false">(+D16-G16)*F16</f>
        <v>653325</v>
      </c>
      <c r="J16" s="178" t="n">
        <f aca="false">+I16</f>
        <v>653325</v>
      </c>
      <c r="K16" s="178"/>
    </row>
    <row r="17" customFormat="false" ht="12.75" hidden="false" customHeight="false" outlineLevel="0" collapsed="false">
      <c r="A17" s="172" t="n">
        <v>36770</v>
      </c>
      <c r="B17" s="173"/>
      <c r="C17" s="174" t="s">
        <v>42</v>
      </c>
      <c r="D17" s="175" t="n">
        <v>2.365</v>
      </c>
      <c r="E17" s="173"/>
      <c r="F17" s="176" t="n">
        <f aca="false">-15000*30</f>
        <v>-450000</v>
      </c>
      <c r="G17" s="175" t="n">
        <v>4.5</v>
      </c>
      <c r="H17" s="175"/>
      <c r="I17" s="177" t="n">
        <f aca="false">(+D17-G17)*F17</f>
        <v>960750</v>
      </c>
      <c r="J17" s="178" t="n">
        <f aca="false">+I17</f>
        <v>960750</v>
      </c>
      <c r="K17" s="178"/>
    </row>
    <row r="18" customFormat="false" ht="12.75" hidden="false" customHeight="false" outlineLevel="0" collapsed="false">
      <c r="A18" s="172" t="n">
        <v>36800</v>
      </c>
      <c r="B18" s="173"/>
      <c r="C18" s="174" t="s">
        <v>42</v>
      </c>
      <c r="D18" s="175" t="n">
        <v>2.365</v>
      </c>
      <c r="E18" s="173"/>
      <c r="F18" s="176" t="n">
        <f aca="false">-15000*31</f>
        <v>-465000</v>
      </c>
      <c r="G18" s="175" t="n">
        <v>5.15</v>
      </c>
      <c r="H18" s="175"/>
      <c r="I18" s="177" t="n">
        <f aca="false">(+D18-G18)*F18</f>
        <v>1295025</v>
      </c>
      <c r="J18" s="178" t="n">
        <f aca="false">+I18</f>
        <v>1295025</v>
      </c>
      <c r="K18" s="178"/>
    </row>
    <row r="19" customFormat="false" ht="12.75" hidden="false" customHeight="false" outlineLevel="0" collapsed="false">
      <c r="A19" s="172" t="n">
        <v>36831</v>
      </c>
      <c r="B19" s="173"/>
      <c r="C19" s="174" t="s">
        <v>42</v>
      </c>
      <c r="D19" s="175" t="n">
        <v>2.365</v>
      </c>
      <c r="E19" s="173"/>
      <c r="F19" s="176" t="n">
        <f aca="false">-15000*30</f>
        <v>-450000</v>
      </c>
      <c r="G19" s="175" t="n">
        <v>4.52</v>
      </c>
      <c r="H19" s="175"/>
      <c r="I19" s="177" t="n">
        <f aca="false">(+D19-G19)*F19</f>
        <v>969750</v>
      </c>
      <c r="J19" s="178" t="n">
        <f aca="false">+I19</f>
        <v>969750</v>
      </c>
      <c r="K19" s="178"/>
    </row>
    <row r="20" customFormat="false" ht="12.75" hidden="false" customHeight="false" outlineLevel="0" collapsed="false">
      <c r="A20" s="172" t="n">
        <v>36861</v>
      </c>
      <c r="B20" s="173"/>
      <c r="C20" s="174" t="s">
        <v>42</v>
      </c>
      <c r="D20" s="175" t="n">
        <v>2.365</v>
      </c>
      <c r="E20" s="173"/>
      <c r="F20" s="176" t="n">
        <f aca="false">-15000*31</f>
        <v>-465000</v>
      </c>
      <c r="G20" s="175" t="n">
        <v>6.27</v>
      </c>
      <c r="H20" s="175"/>
      <c r="I20" s="177" t="n">
        <f aca="false">(+D20-G20)*F20</f>
        <v>1815825</v>
      </c>
      <c r="J20" s="178" t="n">
        <f aca="false">+I20</f>
        <v>1815825</v>
      </c>
      <c r="K20" s="178"/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3"/>
      <c r="B22" s="173"/>
      <c r="C22" s="173"/>
      <c r="D22" s="173"/>
      <c r="E22" s="173"/>
      <c r="F22" s="180" t="n">
        <f aca="false">SUM(F9:F20)</f>
        <v>-5490000</v>
      </c>
      <c r="G22" s="173"/>
      <c r="H22" s="173"/>
      <c r="I22" s="181" t="n">
        <f aca="false">SUM(I9:I20)</f>
        <v>7783650</v>
      </c>
      <c r="J22" s="181" t="n">
        <f aca="false">SUM(J9:J20)</f>
        <v>7783650</v>
      </c>
      <c r="K22" s="181" t="n">
        <f aca="false">SUM(K9:K20)</f>
        <v>0</v>
      </c>
    </row>
    <row r="23" customFormat="false" ht="12.75" hidden="false" customHeight="false" outlineLevel="0" collapsed="false">
      <c r="A23" s="173"/>
      <c r="B23" s="173"/>
      <c r="C23" s="173"/>
      <c r="D23" s="173"/>
      <c r="E23" s="173"/>
      <c r="F23" s="182"/>
      <c r="G23" s="173"/>
      <c r="H23" s="173"/>
      <c r="I23" s="183"/>
      <c r="J23" s="184"/>
      <c r="K23" s="184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73"/>
      <c r="G24" s="185" t="s">
        <v>240</v>
      </c>
      <c r="H24" s="186"/>
      <c r="I24" s="173"/>
      <c r="J24" s="179"/>
      <c r="K24" s="179"/>
    </row>
    <row r="25" customFormat="false" ht="12.75" hidden="false" customHeight="false" outlineLevel="0" collapsed="false">
      <c r="A25" s="173"/>
      <c r="B25" s="173"/>
      <c r="C25" s="173"/>
      <c r="D25" s="175"/>
      <c r="E25" s="173"/>
      <c r="F25" s="173"/>
      <c r="G25" s="187"/>
      <c r="H25" s="186"/>
      <c r="I25" s="173"/>
      <c r="J25" s="179"/>
      <c r="K25" s="179"/>
    </row>
    <row r="26" customFormat="false" ht="12.75" hidden="false" customHeight="false" outlineLevel="0" collapsed="false">
      <c r="A26" s="172" t="n">
        <v>36526</v>
      </c>
      <c r="B26" s="173"/>
      <c r="C26" s="174" t="s">
        <v>137</v>
      </c>
      <c r="D26" s="175" t="n">
        <v>2.365</v>
      </c>
      <c r="E26" s="173"/>
      <c r="F26" s="176" t="n">
        <f aca="false">15000*31</f>
        <v>465000</v>
      </c>
      <c r="G26" s="175" t="n">
        <v>2.19</v>
      </c>
      <c r="H26" s="175"/>
      <c r="I26" s="177" t="n">
        <f aca="false">(+D26-G26)*F26</f>
        <v>81375.0000000001</v>
      </c>
      <c r="J26" s="178" t="n">
        <f aca="false">+I26</f>
        <v>81375.0000000001</v>
      </c>
      <c r="K26" s="178"/>
    </row>
    <row r="27" customFormat="false" ht="12.75" hidden="false" customHeight="false" outlineLevel="0" collapsed="false">
      <c r="A27" s="172" t="n">
        <v>36557</v>
      </c>
      <c r="B27" s="173"/>
      <c r="C27" s="174" t="s">
        <v>137</v>
      </c>
      <c r="D27" s="175" t="n">
        <v>2.365</v>
      </c>
      <c r="E27" s="173"/>
      <c r="F27" s="176" t="n">
        <f aca="false">15000*29</f>
        <v>435000</v>
      </c>
      <c r="G27" s="175" t="n">
        <v>2.41</v>
      </c>
      <c r="H27" s="175"/>
      <c r="I27" s="177" t="n">
        <f aca="false">(+D27-G27)*F27</f>
        <v>-19575</v>
      </c>
      <c r="J27" s="178" t="n">
        <f aca="false">+I27</f>
        <v>-19575</v>
      </c>
      <c r="K27" s="178"/>
    </row>
    <row r="28" customFormat="false" ht="12.75" hidden="false" customHeight="false" outlineLevel="0" collapsed="false">
      <c r="A28" s="172" t="n">
        <v>36586</v>
      </c>
      <c r="B28" s="173"/>
      <c r="C28" s="174" t="s">
        <v>137</v>
      </c>
      <c r="D28" s="175" t="n">
        <v>2.365</v>
      </c>
      <c r="E28" s="173"/>
      <c r="F28" s="176" t="n">
        <f aca="false">15000*31</f>
        <v>465000</v>
      </c>
      <c r="G28" s="175" t="n">
        <v>2.41</v>
      </c>
      <c r="H28" s="175"/>
      <c r="I28" s="177" t="n">
        <f aca="false">(+D28-G28)*F28</f>
        <v>-20925</v>
      </c>
      <c r="J28" s="178" t="n">
        <f aca="false">+I28</f>
        <v>-20925</v>
      </c>
      <c r="K28" s="178"/>
    </row>
    <row r="29" customFormat="false" ht="12.75" hidden="false" customHeight="false" outlineLevel="0" collapsed="false">
      <c r="A29" s="172" t="n">
        <v>36617</v>
      </c>
      <c r="B29" s="173"/>
      <c r="C29" s="174" t="s">
        <v>137</v>
      </c>
      <c r="D29" s="175" t="n">
        <v>2.365</v>
      </c>
      <c r="E29" s="173"/>
      <c r="F29" s="176" t="n">
        <f aca="false">15000*30</f>
        <v>450000</v>
      </c>
      <c r="G29" s="175" t="n">
        <v>2.79</v>
      </c>
      <c r="H29" s="175"/>
      <c r="I29" s="177" t="n">
        <f aca="false">(+D29-G29)*F29</f>
        <v>-191250</v>
      </c>
      <c r="J29" s="178" t="n">
        <f aca="false">+I29</f>
        <v>-191250</v>
      </c>
      <c r="K29" s="178"/>
    </row>
    <row r="30" customFormat="false" ht="12.75" hidden="false" customHeight="false" outlineLevel="0" collapsed="false">
      <c r="A30" s="172" t="n">
        <v>36647</v>
      </c>
      <c r="B30" s="173"/>
      <c r="C30" s="174" t="s">
        <v>137</v>
      </c>
      <c r="D30" s="175" t="n">
        <v>2.365</v>
      </c>
      <c r="E30" s="173"/>
      <c r="F30" s="176" t="n">
        <f aca="false">15000*31</f>
        <v>465000</v>
      </c>
      <c r="G30" s="175" t="n">
        <v>2.87</v>
      </c>
      <c r="H30" s="175"/>
      <c r="I30" s="177" t="n">
        <f aca="false">(+D30-G30)*F30</f>
        <v>-234825</v>
      </c>
      <c r="J30" s="178" t="n">
        <f aca="false">+I30</f>
        <v>-234825</v>
      </c>
      <c r="K30" s="178"/>
    </row>
    <row r="31" customFormat="false" ht="12.75" hidden="false" customHeight="false" outlineLevel="0" collapsed="false">
      <c r="A31" s="172" t="n">
        <v>36678</v>
      </c>
      <c r="B31" s="173"/>
      <c r="C31" s="174" t="s">
        <v>137</v>
      </c>
      <c r="D31" s="175" t="n">
        <v>2.365</v>
      </c>
      <c r="E31" s="173"/>
      <c r="F31" s="176" t="n">
        <f aca="false">15000*30</f>
        <v>450000</v>
      </c>
      <c r="G31" s="175" t="n">
        <v>4.1</v>
      </c>
      <c r="H31" s="175"/>
      <c r="I31" s="177" t="n">
        <f aca="false">(+D31-G31)*F31</f>
        <v>-780750</v>
      </c>
      <c r="J31" s="178" t="n">
        <f aca="false">+I31</f>
        <v>-780750</v>
      </c>
      <c r="K31" s="178"/>
    </row>
    <row r="32" customFormat="false" ht="12.75" hidden="false" customHeight="false" outlineLevel="0" collapsed="false">
      <c r="A32" s="172" t="n">
        <v>36708</v>
      </c>
      <c r="B32" s="173"/>
      <c r="C32" s="174" t="s">
        <v>137</v>
      </c>
      <c r="D32" s="175" t="n">
        <v>2.365</v>
      </c>
      <c r="E32" s="173"/>
      <c r="F32" s="176" t="n">
        <f aca="false">15000*31</f>
        <v>465000</v>
      </c>
      <c r="G32" s="175" t="n">
        <v>4.35</v>
      </c>
      <c r="H32" s="175"/>
      <c r="I32" s="177" t="n">
        <f aca="false">(+D32-G32)*F32</f>
        <v>-923025</v>
      </c>
      <c r="J32" s="178" t="n">
        <f aca="false">+I32</f>
        <v>-923025</v>
      </c>
      <c r="K32" s="178"/>
    </row>
    <row r="33" customFormat="false" ht="12.75" hidden="false" customHeight="false" outlineLevel="0" collapsed="false">
      <c r="A33" s="172" t="n">
        <v>36739</v>
      </c>
      <c r="B33" s="173"/>
      <c r="C33" s="174" t="s">
        <v>137</v>
      </c>
      <c r="D33" s="175" t="n">
        <v>2.365</v>
      </c>
      <c r="E33" s="173"/>
      <c r="F33" s="176" t="n">
        <f aca="false">15000*31</f>
        <v>465000</v>
      </c>
      <c r="G33" s="175" t="n">
        <v>3.77</v>
      </c>
      <c r="H33" s="175"/>
      <c r="I33" s="177" t="n">
        <f aca="false">(+D33-G33)*F33</f>
        <v>-653325</v>
      </c>
      <c r="J33" s="178" t="n">
        <f aca="false">+I33</f>
        <v>-653325</v>
      </c>
      <c r="K33" s="178"/>
    </row>
    <row r="34" customFormat="false" ht="12.75" hidden="false" customHeight="false" outlineLevel="0" collapsed="false">
      <c r="A34" s="172" t="n">
        <v>36770</v>
      </c>
      <c r="B34" s="173"/>
      <c r="C34" s="174" t="s">
        <v>137</v>
      </c>
      <c r="D34" s="175" t="n">
        <v>2.365</v>
      </c>
      <c r="E34" s="173"/>
      <c r="F34" s="176" t="n">
        <f aca="false">15000*30</f>
        <v>450000</v>
      </c>
      <c r="G34" s="175" t="n">
        <v>4.5</v>
      </c>
      <c r="H34" s="175"/>
      <c r="I34" s="177" t="n">
        <f aca="false">(+D34-G34)*F34</f>
        <v>-960750</v>
      </c>
      <c r="J34" s="178" t="n">
        <f aca="false">+I34</f>
        <v>-960750</v>
      </c>
      <c r="K34" s="178"/>
    </row>
    <row r="35" customFormat="false" ht="12.75" hidden="false" customHeight="false" outlineLevel="0" collapsed="false">
      <c r="A35" s="172" t="n">
        <v>36800</v>
      </c>
      <c r="B35" s="173"/>
      <c r="C35" s="174" t="s">
        <v>137</v>
      </c>
      <c r="D35" s="175" t="n">
        <v>2.365</v>
      </c>
      <c r="E35" s="173"/>
      <c r="F35" s="176" t="n">
        <f aca="false">15000*31</f>
        <v>465000</v>
      </c>
      <c r="G35" s="175" t="n">
        <v>5.15</v>
      </c>
      <c r="H35" s="175"/>
      <c r="I35" s="177" t="n">
        <f aca="false">(+D35-G35)*F35</f>
        <v>-1295025</v>
      </c>
      <c r="J35" s="178" t="n">
        <f aca="false">+I35</f>
        <v>-1295025</v>
      </c>
      <c r="K35" s="178"/>
    </row>
    <row r="36" customFormat="false" ht="12.75" hidden="false" customHeight="false" outlineLevel="0" collapsed="false">
      <c r="A36" s="172" t="n">
        <v>36831</v>
      </c>
      <c r="B36" s="173"/>
      <c r="C36" s="174" t="s">
        <v>137</v>
      </c>
      <c r="D36" s="175" t="n">
        <v>2.365</v>
      </c>
      <c r="E36" s="173"/>
      <c r="F36" s="176" t="n">
        <f aca="false">15000*30</f>
        <v>450000</v>
      </c>
      <c r="G36" s="175" t="n">
        <v>4.52</v>
      </c>
      <c r="H36" s="175"/>
      <c r="I36" s="177" t="n">
        <f aca="false">(+D36-G36)*F36</f>
        <v>-969750</v>
      </c>
      <c r="J36" s="178" t="n">
        <f aca="false">+I36</f>
        <v>-969750</v>
      </c>
      <c r="K36" s="178"/>
    </row>
    <row r="37" customFormat="false" ht="12.75" hidden="false" customHeight="false" outlineLevel="0" collapsed="false">
      <c r="A37" s="172" t="n">
        <v>36861</v>
      </c>
      <c r="B37" s="173"/>
      <c r="C37" s="174" t="s">
        <v>137</v>
      </c>
      <c r="D37" s="175" t="n">
        <v>2.365</v>
      </c>
      <c r="E37" s="173"/>
      <c r="F37" s="176" t="n">
        <f aca="false">15000*31</f>
        <v>465000</v>
      </c>
      <c r="G37" s="175" t="n">
        <v>6.27</v>
      </c>
      <c r="H37" s="175"/>
      <c r="I37" s="177" t="n">
        <f aca="false">(+D37-G37)*F37</f>
        <v>-1815825</v>
      </c>
      <c r="J37" s="178" t="n">
        <f aca="false">+I37</f>
        <v>-1815825</v>
      </c>
      <c r="K37" s="178"/>
    </row>
    <row r="38" customFormat="false" ht="12.75" hidden="false" customHeight="false" outlineLevel="0" collapsed="false">
      <c r="A38" s="172"/>
      <c r="B38" s="173"/>
      <c r="C38" s="174"/>
      <c r="D38" s="175"/>
      <c r="E38" s="173"/>
      <c r="F38" s="176"/>
      <c r="G38" s="173"/>
      <c r="H38" s="175"/>
      <c r="I38" s="188"/>
      <c r="J38" s="179"/>
      <c r="K38" s="178"/>
    </row>
    <row r="39" customFormat="false" ht="12.75" hidden="false" customHeight="false" outlineLevel="0" collapsed="false">
      <c r="A39" s="173"/>
      <c r="B39" s="173"/>
      <c r="C39" s="173"/>
      <c r="D39" s="173"/>
      <c r="E39" s="173"/>
      <c r="F39" s="180" t="n">
        <f aca="false">SUM(F26:F38)</f>
        <v>5490000</v>
      </c>
      <c r="G39" s="173"/>
      <c r="H39" s="173"/>
      <c r="I39" s="189" t="n">
        <f aca="false">SUM(I26:I38)</f>
        <v>-7783650</v>
      </c>
      <c r="J39" s="189" t="n">
        <f aca="false">SUM(J26:J38)</f>
        <v>-7783650</v>
      </c>
      <c r="K39" s="189" t="n">
        <f aca="false">SUM(K26:K38)</f>
        <v>0</v>
      </c>
    </row>
    <row r="40" customFormat="false" ht="12.75" hidden="false" customHeight="false" outlineLevel="0" collapsed="false">
      <c r="A40" s="173"/>
      <c r="B40" s="173"/>
      <c r="C40" s="173"/>
      <c r="D40" s="173"/>
      <c r="E40" s="173"/>
      <c r="F40" s="173"/>
      <c r="G40" s="173"/>
      <c r="H40" s="173"/>
      <c r="I40" s="173"/>
      <c r="J40" s="179"/>
      <c r="K40" s="179"/>
    </row>
    <row r="41" customFormat="false" ht="13.5" hidden="false" customHeight="false" outlineLevel="0" collapsed="false">
      <c r="A41" s="173"/>
      <c r="B41" s="173"/>
      <c r="C41" s="173"/>
      <c r="D41" s="173"/>
      <c r="E41" s="173"/>
      <c r="F41" s="190" t="n">
        <f aca="false">+F39+F22</f>
        <v>0</v>
      </c>
      <c r="G41" s="173"/>
      <c r="H41" s="173"/>
      <c r="I41" s="191" t="n">
        <f aca="false">+I39+I22</f>
        <v>0</v>
      </c>
      <c r="J41" s="191" t="n">
        <f aca="false">+J39+J22</f>
        <v>0</v>
      </c>
      <c r="K41" s="191" t="n">
        <f aca="false">+K39+K22</f>
        <v>0</v>
      </c>
    </row>
    <row r="42" customFormat="false" ht="13.5" hidden="false" customHeight="false" outlineLevel="0" collapsed="false">
      <c r="A42" s="192"/>
      <c r="B42" s="192"/>
      <c r="C42" s="192"/>
      <c r="D42" s="192"/>
      <c r="E42" s="192"/>
      <c r="F42" s="192"/>
      <c r="G42" s="192"/>
      <c r="H42" s="192"/>
      <c r="I42" s="192"/>
      <c r="J42" s="193"/>
      <c r="K42" s="193"/>
    </row>
    <row r="44" customFormat="false" ht="12.75" hidden="false" customHeight="false" outlineLevel="0" collapsed="false">
      <c r="A44" s="5" t="s">
        <v>138</v>
      </c>
    </row>
    <row r="45" customFormat="false" ht="12.75" hidden="false" customHeight="false" outlineLevel="0" collapsed="false">
      <c r="I45" s="23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19"/>
  <sheetViews>
    <sheetView showFormulas="false" showGridLines="true" showRowColHeaders="true" showZeros="true" rightToLeft="false" tabSelected="false" showOutlineSymbols="true" defaultGridColor="true" view="normal" topLeftCell="D22" colorId="64" zoomScale="100" zoomScaleNormal="100" zoomScalePageLayoutView="100" workbookViewId="0">
      <selection pane="topLeft" activeCell="I41" activeCellId="0" sqref="I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241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 t="s">
        <v>242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A5" s="271"/>
      <c r="B5" s="271"/>
      <c r="C5" s="271"/>
    </row>
    <row r="6" customFormat="false" ht="12.75" hidden="false" customHeight="false" outlineLevel="0" collapsed="false">
      <c r="A6" s="163" t="s">
        <v>129</v>
      </c>
      <c r="B6" s="164" t="s">
        <v>6</v>
      </c>
      <c r="C6" s="164" t="s">
        <v>6</v>
      </c>
      <c r="D6" s="161" t="s">
        <v>50</v>
      </c>
      <c r="E6" s="161"/>
      <c r="F6" s="161" t="s">
        <v>183</v>
      </c>
      <c r="G6" s="161" t="s">
        <v>30</v>
      </c>
      <c r="H6" s="161"/>
      <c r="I6" s="272" t="s">
        <v>131</v>
      </c>
      <c r="J6" s="272"/>
      <c r="K6" s="27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132</v>
      </c>
      <c r="E7" s="164"/>
      <c r="F7" s="164" t="s">
        <v>243</v>
      </c>
      <c r="G7" s="164" t="s">
        <v>141</v>
      </c>
      <c r="H7" s="164"/>
      <c r="I7" s="171" t="s">
        <v>131</v>
      </c>
      <c r="J7" s="171"/>
      <c r="K7" s="171"/>
    </row>
    <row r="8" customFormat="false" ht="12.75" hidden="false" customHeight="false" outlineLevel="0" collapsed="false">
      <c r="A8" s="273"/>
      <c r="B8" s="273"/>
      <c r="C8" s="273"/>
      <c r="D8" s="164" t="s">
        <v>17</v>
      </c>
      <c r="E8" s="164"/>
      <c r="F8" s="164"/>
      <c r="G8" s="164" t="s">
        <v>17</v>
      </c>
      <c r="H8" s="164"/>
      <c r="I8" s="164" t="s">
        <v>23</v>
      </c>
      <c r="J8" s="164" t="s">
        <v>24</v>
      </c>
      <c r="K8" s="165" t="s">
        <v>25</v>
      </c>
    </row>
    <row r="9" customFormat="false" ht="12.75" hidden="false" customHeight="false" outlineLevel="0" collapsed="false">
      <c r="A9" s="163"/>
      <c r="B9" s="164"/>
      <c r="C9" s="164"/>
      <c r="D9" s="164"/>
      <c r="E9" s="164"/>
      <c r="F9" s="164"/>
      <c r="G9" s="164" t="s">
        <v>244</v>
      </c>
      <c r="H9" s="164"/>
      <c r="I9" s="164"/>
      <c r="J9" s="164"/>
      <c r="K9" s="165"/>
    </row>
    <row r="10" customFormat="false" ht="12.75" hidden="false" customHeight="false" outlineLevel="0" collapsed="false">
      <c r="A10" s="166"/>
      <c r="B10" s="167"/>
      <c r="C10" s="167"/>
      <c r="D10" s="274"/>
      <c r="E10" s="167"/>
      <c r="F10" s="167"/>
      <c r="G10" s="169" t="s">
        <v>245</v>
      </c>
      <c r="H10" s="170" t="s">
        <v>10</v>
      </c>
      <c r="I10" s="170" t="s">
        <v>136</v>
      </c>
      <c r="J10" s="170" t="s">
        <v>136</v>
      </c>
      <c r="K10" s="171" t="s">
        <v>136</v>
      </c>
    </row>
    <row r="11" customFormat="false" ht="12.75" hidden="false" customHeight="false" outlineLevel="0" collapsed="false">
      <c r="A11" s="275" t="n">
        <v>36848</v>
      </c>
      <c r="B11" s="173"/>
      <c r="C11" s="174" t="s">
        <v>30</v>
      </c>
      <c r="D11" s="175" t="n">
        <v>5.885</v>
      </c>
      <c r="E11" s="173"/>
      <c r="F11" s="176" t="n">
        <v>-9615</v>
      </c>
      <c r="G11" s="175"/>
      <c r="H11" s="175"/>
      <c r="I11" s="177" t="n">
        <f aca="false">+F11*D11</f>
        <v>-56584.275</v>
      </c>
      <c r="J11" s="178" t="n">
        <f aca="false">+I11</f>
        <v>-56584.275</v>
      </c>
      <c r="K11" s="178"/>
    </row>
    <row r="12" customFormat="false" ht="12.75" hidden="false" customHeight="false" outlineLevel="0" collapsed="false">
      <c r="A12" s="275" t="n">
        <f aca="false">+A11+1</f>
        <v>36849</v>
      </c>
      <c r="B12" s="173"/>
      <c r="C12" s="174" t="s">
        <v>30</v>
      </c>
      <c r="D12" s="175" t="n">
        <v>5.885</v>
      </c>
      <c r="E12" s="173"/>
      <c r="F12" s="176" t="n">
        <v>-9615</v>
      </c>
      <c r="G12" s="175"/>
      <c r="H12" s="175"/>
      <c r="I12" s="177" t="n">
        <f aca="false">+F12*D12</f>
        <v>-56584.275</v>
      </c>
      <c r="J12" s="178" t="n">
        <f aca="false">+I12</f>
        <v>-56584.275</v>
      </c>
      <c r="K12" s="178"/>
    </row>
    <row r="13" customFormat="false" ht="12.75" hidden="false" customHeight="false" outlineLevel="0" collapsed="false">
      <c r="A13" s="275" t="n">
        <f aca="false">+A12+1</f>
        <v>36850</v>
      </c>
      <c r="B13" s="173"/>
      <c r="C13" s="174" t="s">
        <v>30</v>
      </c>
      <c r="D13" s="175" t="n">
        <v>5.885</v>
      </c>
      <c r="E13" s="173"/>
      <c r="F13" s="176" t="n">
        <v>-9615</v>
      </c>
      <c r="G13" s="175"/>
      <c r="H13" s="175"/>
      <c r="I13" s="177" t="n">
        <f aca="false">+F13*D13</f>
        <v>-56584.275</v>
      </c>
      <c r="J13" s="178" t="n">
        <f aca="false">+I13</f>
        <v>-56584.275</v>
      </c>
      <c r="K13" s="178"/>
    </row>
    <row r="14" customFormat="false" ht="12.75" hidden="false" customHeight="false" outlineLevel="0" collapsed="false">
      <c r="A14" s="275" t="n">
        <f aca="false">+A13+1</f>
        <v>36851</v>
      </c>
      <c r="B14" s="173"/>
      <c r="C14" s="174" t="s">
        <v>30</v>
      </c>
      <c r="D14" s="175" t="n">
        <v>5.885</v>
      </c>
      <c r="E14" s="173"/>
      <c r="F14" s="176" t="n">
        <v>-9615</v>
      </c>
      <c r="G14" s="175"/>
      <c r="H14" s="175"/>
      <c r="I14" s="177" t="n">
        <f aca="false">+F14*D14</f>
        <v>-56584.275</v>
      </c>
      <c r="J14" s="178" t="n">
        <f aca="false">+I14</f>
        <v>-56584.275</v>
      </c>
      <c r="K14" s="178"/>
    </row>
    <row r="15" customFormat="false" ht="12.75" hidden="false" customHeight="false" outlineLevel="0" collapsed="false">
      <c r="A15" s="275" t="n">
        <f aca="false">+A14+1</f>
        <v>36852</v>
      </c>
      <c r="B15" s="173"/>
      <c r="C15" s="174" t="s">
        <v>30</v>
      </c>
      <c r="D15" s="175" t="n">
        <v>5.885</v>
      </c>
      <c r="E15" s="173"/>
      <c r="F15" s="176" t="n">
        <v>-9615</v>
      </c>
      <c r="G15" s="175"/>
      <c r="H15" s="175"/>
      <c r="I15" s="177" t="n">
        <f aca="false">+F15*D15</f>
        <v>-56584.275</v>
      </c>
      <c r="J15" s="178" t="n">
        <f aca="false">+I15</f>
        <v>-56584.275</v>
      </c>
      <c r="K15" s="178"/>
    </row>
    <row r="16" customFormat="false" ht="12.75" hidden="false" customHeight="false" outlineLevel="0" collapsed="false">
      <c r="A16" s="275" t="n">
        <f aca="false">+A15+1</f>
        <v>36853</v>
      </c>
      <c r="B16" s="173"/>
      <c r="C16" s="174" t="s">
        <v>30</v>
      </c>
      <c r="D16" s="175" t="n">
        <v>5.885</v>
      </c>
      <c r="E16" s="173"/>
      <c r="F16" s="176" t="n">
        <v>-9615</v>
      </c>
      <c r="G16" s="175"/>
      <c r="H16" s="175"/>
      <c r="I16" s="177" t="n">
        <f aca="false">+F16*D16</f>
        <v>-56584.275</v>
      </c>
      <c r="J16" s="178" t="n">
        <f aca="false">+I16</f>
        <v>-56584.275</v>
      </c>
      <c r="K16" s="178"/>
    </row>
    <row r="17" customFormat="false" ht="12.75" hidden="false" customHeight="false" outlineLevel="0" collapsed="false">
      <c r="A17" s="275" t="n">
        <f aca="false">+A16+1</f>
        <v>36854</v>
      </c>
      <c r="B17" s="173"/>
      <c r="C17" s="174" t="s">
        <v>30</v>
      </c>
      <c r="D17" s="175" t="n">
        <v>5.885</v>
      </c>
      <c r="E17" s="173"/>
      <c r="F17" s="176" t="n">
        <v>-9615</v>
      </c>
      <c r="G17" s="175"/>
      <c r="H17" s="175"/>
      <c r="I17" s="177" t="n">
        <f aca="false">+F17*D17</f>
        <v>-56584.275</v>
      </c>
      <c r="J17" s="178" t="n">
        <f aca="false">+I17</f>
        <v>-56584.275</v>
      </c>
      <c r="K17" s="178"/>
    </row>
    <row r="18" customFormat="false" ht="12.75" hidden="false" customHeight="false" outlineLevel="0" collapsed="false">
      <c r="A18" s="275" t="n">
        <f aca="false">+A17+1</f>
        <v>36855</v>
      </c>
      <c r="B18" s="173"/>
      <c r="C18" s="174" t="s">
        <v>30</v>
      </c>
      <c r="D18" s="175" t="n">
        <v>5.885</v>
      </c>
      <c r="E18" s="173"/>
      <c r="F18" s="176" t="n">
        <v>-9615</v>
      </c>
      <c r="G18" s="175"/>
      <c r="H18" s="175"/>
      <c r="I18" s="177" t="n">
        <f aca="false">+F18*D18</f>
        <v>-56584.275</v>
      </c>
      <c r="J18" s="178" t="n">
        <f aca="false">+I18</f>
        <v>-56584.275</v>
      </c>
      <c r="K18" s="178"/>
    </row>
    <row r="19" customFormat="false" ht="12.75" hidden="false" customHeight="false" outlineLevel="0" collapsed="false">
      <c r="A19" s="275" t="n">
        <f aca="false">+A18+1</f>
        <v>36856</v>
      </c>
      <c r="B19" s="173"/>
      <c r="C19" s="174" t="s">
        <v>30</v>
      </c>
      <c r="D19" s="175" t="n">
        <v>5.885</v>
      </c>
      <c r="E19" s="173"/>
      <c r="F19" s="176" t="n">
        <v>-9615</v>
      </c>
      <c r="G19" s="175"/>
      <c r="H19" s="175"/>
      <c r="I19" s="177" t="n">
        <f aca="false">+F19*D19</f>
        <v>-56584.275</v>
      </c>
      <c r="J19" s="178" t="n">
        <f aca="false">+I19</f>
        <v>-56584.275</v>
      </c>
      <c r="K19" s="178"/>
    </row>
    <row r="20" customFormat="false" ht="12.75" hidden="false" customHeight="false" outlineLevel="0" collapsed="false">
      <c r="A20" s="275" t="n">
        <f aca="false">+A19+1</f>
        <v>36857</v>
      </c>
      <c r="B20" s="173"/>
      <c r="C20" s="174" t="s">
        <v>30</v>
      </c>
      <c r="D20" s="175" t="n">
        <v>5.885</v>
      </c>
      <c r="E20" s="173"/>
      <c r="F20" s="176" t="n">
        <v>-9615</v>
      </c>
      <c r="G20" s="175"/>
      <c r="H20" s="175"/>
      <c r="I20" s="177" t="n">
        <f aca="false">+F20*D20</f>
        <v>-56584.275</v>
      </c>
      <c r="J20" s="178" t="n">
        <f aca="false">+I20</f>
        <v>-56584.275</v>
      </c>
      <c r="K20" s="178"/>
    </row>
    <row r="21" customFormat="false" ht="12.75" hidden="false" customHeight="false" outlineLevel="0" collapsed="false">
      <c r="A21" s="275" t="n">
        <f aca="false">+A20+1</f>
        <v>36858</v>
      </c>
      <c r="B21" s="173"/>
      <c r="C21" s="174" t="s">
        <v>30</v>
      </c>
      <c r="D21" s="175" t="n">
        <v>5.885</v>
      </c>
      <c r="E21" s="173"/>
      <c r="F21" s="176" t="n">
        <v>-9615</v>
      </c>
      <c r="G21" s="175"/>
      <c r="H21" s="175"/>
      <c r="I21" s="177" t="n">
        <f aca="false">+F21*D21</f>
        <v>-56584.275</v>
      </c>
      <c r="J21" s="178" t="n">
        <f aca="false">+I21</f>
        <v>-56584.275</v>
      </c>
      <c r="K21" s="178"/>
    </row>
    <row r="22" customFormat="false" ht="12.75" hidden="false" customHeight="false" outlineLevel="0" collapsed="false">
      <c r="A22" s="275" t="n">
        <f aca="false">+A21+1</f>
        <v>36859</v>
      </c>
      <c r="B22" s="173"/>
      <c r="C22" s="174" t="s">
        <v>30</v>
      </c>
      <c r="D22" s="175" t="n">
        <v>5.885</v>
      </c>
      <c r="E22" s="173"/>
      <c r="F22" s="176" t="n">
        <v>-9615</v>
      </c>
      <c r="G22" s="175"/>
      <c r="H22" s="175"/>
      <c r="I22" s="177" t="n">
        <f aca="false">+F22*D22</f>
        <v>-56584.275</v>
      </c>
      <c r="J22" s="178" t="n">
        <f aca="false">+I22</f>
        <v>-56584.275</v>
      </c>
      <c r="K22" s="178"/>
    </row>
    <row r="23" customFormat="false" ht="12.75" hidden="false" customHeight="false" outlineLevel="0" collapsed="false">
      <c r="A23" s="275" t="n">
        <f aca="false">+A22+1</f>
        <v>36860</v>
      </c>
      <c r="B23" s="173"/>
      <c r="C23" s="174" t="s">
        <v>30</v>
      </c>
      <c r="D23" s="175" t="n">
        <v>5.885</v>
      </c>
      <c r="E23" s="173"/>
      <c r="F23" s="176" t="n">
        <v>-9615</v>
      </c>
      <c r="G23" s="173"/>
      <c r="H23" s="175"/>
      <c r="I23" s="177" t="n">
        <f aca="false">+F23*D23</f>
        <v>-56584.275</v>
      </c>
      <c r="J23" s="178" t="n">
        <f aca="false">+I23</f>
        <v>-56584.275</v>
      </c>
      <c r="K23" s="178"/>
    </row>
    <row r="24" customFormat="false" ht="12.75" hidden="false" customHeight="false" outlineLevel="0" collapsed="false">
      <c r="A24" s="275"/>
      <c r="B24" s="173"/>
      <c r="C24" s="173"/>
      <c r="D24" s="173"/>
      <c r="E24" s="173"/>
      <c r="F24" s="180" t="n">
        <f aca="false">SUM(F11:F23)</f>
        <v>-124995</v>
      </c>
      <c r="G24" s="173"/>
      <c r="H24" s="173"/>
      <c r="I24" s="181" t="n">
        <f aca="false">SUM(I11:I23)</f>
        <v>-735595.575</v>
      </c>
      <c r="J24" s="181" t="n">
        <f aca="false">SUM(J11:J23)</f>
        <v>-735595.575</v>
      </c>
      <c r="K24" s="181" t="n">
        <f aca="false">SUM(K11:K22)</f>
        <v>0</v>
      </c>
    </row>
    <row r="25" customFormat="false" ht="12.75" hidden="false" customHeight="false" outlineLevel="0" collapsed="false">
      <c r="A25" s="275"/>
      <c r="B25" s="173"/>
      <c r="C25" s="173"/>
      <c r="D25" s="173"/>
      <c r="E25" s="173"/>
      <c r="F25" s="182"/>
      <c r="G25" s="173"/>
      <c r="H25" s="173"/>
      <c r="I25" s="183"/>
      <c r="J25" s="184"/>
      <c r="K25" s="184"/>
    </row>
    <row r="26" customFormat="false" ht="12.75" hidden="false" customHeight="false" outlineLevel="0" collapsed="false">
      <c r="A26" s="275"/>
      <c r="B26" s="173"/>
      <c r="C26" s="173"/>
      <c r="D26" s="173"/>
      <c r="E26" s="173"/>
      <c r="F26" s="182"/>
      <c r="G26" s="173"/>
      <c r="H26" s="173"/>
      <c r="I26" s="183"/>
      <c r="J26" s="184"/>
      <c r="K26" s="184"/>
    </row>
    <row r="27" customFormat="false" ht="12.75" hidden="false" customHeight="false" outlineLevel="0" collapsed="false">
      <c r="A27" s="275" t="n">
        <v>36848</v>
      </c>
      <c r="B27" s="173"/>
      <c r="C27" s="174" t="s">
        <v>50</v>
      </c>
      <c r="D27" s="175"/>
      <c r="E27" s="173"/>
      <c r="F27" s="176" t="n">
        <v>9615</v>
      </c>
      <c r="G27" s="175" t="n">
        <v>5.675</v>
      </c>
      <c r="H27" s="175"/>
      <c r="I27" s="177" t="n">
        <f aca="false">+G27*F27</f>
        <v>54565.125</v>
      </c>
      <c r="J27" s="178" t="n">
        <f aca="false">+I27</f>
        <v>54565.125</v>
      </c>
      <c r="K27" s="178"/>
    </row>
    <row r="28" customFormat="false" ht="12.75" hidden="false" customHeight="false" outlineLevel="0" collapsed="false">
      <c r="A28" s="275" t="n">
        <f aca="false">+A27+1</f>
        <v>36849</v>
      </c>
      <c r="B28" s="173"/>
      <c r="C28" s="174" t="s">
        <v>50</v>
      </c>
      <c r="D28" s="175"/>
      <c r="E28" s="173"/>
      <c r="F28" s="176" t="n">
        <v>9615</v>
      </c>
      <c r="G28" s="175" t="n">
        <v>5.675</v>
      </c>
      <c r="H28" s="175"/>
      <c r="I28" s="177" t="n">
        <f aca="false">+G28*F28</f>
        <v>54565.125</v>
      </c>
      <c r="J28" s="178" t="n">
        <f aca="false">+I28</f>
        <v>54565.125</v>
      </c>
      <c r="K28" s="178"/>
    </row>
    <row r="29" customFormat="false" ht="12.75" hidden="false" customHeight="false" outlineLevel="0" collapsed="false">
      <c r="A29" s="275" t="n">
        <f aca="false">+A28+1</f>
        <v>36850</v>
      </c>
      <c r="B29" s="173"/>
      <c r="C29" s="174" t="s">
        <v>50</v>
      </c>
      <c r="D29" s="175"/>
      <c r="E29" s="173"/>
      <c r="F29" s="176" t="n">
        <v>9615</v>
      </c>
      <c r="G29" s="175" t="n">
        <v>5.675</v>
      </c>
      <c r="H29" s="175"/>
      <c r="I29" s="177" t="n">
        <f aca="false">+G29*F29</f>
        <v>54565.125</v>
      </c>
      <c r="J29" s="178" t="n">
        <f aca="false">+I29</f>
        <v>54565.125</v>
      </c>
      <c r="K29" s="178"/>
    </row>
    <row r="30" customFormat="false" ht="12.75" hidden="false" customHeight="false" outlineLevel="0" collapsed="false">
      <c r="A30" s="275" t="n">
        <f aca="false">+A29+1</f>
        <v>36851</v>
      </c>
      <c r="B30" s="173"/>
      <c r="C30" s="174" t="s">
        <v>50</v>
      </c>
      <c r="D30" s="175"/>
      <c r="E30" s="173"/>
      <c r="F30" s="176" t="n">
        <v>9615</v>
      </c>
      <c r="G30" s="175" t="n">
        <v>6.28</v>
      </c>
      <c r="H30" s="175"/>
      <c r="I30" s="177" t="n">
        <f aca="false">+G30*F30</f>
        <v>60382.2</v>
      </c>
      <c r="J30" s="178" t="n">
        <f aca="false">+I30</f>
        <v>60382.2</v>
      </c>
      <c r="K30" s="178"/>
    </row>
    <row r="31" customFormat="false" ht="12.75" hidden="false" customHeight="false" outlineLevel="0" collapsed="false">
      <c r="A31" s="275" t="n">
        <f aca="false">+A30+1</f>
        <v>36852</v>
      </c>
      <c r="B31" s="173"/>
      <c r="C31" s="174" t="s">
        <v>50</v>
      </c>
      <c r="D31" s="175"/>
      <c r="E31" s="173"/>
      <c r="F31" s="176" t="n">
        <v>9615</v>
      </c>
      <c r="G31" s="175" t="n">
        <v>6.395</v>
      </c>
      <c r="H31" s="175"/>
      <c r="I31" s="177" t="n">
        <f aca="false">+G31*F31</f>
        <v>61487.925</v>
      </c>
      <c r="J31" s="178" t="n">
        <f aca="false">+I31</f>
        <v>61487.925</v>
      </c>
      <c r="K31" s="178"/>
    </row>
    <row r="32" customFormat="false" ht="12.75" hidden="false" customHeight="false" outlineLevel="0" collapsed="false">
      <c r="A32" s="275" t="n">
        <f aca="false">+A31+1</f>
        <v>36853</v>
      </c>
      <c r="B32" s="173"/>
      <c r="C32" s="174" t="s">
        <v>50</v>
      </c>
      <c r="D32" s="175"/>
      <c r="E32" s="173"/>
      <c r="F32" s="176" t="n">
        <v>9615</v>
      </c>
      <c r="G32" s="175" t="n">
        <v>6.255</v>
      </c>
      <c r="H32" s="175"/>
      <c r="I32" s="177" t="n">
        <f aca="false">+G32*F32</f>
        <v>60141.825</v>
      </c>
      <c r="J32" s="178" t="n">
        <f aca="false">+I32</f>
        <v>60141.825</v>
      </c>
      <c r="K32" s="178"/>
    </row>
    <row r="33" customFormat="false" ht="12.75" hidden="false" customHeight="false" outlineLevel="0" collapsed="false">
      <c r="A33" s="275" t="n">
        <f aca="false">+A32+1</f>
        <v>36854</v>
      </c>
      <c r="B33" s="173"/>
      <c r="C33" s="174" t="s">
        <v>50</v>
      </c>
      <c r="D33" s="175"/>
      <c r="E33" s="173"/>
      <c r="F33" s="176" t="n">
        <v>9615</v>
      </c>
      <c r="G33" s="175" t="n">
        <v>6.255</v>
      </c>
      <c r="H33" s="175"/>
      <c r="I33" s="177" t="n">
        <f aca="false">+G33*F33</f>
        <v>60141.825</v>
      </c>
      <c r="J33" s="178" t="n">
        <f aca="false">+I33</f>
        <v>60141.825</v>
      </c>
      <c r="K33" s="178"/>
    </row>
    <row r="34" customFormat="false" ht="12.75" hidden="false" customHeight="false" outlineLevel="0" collapsed="false">
      <c r="A34" s="275" t="n">
        <f aca="false">+A33+1</f>
        <v>36855</v>
      </c>
      <c r="B34" s="173"/>
      <c r="C34" s="174" t="s">
        <v>50</v>
      </c>
      <c r="D34" s="175"/>
      <c r="E34" s="173"/>
      <c r="F34" s="176" t="n">
        <v>9615</v>
      </c>
      <c r="G34" s="175" t="n">
        <v>6.255</v>
      </c>
      <c r="H34" s="175"/>
      <c r="I34" s="177" t="n">
        <f aca="false">+G34*F34</f>
        <v>60141.825</v>
      </c>
      <c r="J34" s="178" t="n">
        <f aca="false">+I34</f>
        <v>60141.825</v>
      </c>
      <c r="K34" s="178"/>
    </row>
    <row r="35" customFormat="false" ht="12.75" hidden="false" customHeight="false" outlineLevel="0" collapsed="false">
      <c r="A35" s="275" t="n">
        <f aca="false">+A34+1</f>
        <v>36856</v>
      </c>
      <c r="B35" s="173"/>
      <c r="C35" s="174" t="s">
        <v>50</v>
      </c>
      <c r="D35" s="175"/>
      <c r="E35" s="173"/>
      <c r="F35" s="176" t="n">
        <v>9615</v>
      </c>
      <c r="G35" s="175" t="n">
        <v>6.255</v>
      </c>
      <c r="H35" s="175"/>
      <c r="I35" s="177" t="n">
        <f aca="false">+G35*F35</f>
        <v>60141.825</v>
      </c>
      <c r="J35" s="178" t="n">
        <f aca="false">+I35</f>
        <v>60141.825</v>
      </c>
      <c r="K35" s="178"/>
    </row>
    <row r="36" customFormat="false" ht="12.75" hidden="false" customHeight="false" outlineLevel="0" collapsed="false">
      <c r="A36" s="275" t="n">
        <f aca="false">+A35+1</f>
        <v>36857</v>
      </c>
      <c r="B36" s="173"/>
      <c r="C36" s="174" t="s">
        <v>50</v>
      </c>
      <c r="D36" s="175"/>
      <c r="E36" s="173"/>
      <c r="F36" s="176" t="n">
        <v>9615</v>
      </c>
      <c r="G36" s="175" t="n">
        <v>6.255</v>
      </c>
      <c r="H36" s="175"/>
      <c r="I36" s="177" t="n">
        <f aca="false">+G36*F36</f>
        <v>60141.825</v>
      </c>
      <c r="J36" s="178" t="n">
        <f aca="false">+I36</f>
        <v>60141.825</v>
      </c>
      <c r="K36" s="178"/>
    </row>
    <row r="37" customFormat="false" ht="12.75" hidden="false" customHeight="false" outlineLevel="0" collapsed="false">
      <c r="A37" s="275" t="n">
        <f aca="false">+A36+1</f>
        <v>36858</v>
      </c>
      <c r="B37" s="173"/>
      <c r="C37" s="174" t="s">
        <v>50</v>
      </c>
      <c r="D37" s="175"/>
      <c r="E37" s="173"/>
      <c r="F37" s="176" t="n">
        <v>9615</v>
      </c>
      <c r="G37" s="175" t="n">
        <v>6.23</v>
      </c>
      <c r="H37" s="175"/>
      <c r="I37" s="177" t="n">
        <f aca="false">+G37*F37</f>
        <v>59901.45</v>
      </c>
      <c r="J37" s="178" t="n">
        <f aca="false">+I37</f>
        <v>59901.45</v>
      </c>
      <c r="K37" s="178"/>
    </row>
    <row r="38" customFormat="false" ht="12.75" hidden="false" customHeight="false" outlineLevel="0" collapsed="false">
      <c r="A38" s="275" t="n">
        <f aca="false">+A37+1</f>
        <v>36859</v>
      </c>
      <c r="B38" s="173"/>
      <c r="C38" s="174" t="s">
        <v>50</v>
      </c>
      <c r="D38" s="175"/>
      <c r="E38" s="173"/>
      <c r="F38" s="176" t="n">
        <v>9615</v>
      </c>
      <c r="G38" s="175" t="n">
        <v>5.895</v>
      </c>
      <c r="H38" s="175"/>
      <c r="I38" s="177" t="n">
        <f aca="false">+G38*F38</f>
        <v>56680.425</v>
      </c>
      <c r="J38" s="178" t="n">
        <f aca="false">+I38</f>
        <v>56680.425</v>
      </c>
      <c r="K38" s="178"/>
    </row>
    <row r="39" customFormat="false" ht="12.75" hidden="false" customHeight="false" outlineLevel="0" collapsed="false">
      <c r="A39" s="275" t="n">
        <f aca="false">+A38+1</f>
        <v>36860</v>
      </c>
      <c r="B39" s="173"/>
      <c r="C39" s="174" t="s">
        <v>50</v>
      </c>
      <c r="D39" s="175"/>
      <c r="E39" s="173"/>
      <c r="F39" s="176" t="n">
        <v>9615</v>
      </c>
      <c r="G39" s="175" t="n">
        <v>5.955</v>
      </c>
      <c r="H39" s="175"/>
      <c r="I39" s="177" t="n">
        <f aca="false">+G39*F39</f>
        <v>57257.325</v>
      </c>
      <c r="J39" s="178" t="n">
        <f aca="false">+I39</f>
        <v>57257.325</v>
      </c>
      <c r="K39" s="178"/>
    </row>
    <row r="40" customFormat="false" ht="12.75" hidden="false" customHeight="false" outlineLevel="0" collapsed="false">
      <c r="A40" s="275"/>
      <c r="B40" s="173"/>
      <c r="C40" s="173"/>
      <c r="D40" s="173"/>
      <c r="E40" s="173"/>
      <c r="F40" s="180" t="n">
        <f aca="false">SUM(F27:F39)</f>
        <v>124995</v>
      </c>
      <c r="G40" s="173"/>
      <c r="H40" s="173"/>
      <c r="I40" s="181" t="n">
        <f aca="false">SUM(I27:I39)</f>
        <v>760113.825</v>
      </c>
      <c r="J40" s="181" t="n">
        <f aca="false">SUM(J27:J39)</f>
        <v>760113.825</v>
      </c>
      <c r="K40" s="181" t="n">
        <f aca="false">SUM(K27:K38)</f>
        <v>0</v>
      </c>
    </row>
    <row r="41" customFormat="false" ht="12.75" hidden="false" customHeight="false" outlineLevel="0" collapsed="false">
      <c r="A41" s="275"/>
      <c r="B41" s="173"/>
      <c r="C41" s="173"/>
      <c r="D41" s="173"/>
      <c r="E41" s="173"/>
      <c r="F41" s="182"/>
      <c r="G41" s="173"/>
      <c r="H41" s="173"/>
      <c r="I41" s="183"/>
      <c r="J41" s="184"/>
      <c r="K41" s="184"/>
    </row>
    <row r="42" customFormat="false" ht="13.5" hidden="false" customHeight="false" outlineLevel="0" collapsed="false">
      <c r="A42" s="275"/>
      <c r="B42" s="173"/>
      <c r="C42" s="173"/>
      <c r="D42" s="173"/>
      <c r="E42" s="173"/>
      <c r="F42" s="190" t="n">
        <f aca="false">+F40+F24</f>
        <v>0</v>
      </c>
      <c r="G42" s="173"/>
      <c r="H42" s="173"/>
      <c r="I42" s="276" t="n">
        <f aca="false">+I40+I24</f>
        <v>24518.2499999999</v>
      </c>
      <c r="J42" s="276" t="n">
        <f aca="false">+J40+J24</f>
        <v>24518.2499999999</v>
      </c>
      <c r="K42" s="276" t="n">
        <f aca="false">+K40+K24</f>
        <v>0</v>
      </c>
    </row>
    <row r="43" customFormat="false" ht="13.5" hidden="false" customHeight="false" outlineLevel="0" collapsed="false">
      <c r="A43" s="275"/>
      <c r="B43" s="173"/>
      <c r="C43" s="173"/>
      <c r="D43" s="173"/>
      <c r="E43" s="173"/>
      <c r="F43" s="182"/>
      <c r="G43" s="173"/>
      <c r="H43" s="173"/>
      <c r="I43" s="183"/>
      <c r="J43" s="184"/>
      <c r="K43" s="184"/>
    </row>
    <row r="44" customFormat="false" ht="12.75" hidden="false" customHeight="false" outlineLevel="0" collapsed="false">
      <c r="A44" s="275"/>
      <c r="B44" s="173"/>
      <c r="C44" s="173"/>
      <c r="D44" s="173"/>
      <c r="E44" s="173"/>
      <c r="F44" s="182"/>
      <c r="G44" s="173"/>
      <c r="H44" s="173"/>
      <c r="I44" s="183"/>
      <c r="J44" s="184"/>
      <c r="K44" s="184"/>
    </row>
    <row r="45" customFormat="false" ht="12.75" hidden="false" customHeight="false" outlineLevel="0" collapsed="false">
      <c r="A45" s="275"/>
      <c r="B45" s="173"/>
      <c r="C45" s="173"/>
      <c r="D45" s="173"/>
      <c r="E45" s="173"/>
      <c r="F45" s="207"/>
      <c r="G45" s="202"/>
      <c r="H45" s="186"/>
      <c r="I45" s="179"/>
      <c r="J45" s="179"/>
      <c r="K45" s="179"/>
    </row>
    <row r="46" customFormat="false" ht="12.75" hidden="false" customHeight="false" outlineLevel="0" collapsed="false">
      <c r="A46" s="275"/>
      <c r="B46" s="173"/>
      <c r="C46" s="174"/>
      <c r="D46" s="175"/>
      <c r="E46" s="173"/>
      <c r="F46" s="176"/>
      <c r="G46" s="175"/>
      <c r="H46" s="175"/>
      <c r="I46" s="177"/>
      <c r="J46" s="178"/>
      <c r="K46" s="178"/>
    </row>
    <row r="47" customFormat="false" ht="12.75" hidden="false" customHeight="false" outlineLevel="0" collapsed="false">
      <c r="A47" s="277"/>
      <c r="B47" s="192"/>
      <c r="C47" s="278"/>
      <c r="D47" s="270"/>
      <c r="E47" s="192"/>
      <c r="F47" s="196"/>
      <c r="G47" s="270"/>
      <c r="H47" s="270"/>
      <c r="I47" s="197"/>
      <c r="J47" s="264"/>
      <c r="K47" s="264"/>
    </row>
    <row r="48" customFormat="false" ht="12.75" hidden="false" customHeight="false" outlineLevel="0" collapsed="false">
      <c r="A48" s="279"/>
    </row>
    <row r="49" customFormat="false" ht="12.75" hidden="false" customHeight="false" outlineLevel="0" collapsed="false">
      <c r="A49" s="279"/>
    </row>
    <row r="50" customFormat="false" ht="12.75" hidden="false" customHeight="false" outlineLevel="0" collapsed="false">
      <c r="A50" s="279"/>
    </row>
    <row r="51" customFormat="false" ht="12.75" hidden="false" customHeight="false" outlineLevel="0" collapsed="false">
      <c r="A51" s="279"/>
    </row>
    <row r="52" customFormat="false" ht="12.75" hidden="false" customHeight="false" outlineLevel="0" collapsed="false">
      <c r="A52" s="279"/>
    </row>
    <row r="53" customFormat="false" ht="12.75" hidden="false" customHeight="false" outlineLevel="0" collapsed="false">
      <c r="A53" s="279"/>
    </row>
    <row r="54" customFormat="false" ht="12.75" hidden="false" customHeight="false" outlineLevel="0" collapsed="false">
      <c r="A54" s="279"/>
    </row>
    <row r="55" customFormat="false" ht="12.75" hidden="false" customHeight="false" outlineLevel="0" collapsed="false">
      <c r="A55" s="279"/>
    </row>
    <row r="56" customFormat="false" ht="12.75" hidden="false" customHeight="false" outlineLevel="0" collapsed="false">
      <c r="A56" s="279"/>
    </row>
    <row r="57" customFormat="false" ht="12.75" hidden="false" customHeight="false" outlineLevel="0" collapsed="false">
      <c r="A57" s="279"/>
    </row>
    <row r="58" customFormat="false" ht="12.75" hidden="false" customHeight="false" outlineLevel="0" collapsed="false">
      <c r="A58" s="279"/>
    </row>
    <row r="59" customFormat="false" ht="12.75" hidden="false" customHeight="false" outlineLevel="0" collapsed="false">
      <c r="A59" s="279"/>
    </row>
    <row r="60" customFormat="false" ht="12.75" hidden="false" customHeight="false" outlineLevel="0" collapsed="false">
      <c r="A60" s="279"/>
    </row>
    <row r="61" customFormat="false" ht="12.75" hidden="false" customHeight="false" outlineLevel="0" collapsed="false">
      <c r="A61" s="279"/>
    </row>
    <row r="62" customFormat="false" ht="12.75" hidden="false" customHeight="false" outlineLevel="0" collapsed="false">
      <c r="A62" s="279"/>
    </row>
    <row r="63" customFormat="false" ht="12.75" hidden="false" customHeight="false" outlineLevel="0" collapsed="false">
      <c r="A63" s="279"/>
    </row>
    <row r="64" customFormat="false" ht="12.75" hidden="false" customHeight="false" outlineLevel="0" collapsed="false">
      <c r="A64" s="279"/>
    </row>
    <row r="65" customFormat="false" ht="12.75" hidden="false" customHeight="false" outlineLevel="0" collapsed="false">
      <c r="A65" s="279"/>
    </row>
    <row r="66" customFormat="false" ht="12.75" hidden="false" customHeight="false" outlineLevel="0" collapsed="false">
      <c r="A66" s="279"/>
    </row>
    <row r="67" customFormat="false" ht="12.75" hidden="false" customHeight="false" outlineLevel="0" collapsed="false">
      <c r="A67" s="279"/>
    </row>
    <row r="68" customFormat="false" ht="12.75" hidden="false" customHeight="false" outlineLevel="0" collapsed="false">
      <c r="A68" s="279"/>
    </row>
    <row r="69" customFormat="false" ht="12.75" hidden="false" customHeight="false" outlineLevel="0" collapsed="false">
      <c r="A69" s="279"/>
    </row>
    <row r="70" customFormat="false" ht="12.75" hidden="false" customHeight="false" outlineLevel="0" collapsed="false">
      <c r="A70" s="279"/>
    </row>
    <row r="71" customFormat="false" ht="12.75" hidden="false" customHeight="false" outlineLevel="0" collapsed="false">
      <c r="A71" s="279"/>
    </row>
    <row r="72" customFormat="false" ht="12.75" hidden="false" customHeight="false" outlineLevel="0" collapsed="false">
      <c r="A72" s="279"/>
    </row>
    <row r="73" customFormat="false" ht="12.75" hidden="false" customHeight="false" outlineLevel="0" collapsed="false">
      <c r="A73" s="279"/>
    </row>
    <row r="74" customFormat="false" ht="12.75" hidden="false" customHeight="false" outlineLevel="0" collapsed="false">
      <c r="A74" s="279"/>
    </row>
    <row r="75" customFormat="false" ht="12.75" hidden="false" customHeight="false" outlineLevel="0" collapsed="false">
      <c r="A75" s="279"/>
    </row>
    <row r="76" customFormat="false" ht="12.75" hidden="false" customHeight="false" outlineLevel="0" collapsed="false">
      <c r="A76" s="279"/>
    </row>
    <row r="77" customFormat="false" ht="12.75" hidden="false" customHeight="false" outlineLevel="0" collapsed="false">
      <c r="A77" s="279"/>
    </row>
    <row r="78" customFormat="false" ht="12.75" hidden="false" customHeight="false" outlineLevel="0" collapsed="false">
      <c r="A78" s="279"/>
    </row>
    <row r="79" customFormat="false" ht="12.75" hidden="false" customHeight="false" outlineLevel="0" collapsed="false">
      <c r="A79" s="279"/>
    </row>
    <row r="80" customFormat="false" ht="12.75" hidden="false" customHeight="false" outlineLevel="0" collapsed="false">
      <c r="A80" s="279"/>
    </row>
    <row r="81" customFormat="false" ht="12.75" hidden="false" customHeight="false" outlineLevel="0" collapsed="false">
      <c r="A81" s="279"/>
    </row>
    <row r="82" customFormat="false" ht="12.75" hidden="false" customHeight="false" outlineLevel="0" collapsed="false">
      <c r="A82" s="279"/>
    </row>
    <row r="83" customFormat="false" ht="12.75" hidden="false" customHeight="false" outlineLevel="0" collapsed="false">
      <c r="A83" s="279"/>
    </row>
    <row r="84" customFormat="false" ht="12.75" hidden="false" customHeight="false" outlineLevel="0" collapsed="false">
      <c r="A84" s="279"/>
    </row>
    <row r="85" customFormat="false" ht="12.75" hidden="false" customHeight="false" outlineLevel="0" collapsed="false">
      <c r="A85" s="279"/>
    </row>
    <row r="86" customFormat="false" ht="12.75" hidden="false" customHeight="false" outlineLevel="0" collapsed="false">
      <c r="A86" s="279"/>
    </row>
    <row r="87" customFormat="false" ht="12.75" hidden="false" customHeight="false" outlineLevel="0" collapsed="false">
      <c r="A87" s="279"/>
    </row>
    <row r="88" customFormat="false" ht="12.75" hidden="false" customHeight="false" outlineLevel="0" collapsed="false">
      <c r="A88" s="279"/>
    </row>
    <row r="89" customFormat="false" ht="12.75" hidden="false" customHeight="false" outlineLevel="0" collapsed="false">
      <c r="A89" s="279"/>
    </row>
    <row r="90" customFormat="false" ht="12.75" hidden="false" customHeight="false" outlineLevel="0" collapsed="false">
      <c r="A90" s="279"/>
    </row>
    <row r="91" customFormat="false" ht="12.75" hidden="false" customHeight="false" outlineLevel="0" collapsed="false">
      <c r="A91" s="279"/>
    </row>
    <row r="92" customFormat="false" ht="12.75" hidden="false" customHeight="false" outlineLevel="0" collapsed="false">
      <c r="A92" s="279"/>
    </row>
    <row r="93" customFormat="false" ht="12.75" hidden="false" customHeight="false" outlineLevel="0" collapsed="false">
      <c r="A93" s="279"/>
    </row>
    <row r="94" customFormat="false" ht="12.75" hidden="false" customHeight="false" outlineLevel="0" collapsed="false">
      <c r="A94" s="279"/>
    </row>
    <row r="95" customFormat="false" ht="12.75" hidden="false" customHeight="false" outlineLevel="0" collapsed="false">
      <c r="A95" s="279"/>
    </row>
    <row r="96" customFormat="false" ht="12.75" hidden="false" customHeight="false" outlineLevel="0" collapsed="false">
      <c r="A96" s="279"/>
    </row>
    <row r="97" customFormat="false" ht="12.75" hidden="false" customHeight="false" outlineLevel="0" collapsed="false">
      <c r="A97" s="279"/>
    </row>
    <row r="98" customFormat="false" ht="12.75" hidden="false" customHeight="false" outlineLevel="0" collapsed="false">
      <c r="A98" s="279"/>
    </row>
    <row r="99" customFormat="false" ht="12.75" hidden="false" customHeight="false" outlineLevel="0" collapsed="false">
      <c r="A99" s="279"/>
    </row>
    <row r="100" customFormat="false" ht="12.75" hidden="false" customHeight="false" outlineLevel="0" collapsed="false">
      <c r="A100" s="279"/>
    </row>
    <row r="101" customFormat="false" ht="12.75" hidden="false" customHeight="false" outlineLevel="0" collapsed="false">
      <c r="A101" s="279"/>
    </row>
    <row r="102" customFormat="false" ht="12.75" hidden="false" customHeight="false" outlineLevel="0" collapsed="false">
      <c r="A102" s="279"/>
    </row>
    <row r="103" customFormat="false" ht="12.75" hidden="false" customHeight="false" outlineLevel="0" collapsed="false">
      <c r="A103" s="279"/>
    </row>
    <row r="104" customFormat="false" ht="12.75" hidden="false" customHeight="false" outlineLevel="0" collapsed="false">
      <c r="A104" s="279"/>
    </row>
    <row r="105" customFormat="false" ht="12.75" hidden="false" customHeight="false" outlineLevel="0" collapsed="false">
      <c r="A105" s="279"/>
    </row>
    <row r="106" customFormat="false" ht="12.75" hidden="false" customHeight="false" outlineLevel="0" collapsed="false">
      <c r="A106" s="279"/>
    </row>
    <row r="107" customFormat="false" ht="12.75" hidden="false" customHeight="false" outlineLevel="0" collapsed="false">
      <c r="A107" s="279"/>
    </row>
    <row r="108" customFormat="false" ht="12.75" hidden="false" customHeight="false" outlineLevel="0" collapsed="false">
      <c r="A108" s="279"/>
    </row>
    <row r="109" customFormat="false" ht="12.75" hidden="false" customHeight="false" outlineLevel="0" collapsed="false">
      <c r="A109" s="279"/>
    </row>
    <row r="110" customFormat="false" ht="12.75" hidden="false" customHeight="false" outlineLevel="0" collapsed="false">
      <c r="A110" s="279"/>
    </row>
    <row r="111" customFormat="false" ht="12.75" hidden="false" customHeight="false" outlineLevel="0" collapsed="false">
      <c r="A111" s="279"/>
    </row>
    <row r="112" customFormat="false" ht="12.75" hidden="false" customHeight="false" outlineLevel="0" collapsed="false">
      <c r="A112" s="279"/>
    </row>
    <row r="113" customFormat="false" ht="12.75" hidden="false" customHeight="false" outlineLevel="0" collapsed="false">
      <c r="A113" s="279"/>
    </row>
    <row r="114" customFormat="false" ht="12.75" hidden="false" customHeight="false" outlineLevel="0" collapsed="false">
      <c r="A114" s="279"/>
    </row>
    <row r="115" customFormat="false" ht="12.75" hidden="false" customHeight="false" outlineLevel="0" collapsed="false">
      <c r="A115" s="279"/>
    </row>
    <row r="116" customFormat="false" ht="12.75" hidden="false" customHeight="false" outlineLevel="0" collapsed="false">
      <c r="A116" s="279"/>
    </row>
    <row r="117" customFormat="false" ht="12.75" hidden="false" customHeight="false" outlineLevel="0" collapsed="false">
      <c r="A117" s="279"/>
    </row>
    <row r="118" customFormat="false" ht="12.75" hidden="false" customHeight="false" outlineLevel="0" collapsed="false">
      <c r="A118" s="279"/>
    </row>
    <row r="119" customFormat="false" ht="12.75" hidden="false" customHeight="false" outlineLevel="0" collapsed="false">
      <c r="A119" s="279"/>
    </row>
  </sheetData>
  <mergeCells count="6">
    <mergeCell ref="A1:K1"/>
    <mergeCell ref="A2:K2"/>
    <mergeCell ref="A3:K3"/>
    <mergeCell ref="A4:K4"/>
    <mergeCell ref="I6:K6"/>
    <mergeCell ref="I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241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 t="s">
        <v>246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A5" s="271"/>
      <c r="B5" s="271"/>
      <c r="C5" s="271"/>
    </row>
    <row r="6" customFormat="false" ht="12.75" hidden="false" customHeight="false" outlineLevel="0" collapsed="false">
      <c r="A6" s="163" t="s">
        <v>129</v>
      </c>
      <c r="B6" s="164" t="s">
        <v>6</v>
      </c>
      <c r="C6" s="164" t="s">
        <v>6</v>
      </c>
      <c r="D6" s="161" t="s">
        <v>30</v>
      </c>
      <c r="E6" s="161"/>
      <c r="F6" s="161" t="s">
        <v>183</v>
      </c>
      <c r="G6" s="161" t="s">
        <v>50</v>
      </c>
      <c r="H6" s="161"/>
      <c r="I6" s="272" t="s">
        <v>131</v>
      </c>
      <c r="J6" s="272"/>
      <c r="K6" s="27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132</v>
      </c>
      <c r="E7" s="164"/>
      <c r="F7" s="164" t="s">
        <v>243</v>
      </c>
      <c r="G7" s="164" t="s">
        <v>141</v>
      </c>
      <c r="H7" s="164"/>
      <c r="I7" s="171" t="s">
        <v>131</v>
      </c>
      <c r="J7" s="171"/>
      <c r="K7" s="171"/>
    </row>
    <row r="8" customFormat="false" ht="12.75" hidden="false" customHeight="false" outlineLevel="0" collapsed="false">
      <c r="A8" s="273"/>
      <c r="B8" s="273"/>
      <c r="C8" s="273"/>
      <c r="D8" s="164" t="s">
        <v>17</v>
      </c>
      <c r="E8" s="164"/>
      <c r="F8" s="164"/>
      <c r="G8" s="164" t="s">
        <v>17</v>
      </c>
      <c r="H8" s="164"/>
      <c r="I8" s="164" t="s">
        <v>23</v>
      </c>
      <c r="J8" s="164" t="s">
        <v>24</v>
      </c>
      <c r="K8" s="165" t="s">
        <v>25</v>
      </c>
    </row>
    <row r="9" customFormat="false" ht="12.75" hidden="false" customHeight="false" outlineLevel="0" collapsed="false">
      <c r="A9" s="163"/>
      <c r="B9" s="164"/>
      <c r="C9" s="164"/>
      <c r="D9" s="164"/>
      <c r="E9" s="164"/>
      <c r="F9" s="164"/>
      <c r="G9" s="164" t="s">
        <v>247</v>
      </c>
      <c r="H9" s="164"/>
      <c r="I9" s="164"/>
      <c r="J9" s="164"/>
      <c r="K9" s="165"/>
    </row>
    <row r="10" customFormat="false" ht="12.75" hidden="false" customHeight="false" outlineLevel="0" collapsed="false">
      <c r="A10" s="166"/>
      <c r="B10" s="167"/>
      <c r="C10" s="167"/>
      <c r="D10" s="274"/>
      <c r="E10" s="167"/>
      <c r="F10" s="167"/>
      <c r="G10" s="169" t="s">
        <v>248</v>
      </c>
      <c r="H10" s="170" t="s">
        <v>10</v>
      </c>
      <c r="I10" s="170" t="s">
        <v>136</v>
      </c>
      <c r="J10" s="170" t="s">
        <v>136</v>
      </c>
      <c r="K10" s="171" t="s">
        <v>136</v>
      </c>
    </row>
    <row r="11" customFormat="false" ht="12.75" hidden="false" customHeight="false" outlineLevel="0" collapsed="false">
      <c r="A11" s="275" t="n">
        <v>36848</v>
      </c>
      <c r="B11" s="173"/>
      <c r="C11" s="174" t="s">
        <v>50</v>
      </c>
      <c r="D11" s="175" t="n">
        <v>5.855</v>
      </c>
      <c r="E11" s="173"/>
      <c r="F11" s="176" t="n">
        <v>9615</v>
      </c>
      <c r="G11" s="175"/>
      <c r="H11" s="175"/>
      <c r="I11" s="177" t="n">
        <f aca="false">+D11*F11</f>
        <v>56295.825</v>
      </c>
      <c r="J11" s="178" t="n">
        <f aca="false">+I11</f>
        <v>56295.825</v>
      </c>
      <c r="K11" s="178"/>
    </row>
    <row r="12" customFormat="false" ht="12.75" hidden="false" customHeight="false" outlineLevel="0" collapsed="false">
      <c r="A12" s="275" t="n">
        <f aca="false">+A11+1</f>
        <v>36849</v>
      </c>
      <c r="B12" s="173"/>
      <c r="C12" s="174" t="s">
        <v>50</v>
      </c>
      <c r="D12" s="175" t="n">
        <v>5.855</v>
      </c>
      <c r="E12" s="173"/>
      <c r="F12" s="176" t="n">
        <v>9615</v>
      </c>
      <c r="G12" s="175"/>
      <c r="H12" s="175"/>
      <c r="I12" s="177" t="n">
        <f aca="false">+D12*F12</f>
        <v>56295.825</v>
      </c>
      <c r="J12" s="178" t="n">
        <f aca="false">+I12</f>
        <v>56295.825</v>
      </c>
      <c r="K12" s="178"/>
    </row>
    <row r="13" customFormat="false" ht="12.75" hidden="false" customHeight="false" outlineLevel="0" collapsed="false">
      <c r="A13" s="275" t="n">
        <f aca="false">+A12+1</f>
        <v>36850</v>
      </c>
      <c r="B13" s="173"/>
      <c r="C13" s="174" t="s">
        <v>50</v>
      </c>
      <c r="D13" s="175" t="n">
        <v>5.855</v>
      </c>
      <c r="E13" s="173"/>
      <c r="F13" s="176" t="n">
        <v>9615</v>
      </c>
      <c r="G13" s="175"/>
      <c r="H13" s="175"/>
      <c r="I13" s="177" t="n">
        <f aca="false">+D13*F13</f>
        <v>56295.825</v>
      </c>
      <c r="J13" s="178" t="n">
        <f aca="false">+I13</f>
        <v>56295.825</v>
      </c>
      <c r="K13" s="178"/>
    </row>
    <row r="14" customFormat="false" ht="12.75" hidden="false" customHeight="false" outlineLevel="0" collapsed="false">
      <c r="A14" s="275" t="n">
        <f aca="false">+A13+1</f>
        <v>36851</v>
      </c>
      <c r="B14" s="173"/>
      <c r="C14" s="174" t="s">
        <v>50</v>
      </c>
      <c r="D14" s="175" t="n">
        <v>5.855</v>
      </c>
      <c r="E14" s="173"/>
      <c r="F14" s="176" t="n">
        <v>9615</v>
      </c>
      <c r="G14" s="175"/>
      <c r="H14" s="175"/>
      <c r="I14" s="177" t="n">
        <f aca="false">+D14*F14</f>
        <v>56295.825</v>
      </c>
      <c r="J14" s="178" t="n">
        <f aca="false">+I14</f>
        <v>56295.825</v>
      </c>
      <c r="K14" s="178"/>
    </row>
    <row r="15" customFormat="false" ht="12.75" hidden="false" customHeight="false" outlineLevel="0" collapsed="false">
      <c r="A15" s="275" t="n">
        <f aca="false">+A14+1</f>
        <v>36852</v>
      </c>
      <c r="B15" s="173"/>
      <c r="C15" s="174" t="s">
        <v>50</v>
      </c>
      <c r="D15" s="175" t="n">
        <v>5.855</v>
      </c>
      <c r="E15" s="173"/>
      <c r="F15" s="176" t="n">
        <v>9615</v>
      </c>
      <c r="G15" s="175"/>
      <c r="H15" s="175"/>
      <c r="I15" s="177" t="n">
        <f aca="false">+D15*F15</f>
        <v>56295.825</v>
      </c>
      <c r="J15" s="178" t="n">
        <f aca="false">+I15</f>
        <v>56295.825</v>
      </c>
      <c r="K15" s="178"/>
    </row>
    <row r="16" customFormat="false" ht="12.75" hidden="false" customHeight="false" outlineLevel="0" collapsed="false">
      <c r="A16" s="275" t="n">
        <f aca="false">+A15+1</f>
        <v>36853</v>
      </c>
      <c r="B16" s="173"/>
      <c r="C16" s="174" t="s">
        <v>50</v>
      </c>
      <c r="D16" s="175" t="n">
        <v>5.855</v>
      </c>
      <c r="E16" s="173"/>
      <c r="F16" s="176" t="n">
        <v>9615</v>
      </c>
      <c r="G16" s="175"/>
      <c r="H16" s="175"/>
      <c r="I16" s="177" t="n">
        <f aca="false">+D16*F16</f>
        <v>56295.825</v>
      </c>
      <c r="J16" s="178" t="n">
        <f aca="false">+I16</f>
        <v>56295.825</v>
      </c>
      <c r="K16" s="178"/>
    </row>
    <row r="17" customFormat="false" ht="12.75" hidden="false" customHeight="false" outlineLevel="0" collapsed="false">
      <c r="A17" s="275" t="n">
        <f aca="false">+A16+1</f>
        <v>36854</v>
      </c>
      <c r="B17" s="173"/>
      <c r="C17" s="174" t="s">
        <v>50</v>
      </c>
      <c r="D17" s="175" t="n">
        <v>5.855</v>
      </c>
      <c r="E17" s="173"/>
      <c r="F17" s="176" t="n">
        <v>9615</v>
      </c>
      <c r="G17" s="175"/>
      <c r="H17" s="175"/>
      <c r="I17" s="177" t="n">
        <f aca="false">+D17*F17</f>
        <v>56295.825</v>
      </c>
      <c r="J17" s="178" t="n">
        <f aca="false">+I17</f>
        <v>56295.825</v>
      </c>
      <c r="K17" s="178"/>
    </row>
    <row r="18" customFormat="false" ht="12.75" hidden="false" customHeight="false" outlineLevel="0" collapsed="false">
      <c r="A18" s="275" t="n">
        <f aca="false">+A17+1</f>
        <v>36855</v>
      </c>
      <c r="B18" s="173"/>
      <c r="C18" s="174" t="s">
        <v>50</v>
      </c>
      <c r="D18" s="175" t="n">
        <v>5.855</v>
      </c>
      <c r="E18" s="173"/>
      <c r="F18" s="176" t="n">
        <v>9615</v>
      </c>
      <c r="G18" s="175"/>
      <c r="H18" s="175"/>
      <c r="I18" s="177" t="n">
        <f aca="false">+D18*F18</f>
        <v>56295.825</v>
      </c>
      <c r="J18" s="178" t="n">
        <f aca="false">+I18</f>
        <v>56295.825</v>
      </c>
      <c r="K18" s="178"/>
    </row>
    <row r="19" customFormat="false" ht="12.75" hidden="false" customHeight="false" outlineLevel="0" collapsed="false">
      <c r="A19" s="275" t="n">
        <f aca="false">+A18+1</f>
        <v>36856</v>
      </c>
      <c r="B19" s="173"/>
      <c r="C19" s="174" t="s">
        <v>50</v>
      </c>
      <c r="D19" s="175" t="n">
        <v>5.855</v>
      </c>
      <c r="E19" s="173"/>
      <c r="F19" s="176" t="n">
        <v>9615</v>
      </c>
      <c r="G19" s="175"/>
      <c r="H19" s="175"/>
      <c r="I19" s="177" t="n">
        <f aca="false">+D19*F19</f>
        <v>56295.825</v>
      </c>
      <c r="J19" s="178" t="n">
        <f aca="false">+I19</f>
        <v>56295.825</v>
      </c>
      <c r="K19" s="178"/>
    </row>
    <row r="20" customFormat="false" ht="12.75" hidden="false" customHeight="false" outlineLevel="0" collapsed="false">
      <c r="A20" s="275" t="n">
        <f aca="false">+A19+1</f>
        <v>36857</v>
      </c>
      <c r="B20" s="173"/>
      <c r="C20" s="174" t="s">
        <v>50</v>
      </c>
      <c r="D20" s="175" t="n">
        <v>5.855</v>
      </c>
      <c r="E20" s="173"/>
      <c r="F20" s="176" t="n">
        <v>9615</v>
      </c>
      <c r="G20" s="175"/>
      <c r="H20" s="175"/>
      <c r="I20" s="177" t="n">
        <f aca="false">+D20*F20</f>
        <v>56295.825</v>
      </c>
      <c r="J20" s="178" t="n">
        <f aca="false">+I20</f>
        <v>56295.825</v>
      </c>
      <c r="K20" s="178"/>
    </row>
    <row r="21" customFormat="false" ht="12.75" hidden="false" customHeight="false" outlineLevel="0" collapsed="false">
      <c r="A21" s="275" t="n">
        <f aca="false">+A20+1</f>
        <v>36858</v>
      </c>
      <c r="B21" s="173"/>
      <c r="C21" s="174" t="s">
        <v>50</v>
      </c>
      <c r="D21" s="175" t="n">
        <v>5.855</v>
      </c>
      <c r="E21" s="173"/>
      <c r="F21" s="176" t="n">
        <v>9615</v>
      </c>
      <c r="G21" s="175"/>
      <c r="H21" s="175"/>
      <c r="I21" s="177" t="n">
        <f aca="false">+D21*F21</f>
        <v>56295.825</v>
      </c>
      <c r="J21" s="178" t="n">
        <f aca="false">+I21</f>
        <v>56295.825</v>
      </c>
      <c r="K21" s="178"/>
    </row>
    <row r="22" customFormat="false" ht="12.75" hidden="false" customHeight="false" outlineLevel="0" collapsed="false">
      <c r="A22" s="275" t="n">
        <f aca="false">+A21+1</f>
        <v>36859</v>
      </c>
      <c r="B22" s="173"/>
      <c r="C22" s="174" t="s">
        <v>50</v>
      </c>
      <c r="D22" s="175" t="n">
        <v>5.855</v>
      </c>
      <c r="E22" s="173"/>
      <c r="F22" s="176" t="n">
        <v>9615</v>
      </c>
      <c r="G22" s="175"/>
      <c r="H22" s="175"/>
      <c r="I22" s="177" t="n">
        <f aca="false">+D22*F22</f>
        <v>56295.825</v>
      </c>
      <c r="J22" s="178" t="n">
        <f aca="false">+I22</f>
        <v>56295.825</v>
      </c>
      <c r="K22" s="178"/>
    </row>
    <row r="23" customFormat="false" ht="12.75" hidden="false" customHeight="false" outlineLevel="0" collapsed="false">
      <c r="A23" s="275" t="n">
        <f aca="false">+A22+1</f>
        <v>36860</v>
      </c>
      <c r="B23" s="173"/>
      <c r="C23" s="174" t="s">
        <v>50</v>
      </c>
      <c r="D23" s="175" t="n">
        <v>5.855</v>
      </c>
      <c r="E23" s="173"/>
      <c r="F23" s="176" t="n">
        <v>9615</v>
      </c>
      <c r="G23" s="173"/>
      <c r="H23" s="175"/>
      <c r="I23" s="177" t="n">
        <f aca="false">+D23*F23</f>
        <v>56295.825</v>
      </c>
      <c r="J23" s="178" t="n">
        <f aca="false">+I23</f>
        <v>56295.825</v>
      </c>
      <c r="K23" s="178"/>
    </row>
    <row r="24" customFormat="false" ht="12.75" hidden="false" customHeight="false" outlineLevel="0" collapsed="false">
      <c r="A24" s="275"/>
      <c r="B24" s="173"/>
      <c r="C24" s="173"/>
      <c r="D24" s="173"/>
      <c r="E24" s="173"/>
      <c r="F24" s="180" t="n">
        <f aca="false">SUM(F11:F23)</f>
        <v>124995</v>
      </c>
      <c r="G24" s="173"/>
      <c r="H24" s="173"/>
      <c r="I24" s="181" t="n">
        <f aca="false">SUM(I11:I23)</f>
        <v>731845.725</v>
      </c>
      <c r="J24" s="181" t="n">
        <f aca="false">SUM(J11:J23)</f>
        <v>731845.725</v>
      </c>
      <c r="K24" s="181" t="n">
        <f aca="false">SUM(K11:K23)</f>
        <v>0</v>
      </c>
    </row>
    <row r="25" customFormat="false" ht="12.75" hidden="false" customHeight="false" outlineLevel="0" collapsed="false">
      <c r="A25" s="275"/>
      <c r="B25" s="173"/>
      <c r="C25" s="173"/>
      <c r="D25" s="173"/>
      <c r="E25" s="173"/>
      <c r="F25" s="182"/>
      <c r="G25" s="173"/>
      <c r="H25" s="173"/>
      <c r="I25" s="183"/>
      <c r="J25" s="184"/>
      <c r="K25" s="184"/>
    </row>
    <row r="26" customFormat="false" ht="12.75" hidden="false" customHeight="false" outlineLevel="0" collapsed="false">
      <c r="A26" s="275"/>
      <c r="B26" s="173"/>
      <c r="C26" s="173"/>
      <c r="D26" s="173"/>
      <c r="E26" s="173"/>
      <c r="F26" s="280"/>
      <c r="G26" s="207"/>
      <c r="H26" s="173"/>
      <c r="I26" s="184"/>
      <c r="J26" s="184"/>
      <c r="K26" s="184"/>
    </row>
    <row r="27" customFormat="false" ht="12.75" hidden="false" customHeight="false" outlineLevel="0" collapsed="false">
      <c r="A27" s="275" t="n">
        <v>36848</v>
      </c>
      <c r="B27" s="173"/>
      <c r="C27" s="174" t="s">
        <v>30</v>
      </c>
      <c r="D27" s="175"/>
      <c r="E27" s="173"/>
      <c r="F27" s="176" t="n">
        <v>-9615</v>
      </c>
      <c r="G27" s="175" t="n">
        <v>5.635</v>
      </c>
      <c r="H27" s="175"/>
      <c r="I27" s="177" t="n">
        <f aca="false">+G27*F27</f>
        <v>-54180.525</v>
      </c>
      <c r="J27" s="178" t="n">
        <f aca="false">+I27</f>
        <v>-54180.525</v>
      </c>
      <c r="K27" s="178"/>
    </row>
    <row r="28" customFormat="false" ht="12.75" hidden="false" customHeight="false" outlineLevel="0" collapsed="false">
      <c r="A28" s="275" t="n">
        <f aca="false">+A27+1</f>
        <v>36849</v>
      </c>
      <c r="B28" s="173"/>
      <c r="C28" s="174" t="s">
        <v>30</v>
      </c>
      <c r="D28" s="175"/>
      <c r="E28" s="173"/>
      <c r="F28" s="176" t="n">
        <v>-9615</v>
      </c>
      <c r="G28" s="175" t="n">
        <v>5.635</v>
      </c>
      <c r="H28" s="175"/>
      <c r="I28" s="177" t="n">
        <f aca="false">+G28*F28</f>
        <v>-54180.525</v>
      </c>
      <c r="J28" s="178" t="n">
        <f aca="false">+I28</f>
        <v>-54180.525</v>
      </c>
      <c r="K28" s="178"/>
    </row>
    <row r="29" customFormat="false" ht="12.75" hidden="false" customHeight="false" outlineLevel="0" collapsed="false">
      <c r="A29" s="275" t="n">
        <f aca="false">+A28+1</f>
        <v>36850</v>
      </c>
      <c r="B29" s="173"/>
      <c r="C29" s="174" t="s">
        <v>30</v>
      </c>
      <c r="D29" s="175"/>
      <c r="E29" s="173"/>
      <c r="F29" s="176" t="n">
        <v>-9615</v>
      </c>
      <c r="G29" s="175" t="n">
        <v>5.635</v>
      </c>
      <c r="H29" s="175"/>
      <c r="I29" s="177" t="n">
        <f aca="false">+G29*F29</f>
        <v>-54180.525</v>
      </c>
      <c r="J29" s="178" t="n">
        <f aca="false">+I29</f>
        <v>-54180.525</v>
      </c>
      <c r="K29" s="178"/>
    </row>
    <row r="30" customFormat="false" ht="12.75" hidden="false" customHeight="false" outlineLevel="0" collapsed="false">
      <c r="A30" s="275" t="n">
        <f aca="false">+A29+1</f>
        <v>36851</v>
      </c>
      <c r="B30" s="173"/>
      <c r="C30" s="174" t="s">
        <v>30</v>
      </c>
      <c r="D30" s="175"/>
      <c r="E30" s="173"/>
      <c r="F30" s="176" t="n">
        <v>-9615</v>
      </c>
      <c r="G30" s="175" t="n">
        <v>6.235</v>
      </c>
      <c r="H30" s="175"/>
      <c r="I30" s="177" t="n">
        <f aca="false">+G30*F30</f>
        <v>-59949.525</v>
      </c>
      <c r="J30" s="178" t="n">
        <f aca="false">+I30</f>
        <v>-59949.525</v>
      </c>
      <c r="K30" s="178"/>
    </row>
    <row r="31" customFormat="false" ht="12.75" hidden="false" customHeight="false" outlineLevel="0" collapsed="false">
      <c r="A31" s="275" t="n">
        <f aca="false">+A30+1</f>
        <v>36852</v>
      </c>
      <c r="B31" s="173"/>
      <c r="C31" s="174" t="s">
        <v>30</v>
      </c>
      <c r="D31" s="175"/>
      <c r="E31" s="173"/>
      <c r="F31" s="176" t="n">
        <v>-9615</v>
      </c>
      <c r="G31" s="175" t="n">
        <v>6.34</v>
      </c>
      <c r="H31" s="175"/>
      <c r="I31" s="177" t="n">
        <f aca="false">+G31*F31</f>
        <v>-60959.1</v>
      </c>
      <c r="J31" s="178" t="n">
        <f aca="false">+I31</f>
        <v>-60959.1</v>
      </c>
      <c r="K31" s="178"/>
    </row>
    <row r="32" customFormat="false" ht="12.75" hidden="false" customHeight="false" outlineLevel="0" collapsed="false">
      <c r="A32" s="275" t="n">
        <f aca="false">+A31+1</f>
        <v>36853</v>
      </c>
      <c r="B32" s="173"/>
      <c r="C32" s="174" t="s">
        <v>30</v>
      </c>
      <c r="D32" s="175"/>
      <c r="E32" s="173"/>
      <c r="F32" s="176" t="n">
        <v>-9615</v>
      </c>
      <c r="G32" s="175" t="n">
        <v>6.315</v>
      </c>
      <c r="H32" s="175"/>
      <c r="I32" s="177" t="n">
        <f aca="false">+G32*F32</f>
        <v>-60718.725</v>
      </c>
      <c r="J32" s="178" t="n">
        <f aca="false">+I32</f>
        <v>-60718.725</v>
      </c>
      <c r="K32" s="178"/>
    </row>
    <row r="33" customFormat="false" ht="12.75" hidden="false" customHeight="false" outlineLevel="0" collapsed="false">
      <c r="A33" s="275" t="n">
        <f aca="false">+A32+1</f>
        <v>36854</v>
      </c>
      <c r="B33" s="173"/>
      <c r="C33" s="174" t="s">
        <v>30</v>
      </c>
      <c r="D33" s="175"/>
      <c r="E33" s="173"/>
      <c r="F33" s="176" t="n">
        <v>-9615</v>
      </c>
      <c r="G33" s="175" t="n">
        <v>6.315</v>
      </c>
      <c r="H33" s="175"/>
      <c r="I33" s="177" t="n">
        <f aca="false">+G33*F33</f>
        <v>-60718.725</v>
      </c>
      <c r="J33" s="178" t="n">
        <f aca="false">+I33</f>
        <v>-60718.725</v>
      </c>
      <c r="K33" s="178"/>
    </row>
    <row r="34" customFormat="false" ht="12.75" hidden="false" customHeight="false" outlineLevel="0" collapsed="false">
      <c r="A34" s="275" t="n">
        <f aca="false">+A33+1</f>
        <v>36855</v>
      </c>
      <c r="B34" s="173"/>
      <c r="C34" s="174" t="s">
        <v>30</v>
      </c>
      <c r="D34" s="175"/>
      <c r="E34" s="173"/>
      <c r="F34" s="176" t="n">
        <v>-9615</v>
      </c>
      <c r="G34" s="175" t="n">
        <v>6.315</v>
      </c>
      <c r="H34" s="175"/>
      <c r="I34" s="177" t="n">
        <f aca="false">+G34*F34</f>
        <v>-60718.725</v>
      </c>
      <c r="J34" s="178" t="n">
        <f aca="false">+I34</f>
        <v>-60718.725</v>
      </c>
      <c r="K34" s="178"/>
    </row>
    <row r="35" customFormat="false" ht="12.75" hidden="false" customHeight="false" outlineLevel="0" collapsed="false">
      <c r="A35" s="275" t="n">
        <f aca="false">+A34+1</f>
        <v>36856</v>
      </c>
      <c r="B35" s="173"/>
      <c r="C35" s="174" t="s">
        <v>30</v>
      </c>
      <c r="D35" s="175"/>
      <c r="E35" s="173"/>
      <c r="F35" s="176" t="n">
        <v>-9615</v>
      </c>
      <c r="G35" s="175" t="n">
        <v>6.315</v>
      </c>
      <c r="H35" s="175"/>
      <c r="I35" s="177" t="n">
        <f aca="false">+G35*F35</f>
        <v>-60718.725</v>
      </c>
      <c r="J35" s="178" t="n">
        <f aca="false">+I35</f>
        <v>-60718.725</v>
      </c>
      <c r="K35" s="178"/>
    </row>
    <row r="36" customFormat="false" ht="12.75" hidden="false" customHeight="false" outlineLevel="0" collapsed="false">
      <c r="A36" s="275" t="n">
        <f aca="false">+A35+1</f>
        <v>36857</v>
      </c>
      <c r="B36" s="173"/>
      <c r="C36" s="174" t="s">
        <v>30</v>
      </c>
      <c r="D36" s="175"/>
      <c r="E36" s="173"/>
      <c r="F36" s="176" t="n">
        <v>-9615</v>
      </c>
      <c r="G36" s="175" t="n">
        <v>6.315</v>
      </c>
      <c r="H36" s="175"/>
      <c r="I36" s="177" t="n">
        <f aca="false">+G36*F36</f>
        <v>-60718.725</v>
      </c>
      <c r="J36" s="178" t="n">
        <f aca="false">+I36</f>
        <v>-60718.725</v>
      </c>
      <c r="K36" s="178"/>
    </row>
    <row r="37" customFormat="false" ht="12.75" hidden="false" customHeight="false" outlineLevel="0" collapsed="false">
      <c r="A37" s="275" t="n">
        <f aca="false">+A36+1</f>
        <v>36858</v>
      </c>
      <c r="B37" s="173"/>
      <c r="C37" s="174" t="s">
        <v>30</v>
      </c>
      <c r="D37" s="175"/>
      <c r="E37" s="173"/>
      <c r="F37" s="176" t="n">
        <v>-9615</v>
      </c>
      <c r="G37" s="175" t="n">
        <v>6.245</v>
      </c>
      <c r="H37" s="175"/>
      <c r="I37" s="177" t="n">
        <f aca="false">+G37*F37</f>
        <v>-60045.675</v>
      </c>
      <c r="J37" s="178" t="n">
        <f aca="false">+I37</f>
        <v>-60045.675</v>
      </c>
      <c r="K37" s="178"/>
    </row>
    <row r="38" customFormat="false" ht="12.75" hidden="false" customHeight="false" outlineLevel="0" collapsed="false">
      <c r="A38" s="275" t="n">
        <f aca="false">+A37+1</f>
        <v>36859</v>
      </c>
      <c r="B38" s="173"/>
      <c r="C38" s="174" t="s">
        <v>30</v>
      </c>
      <c r="D38" s="175"/>
      <c r="E38" s="173"/>
      <c r="F38" s="176" t="n">
        <v>-9615</v>
      </c>
      <c r="G38" s="175" t="n">
        <v>5.925</v>
      </c>
      <c r="H38" s="175"/>
      <c r="I38" s="177" t="n">
        <f aca="false">+G38*F38</f>
        <v>-56968.875</v>
      </c>
      <c r="J38" s="178" t="n">
        <f aca="false">+I38</f>
        <v>-56968.875</v>
      </c>
      <c r="K38" s="178"/>
    </row>
    <row r="39" customFormat="false" ht="12.75" hidden="false" customHeight="false" outlineLevel="0" collapsed="false">
      <c r="A39" s="275" t="n">
        <f aca="false">+A38+1</f>
        <v>36860</v>
      </c>
      <c r="B39" s="173"/>
      <c r="C39" s="174" t="s">
        <v>30</v>
      </c>
      <c r="D39" s="175"/>
      <c r="E39" s="173"/>
      <c r="F39" s="176" t="n">
        <v>-9615</v>
      </c>
      <c r="G39" s="175" t="n">
        <v>5.95</v>
      </c>
      <c r="H39" s="175"/>
      <c r="I39" s="177" t="n">
        <f aca="false">+G39*F39</f>
        <v>-57209.25</v>
      </c>
      <c r="J39" s="178" t="n">
        <f aca="false">+I39</f>
        <v>-57209.25</v>
      </c>
      <c r="K39" s="178"/>
    </row>
    <row r="40" customFormat="false" ht="12.75" hidden="false" customHeight="false" outlineLevel="0" collapsed="false">
      <c r="A40" s="275"/>
      <c r="B40" s="173"/>
      <c r="C40" s="173"/>
      <c r="D40" s="173"/>
      <c r="E40" s="173"/>
      <c r="F40" s="180" t="n">
        <f aca="false">SUM(F27:F39)</f>
        <v>-124995</v>
      </c>
      <c r="G40" s="173"/>
      <c r="H40" s="173"/>
      <c r="I40" s="181" t="n">
        <f aca="false">SUM(I27:I39)</f>
        <v>-761267.625</v>
      </c>
      <c r="J40" s="181" t="n">
        <f aca="false">SUM(J27:J39)</f>
        <v>-761267.625</v>
      </c>
      <c r="K40" s="181" t="n">
        <f aca="false">SUM(K27:K39)</f>
        <v>0</v>
      </c>
    </row>
    <row r="41" customFormat="false" ht="12.75" hidden="false" customHeight="false" outlineLevel="0" collapsed="false">
      <c r="A41" s="275"/>
      <c r="B41" s="173"/>
      <c r="C41" s="173"/>
      <c r="D41" s="173"/>
      <c r="E41" s="173"/>
      <c r="F41" s="280"/>
      <c r="G41" s="207"/>
      <c r="H41" s="173"/>
      <c r="I41" s="184"/>
      <c r="J41" s="184"/>
      <c r="K41" s="184"/>
    </row>
    <row r="42" customFormat="false" ht="13.5" hidden="false" customHeight="false" outlineLevel="0" collapsed="false">
      <c r="A42" s="275"/>
      <c r="B42" s="173"/>
      <c r="C42" s="173"/>
      <c r="D42" s="173"/>
      <c r="E42" s="173"/>
      <c r="F42" s="190" t="n">
        <f aca="false">+F40+F24</f>
        <v>0</v>
      </c>
      <c r="G42" s="207"/>
      <c r="H42" s="173"/>
      <c r="I42" s="276" t="n">
        <f aca="false">+I40+I24</f>
        <v>-29421.9</v>
      </c>
      <c r="J42" s="281" t="n">
        <f aca="false">+J40+J24</f>
        <v>-29421.9</v>
      </c>
      <c r="K42" s="281" t="n">
        <f aca="false">+K40+K24</f>
        <v>0</v>
      </c>
    </row>
    <row r="43" customFormat="false" ht="13.5" hidden="false" customHeight="false" outlineLevel="0" collapsed="false">
      <c r="A43" s="275"/>
      <c r="B43" s="173"/>
      <c r="C43" s="173"/>
      <c r="D43" s="173"/>
      <c r="E43" s="173"/>
      <c r="F43" s="280"/>
      <c r="G43" s="207"/>
      <c r="H43" s="173"/>
      <c r="I43" s="184"/>
      <c r="J43" s="184"/>
      <c r="K43" s="184"/>
    </row>
    <row r="44" customFormat="false" ht="12.75" hidden="false" customHeight="false" outlineLevel="0" collapsed="false">
      <c r="A44" s="275"/>
      <c r="B44" s="173"/>
      <c r="C44" s="173"/>
      <c r="D44" s="173"/>
      <c r="E44" s="173"/>
      <c r="F44" s="280"/>
      <c r="G44" s="207"/>
      <c r="H44" s="173"/>
      <c r="I44" s="184"/>
      <c r="J44" s="184"/>
      <c r="K44" s="184"/>
    </row>
    <row r="45" customFormat="false" ht="12.75" hidden="false" customHeight="false" outlineLevel="0" collapsed="false">
      <c r="A45" s="275"/>
      <c r="B45" s="173"/>
      <c r="C45" s="173"/>
      <c r="D45" s="173"/>
      <c r="E45" s="173"/>
      <c r="F45" s="280"/>
      <c r="G45" s="207"/>
      <c r="H45" s="173"/>
      <c r="I45" s="184"/>
      <c r="J45" s="184"/>
      <c r="K45" s="184"/>
    </row>
    <row r="46" customFormat="false" ht="12.75" hidden="false" customHeight="false" outlineLevel="0" collapsed="false">
      <c r="A46" s="275"/>
      <c r="B46" s="173"/>
      <c r="C46" s="173"/>
      <c r="D46" s="173"/>
      <c r="E46" s="173"/>
      <c r="F46" s="207"/>
      <c r="G46" s="202"/>
      <c r="H46" s="186"/>
      <c r="I46" s="179"/>
      <c r="J46" s="179"/>
      <c r="K46" s="179"/>
    </row>
    <row r="47" customFormat="false" ht="12.75" hidden="false" customHeight="false" outlineLevel="0" collapsed="false">
      <c r="A47" s="275"/>
      <c r="B47" s="173"/>
      <c r="C47" s="174"/>
      <c r="D47" s="175"/>
      <c r="E47" s="173"/>
      <c r="F47" s="176"/>
      <c r="G47" s="175"/>
      <c r="H47" s="175"/>
      <c r="I47" s="177"/>
      <c r="J47" s="178"/>
      <c r="K47" s="178"/>
    </row>
    <row r="48" customFormat="false" ht="12.75" hidden="false" customHeight="false" outlineLevel="0" collapsed="false">
      <c r="A48" s="277"/>
      <c r="B48" s="192"/>
      <c r="C48" s="278"/>
      <c r="D48" s="270"/>
      <c r="E48" s="192"/>
      <c r="F48" s="196"/>
      <c r="G48" s="270"/>
      <c r="H48" s="270"/>
      <c r="I48" s="197"/>
      <c r="J48" s="264"/>
      <c r="K48" s="264"/>
    </row>
    <row r="49" customFormat="false" ht="12.75" hidden="false" customHeight="false" outlineLevel="0" collapsed="false">
      <c r="A49" s="279"/>
    </row>
    <row r="50" customFormat="false" ht="12.75" hidden="false" customHeight="false" outlineLevel="0" collapsed="false">
      <c r="A50" s="279"/>
    </row>
    <row r="51" customFormat="false" ht="12.75" hidden="false" customHeight="false" outlineLevel="0" collapsed="false">
      <c r="A51" s="279"/>
    </row>
    <row r="52" customFormat="false" ht="12.75" hidden="false" customHeight="false" outlineLevel="0" collapsed="false">
      <c r="A52" s="279"/>
    </row>
    <row r="53" customFormat="false" ht="12.75" hidden="false" customHeight="false" outlineLevel="0" collapsed="false">
      <c r="A53" s="279"/>
    </row>
    <row r="54" customFormat="false" ht="12.75" hidden="false" customHeight="false" outlineLevel="0" collapsed="false">
      <c r="A54" s="279"/>
    </row>
    <row r="55" customFormat="false" ht="12.75" hidden="false" customHeight="false" outlineLevel="0" collapsed="false">
      <c r="A55" s="279"/>
    </row>
    <row r="56" customFormat="false" ht="12.75" hidden="false" customHeight="false" outlineLevel="0" collapsed="false">
      <c r="A56" s="279"/>
    </row>
    <row r="57" customFormat="false" ht="12.75" hidden="false" customHeight="false" outlineLevel="0" collapsed="false">
      <c r="A57" s="279"/>
    </row>
    <row r="58" customFormat="false" ht="12.75" hidden="false" customHeight="false" outlineLevel="0" collapsed="false">
      <c r="A58" s="279"/>
    </row>
    <row r="59" customFormat="false" ht="12.75" hidden="false" customHeight="false" outlineLevel="0" collapsed="false">
      <c r="A59" s="279"/>
    </row>
    <row r="60" customFormat="false" ht="12.75" hidden="false" customHeight="false" outlineLevel="0" collapsed="false">
      <c r="A60" s="279"/>
    </row>
    <row r="61" customFormat="false" ht="12.75" hidden="false" customHeight="false" outlineLevel="0" collapsed="false">
      <c r="A61" s="279"/>
    </row>
    <row r="62" customFormat="false" ht="12.75" hidden="false" customHeight="false" outlineLevel="0" collapsed="false">
      <c r="A62" s="279"/>
    </row>
    <row r="63" customFormat="false" ht="12.75" hidden="false" customHeight="false" outlineLevel="0" collapsed="false">
      <c r="A63" s="279"/>
    </row>
    <row r="64" customFormat="false" ht="12.75" hidden="false" customHeight="false" outlineLevel="0" collapsed="false">
      <c r="A64" s="279"/>
    </row>
    <row r="65" customFormat="false" ht="12.75" hidden="false" customHeight="false" outlineLevel="0" collapsed="false">
      <c r="A65" s="279"/>
    </row>
    <row r="66" customFormat="false" ht="12.75" hidden="false" customHeight="false" outlineLevel="0" collapsed="false">
      <c r="A66" s="279"/>
    </row>
    <row r="67" customFormat="false" ht="12.75" hidden="false" customHeight="false" outlineLevel="0" collapsed="false">
      <c r="A67" s="279"/>
    </row>
    <row r="68" customFormat="false" ht="12.75" hidden="false" customHeight="false" outlineLevel="0" collapsed="false">
      <c r="A68" s="279"/>
    </row>
    <row r="69" customFormat="false" ht="12.75" hidden="false" customHeight="false" outlineLevel="0" collapsed="false">
      <c r="A69" s="279"/>
    </row>
    <row r="70" customFormat="false" ht="12.75" hidden="false" customHeight="false" outlineLevel="0" collapsed="false">
      <c r="A70" s="279"/>
    </row>
    <row r="71" customFormat="false" ht="12.75" hidden="false" customHeight="false" outlineLevel="0" collapsed="false">
      <c r="A71" s="279"/>
    </row>
    <row r="72" customFormat="false" ht="12.75" hidden="false" customHeight="false" outlineLevel="0" collapsed="false">
      <c r="A72" s="279"/>
    </row>
    <row r="73" customFormat="false" ht="12.75" hidden="false" customHeight="false" outlineLevel="0" collapsed="false">
      <c r="A73" s="279"/>
    </row>
    <row r="74" customFormat="false" ht="12.75" hidden="false" customHeight="false" outlineLevel="0" collapsed="false">
      <c r="A74" s="279"/>
    </row>
    <row r="75" customFormat="false" ht="12.75" hidden="false" customHeight="false" outlineLevel="0" collapsed="false">
      <c r="A75" s="279"/>
    </row>
    <row r="76" customFormat="false" ht="12.75" hidden="false" customHeight="false" outlineLevel="0" collapsed="false">
      <c r="A76" s="279"/>
    </row>
    <row r="77" customFormat="false" ht="12.75" hidden="false" customHeight="false" outlineLevel="0" collapsed="false">
      <c r="A77" s="279"/>
    </row>
    <row r="78" customFormat="false" ht="12.75" hidden="false" customHeight="false" outlineLevel="0" collapsed="false">
      <c r="A78" s="279"/>
    </row>
    <row r="79" customFormat="false" ht="12.75" hidden="false" customHeight="false" outlineLevel="0" collapsed="false">
      <c r="A79" s="279"/>
    </row>
    <row r="80" customFormat="false" ht="12.75" hidden="false" customHeight="false" outlineLevel="0" collapsed="false">
      <c r="A80" s="279"/>
    </row>
    <row r="81" customFormat="false" ht="12.75" hidden="false" customHeight="false" outlineLevel="0" collapsed="false">
      <c r="A81" s="279"/>
    </row>
    <row r="82" customFormat="false" ht="12.75" hidden="false" customHeight="false" outlineLevel="0" collapsed="false">
      <c r="A82" s="279"/>
    </row>
    <row r="83" customFormat="false" ht="12.75" hidden="false" customHeight="false" outlineLevel="0" collapsed="false">
      <c r="A83" s="279"/>
    </row>
    <row r="84" customFormat="false" ht="12.75" hidden="false" customHeight="false" outlineLevel="0" collapsed="false">
      <c r="A84" s="279"/>
    </row>
    <row r="85" customFormat="false" ht="12.75" hidden="false" customHeight="false" outlineLevel="0" collapsed="false">
      <c r="A85" s="279"/>
    </row>
    <row r="86" customFormat="false" ht="12.75" hidden="false" customHeight="false" outlineLevel="0" collapsed="false">
      <c r="A86" s="279"/>
    </row>
    <row r="87" customFormat="false" ht="12.75" hidden="false" customHeight="false" outlineLevel="0" collapsed="false">
      <c r="A87" s="279"/>
    </row>
    <row r="88" customFormat="false" ht="12.75" hidden="false" customHeight="false" outlineLevel="0" collapsed="false">
      <c r="A88" s="279"/>
    </row>
    <row r="89" customFormat="false" ht="12.75" hidden="false" customHeight="false" outlineLevel="0" collapsed="false">
      <c r="A89" s="279"/>
    </row>
    <row r="90" customFormat="false" ht="12.75" hidden="false" customHeight="false" outlineLevel="0" collapsed="false">
      <c r="A90" s="279"/>
    </row>
    <row r="91" customFormat="false" ht="12.75" hidden="false" customHeight="false" outlineLevel="0" collapsed="false">
      <c r="A91" s="279"/>
    </row>
    <row r="92" customFormat="false" ht="12.75" hidden="false" customHeight="false" outlineLevel="0" collapsed="false">
      <c r="A92" s="279"/>
    </row>
    <row r="93" customFormat="false" ht="12.75" hidden="false" customHeight="false" outlineLevel="0" collapsed="false">
      <c r="A93" s="279"/>
    </row>
    <row r="94" customFormat="false" ht="12.75" hidden="false" customHeight="false" outlineLevel="0" collapsed="false">
      <c r="A94" s="279"/>
    </row>
    <row r="95" customFormat="false" ht="12.75" hidden="false" customHeight="false" outlineLevel="0" collapsed="false">
      <c r="A95" s="279"/>
    </row>
    <row r="96" customFormat="false" ht="12.75" hidden="false" customHeight="false" outlineLevel="0" collapsed="false">
      <c r="A96" s="279"/>
    </row>
    <row r="97" customFormat="false" ht="12.75" hidden="false" customHeight="false" outlineLevel="0" collapsed="false">
      <c r="A97" s="279"/>
    </row>
    <row r="98" customFormat="false" ht="12.75" hidden="false" customHeight="false" outlineLevel="0" collapsed="false">
      <c r="A98" s="279"/>
    </row>
    <row r="99" customFormat="false" ht="12.75" hidden="false" customHeight="false" outlineLevel="0" collapsed="false">
      <c r="A99" s="279"/>
    </row>
    <row r="100" customFormat="false" ht="12.75" hidden="false" customHeight="false" outlineLevel="0" collapsed="false">
      <c r="A100" s="279"/>
    </row>
    <row r="101" customFormat="false" ht="12.75" hidden="false" customHeight="false" outlineLevel="0" collapsed="false">
      <c r="A101" s="279"/>
    </row>
    <row r="102" customFormat="false" ht="12.75" hidden="false" customHeight="false" outlineLevel="0" collapsed="false">
      <c r="A102" s="279"/>
    </row>
    <row r="103" customFormat="false" ht="12.75" hidden="false" customHeight="false" outlineLevel="0" collapsed="false">
      <c r="A103" s="279"/>
    </row>
    <row r="104" customFormat="false" ht="12.75" hidden="false" customHeight="false" outlineLevel="0" collapsed="false">
      <c r="A104" s="279"/>
    </row>
    <row r="105" customFormat="false" ht="12.75" hidden="false" customHeight="false" outlineLevel="0" collapsed="false">
      <c r="A105" s="279"/>
    </row>
    <row r="106" customFormat="false" ht="12.75" hidden="false" customHeight="false" outlineLevel="0" collapsed="false">
      <c r="A106" s="279"/>
    </row>
    <row r="107" customFormat="false" ht="12.75" hidden="false" customHeight="false" outlineLevel="0" collapsed="false">
      <c r="A107" s="279"/>
    </row>
    <row r="108" customFormat="false" ht="12.75" hidden="false" customHeight="false" outlineLevel="0" collapsed="false">
      <c r="A108" s="279"/>
    </row>
    <row r="109" customFormat="false" ht="12.75" hidden="false" customHeight="false" outlineLevel="0" collapsed="false">
      <c r="A109" s="279"/>
    </row>
    <row r="110" customFormat="false" ht="12.75" hidden="false" customHeight="false" outlineLevel="0" collapsed="false">
      <c r="A110" s="279"/>
    </row>
    <row r="111" customFormat="false" ht="12.75" hidden="false" customHeight="false" outlineLevel="0" collapsed="false">
      <c r="A111" s="279"/>
    </row>
    <row r="112" customFormat="false" ht="12.75" hidden="false" customHeight="false" outlineLevel="0" collapsed="false">
      <c r="A112" s="279"/>
    </row>
    <row r="113" customFormat="false" ht="12.75" hidden="false" customHeight="false" outlineLevel="0" collapsed="false">
      <c r="A113" s="279"/>
    </row>
    <row r="114" customFormat="false" ht="12.75" hidden="false" customHeight="false" outlineLevel="0" collapsed="false">
      <c r="A114" s="279"/>
    </row>
    <row r="115" customFormat="false" ht="12.75" hidden="false" customHeight="false" outlineLevel="0" collapsed="false">
      <c r="A115" s="279"/>
    </row>
    <row r="116" customFormat="false" ht="12.75" hidden="false" customHeight="false" outlineLevel="0" collapsed="false">
      <c r="A116" s="279"/>
    </row>
    <row r="117" customFormat="false" ht="12.75" hidden="false" customHeight="false" outlineLevel="0" collapsed="false">
      <c r="A117" s="279"/>
    </row>
    <row r="118" customFormat="false" ht="12.75" hidden="false" customHeight="false" outlineLevel="0" collapsed="false">
      <c r="A118" s="279"/>
    </row>
    <row r="119" customFormat="false" ht="12.75" hidden="false" customHeight="false" outlineLevel="0" collapsed="false">
      <c r="A119" s="279"/>
    </row>
    <row r="120" customFormat="false" ht="12.75" hidden="false" customHeight="false" outlineLevel="0" collapsed="false">
      <c r="A120" s="279"/>
    </row>
  </sheetData>
  <mergeCells count="6">
    <mergeCell ref="A1:K1"/>
    <mergeCell ref="A2:K2"/>
    <mergeCell ref="A3:K3"/>
    <mergeCell ref="A4:K4"/>
    <mergeCell ref="I6:K6"/>
    <mergeCell ref="I7:K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249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 t="s">
        <v>250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251</v>
      </c>
      <c r="E6" s="161"/>
      <c r="F6" s="161" t="s">
        <v>130</v>
      </c>
      <c r="G6" s="161" t="s">
        <v>141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/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36831</v>
      </c>
      <c r="B9" s="173"/>
      <c r="C9" s="174" t="s">
        <v>46</v>
      </c>
      <c r="D9" s="175" t="n">
        <v>1</v>
      </c>
      <c r="E9" s="173"/>
      <c r="F9" s="176" t="n">
        <v>155000</v>
      </c>
      <c r="G9" s="175" t="n">
        <f aca="false">+[6]Curves!$C$23-[6]Curves!$C$30</f>
        <v>0.743</v>
      </c>
      <c r="H9" s="175"/>
      <c r="I9" s="177" t="n">
        <f aca="false">(-G9+D9)*F9</f>
        <v>39835</v>
      </c>
      <c r="J9" s="178" t="n">
        <f aca="false">+I9</f>
        <v>39835</v>
      </c>
      <c r="K9" s="178"/>
    </row>
    <row r="10" customFormat="false" ht="12.75" hidden="false" customHeight="false" outlineLevel="0" collapsed="false">
      <c r="A10" s="172"/>
      <c r="B10" s="173"/>
      <c r="C10" s="174" t="s">
        <v>252</v>
      </c>
      <c r="D10" s="175"/>
      <c r="E10" s="173"/>
      <c r="F10" s="176"/>
      <c r="G10" s="173"/>
      <c r="H10" s="175"/>
      <c r="I10" s="177"/>
      <c r="J10" s="178"/>
      <c r="K10" s="178"/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G11" s="173"/>
      <c r="H11" s="175"/>
      <c r="I11" s="177"/>
      <c r="J11" s="178"/>
      <c r="K11" s="178"/>
    </row>
    <row r="12" customFormat="false" ht="13.5" hidden="false" customHeight="false" outlineLevel="0" collapsed="false">
      <c r="A12" s="173"/>
      <c r="B12" s="173"/>
      <c r="C12" s="173"/>
      <c r="D12" s="173"/>
      <c r="E12" s="173"/>
      <c r="F12" s="190" t="n">
        <f aca="false">SUM(F9:F11)</f>
        <v>155000</v>
      </c>
      <c r="G12" s="173"/>
      <c r="H12" s="282"/>
      <c r="I12" s="276" t="n">
        <f aca="false">SUM(I9:I11)</f>
        <v>39835</v>
      </c>
      <c r="J12" s="276" t="n">
        <f aca="false">SUM(J9:J11)</f>
        <v>39835</v>
      </c>
      <c r="K12" s="276" t="n">
        <f aca="false">SUM(K9:K11)</f>
        <v>0</v>
      </c>
    </row>
    <row r="13" customFormat="false" ht="13.5" hidden="false" customHeight="false" outlineLevel="0" collapsed="false">
      <c r="A13" s="173"/>
      <c r="B13" s="173"/>
      <c r="C13" s="173"/>
      <c r="D13" s="173"/>
      <c r="E13" s="173"/>
      <c r="F13" s="182"/>
      <c r="G13" s="173"/>
      <c r="H13" s="173"/>
      <c r="I13" s="183"/>
      <c r="J13" s="184"/>
      <c r="K13" s="184"/>
    </row>
    <row r="14" customFormat="false" ht="12.75" hidden="false" customHeight="false" outlineLevel="0" collapsed="false">
      <c r="A14" s="173"/>
      <c r="B14" s="173"/>
      <c r="C14" s="173"/>
      <c r="D14" s="175"/>
      <c r="E14" s="173"/>
      <c r="F14" s="173"/>
      <c r="G14" s="187"/>
      <c r="H14" s="186"/>
      <c r="I14" s="173"/>
      <c r="J14" s="179"/>
      <c r="K14" s="179"/>
    </row>
    <row r="15" customFormat="false" ht="12.75" hidden="false" customHeight="false" outlineLevel="0" collapsed="false">
      <c r="A15" s="192"/>
      <c r="B15" s="192"/>
      <c r="C15" s="192"/>
      <c r="D15" s="192"/>
      <c r="E15" s="192"/>
      <c r="F15" s="192"/>
      <c r="G15" s="192"/>
      <c r="H15" s="192"/>
      <c r="I15" s="192"/>
      <c r="J15" s="193"/>
      <c r="K15" s="193"/>
    </row>
    <row r="17" customFormat="false" ht="12.75" hidden="false" customHeight="false" outlineLevel="0" collapsed="false">
      <c r="A17" s="5" t="s">
        <v>253</v>
      </c>
    </row>
    <row r="19" customFormat="false" ht="12.75" hidden="false" customHeight="false" outlineLevel="0" collapsed="false">
      <c r="A19" s="283" t="n">
        <v>37226</v>
      </c>
      <c r="B19" s="0" t="n">
        <v>4.785</v>
      </c>
    </row>
    <row r="20" customFormat="false" ht="12.75" hidden="false" customHeight="false" outlineLevel="0" collapsed="false">
      <c r="A20" s="283" t="n">
        <v>37438</v>
      </c>
      <c r="B20" s="271" t="n">
        <v>4.042</v>
      </c>
    </row>
    <row r="21" customFormat="false" ht="12.75" hidden="false" customHeight="false" outlineLevel="0" collapsed="false">
      <c r="A21" s="283"/>
      <c r="B21" s="0" t="n">
        <f aca="false">+B19-B20</f>
        <v>0.743</v>
      </c>
      <c r="C21" s="0" t="s">
        <v>214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254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/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36831</v>
      </c>
      <c r="B9" s="173"/>
      <c r="C9" s="174" t="s">
        <v>255</v>
      </c>
      <c r="D9" s="175" t="n">
        <v>0.05</v>
      </c>
      <c r="E9" s="173"/>
      <c r="F9" s="176" t="n">
        <v>155000</v>
      </c>
      <c r="G9" s="175"/>
      <c r="H9" s="175"/>
      <c r="I9" s="177" t="n">
        <f aca="false">-F9*D9</f>
        <v>-7750</v>
      </c>
      <c r="J9" s="178" t="n">
        <f aca="false">+I9</f>
        <v>-7750</v>
      </c>
      <c r="K9" s="178"/>
    </row>
    <row r="10" customFormat="false" ht="12.75" hidden="false" customHeight="false" outlineLevel="0" collapsed="false">
      <c r="A10" s="172"/>
      <c r="B10" s="173"/>
      <c r="C10" s="174"/>
      <c r="D10" s="175"/>
      <c r="E10" s="173"/>
      <c r="F10" s="176"/>
      <c r="G10" s="173"/>
      <c r="H10" s="175"/>
      <c r="I10" s="177"/>
      <c r="J10" s="178"/>
      <c r="K10" s="178"/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G11" s="173"/>
      <c r="H11" s="175"/>
      <c r="I11" s="177"/>
      <c r="J11" s="178"/>
      <c r="K11" s="178"/>
    </row>
    <row r="12" customFormat="false" ht="13.5" hidden="false" customHeight="false" outlineLevel="0" collapsed="false">
      <c r="A12" s="173"/>
      <c r="B12" s="173"/>
      <c r="C12" s="173"/>
      <c r="D12" s="173"/>
      <c r="E12" s="173"/>
      <c r="F12" s="190" t="n">
        <f aca="false">SUM(F9:F11)</f>
        <v>155000</v>
      </c>
      <c r="G12" s="173"/>
      <c r="H12" s="282"/>
      <c r="I12" s="276" t="n">
        <f aca="false">SUM(I9:I11)</f>
        <v>-7750</v>
      </c>
      <c r="J12" s="276" t="n">
        <f aca="false">SUM(J9:J11)</f>
        <v>-7750</v>
      </c>
      <c r="K12" s="276" t="n">
        <f aca="false">SUM(K9:K11)</f>
        <v>0</v>
      </c>
    </row>
    <row r="13" customFormat="false" ht="13.5" hidden="false" customHeight="false" outlineLevel="0" collapsed="false">
      <c r="A13" s="173"/>
      <c r="B13" s="173"/>
      <c r="C13" s="173"/>
      <c r="D13" s="173"/>
      <c r="E13" s="173"/>
      <c r="F13" s="182"/>
      <c r="G13" s="173"/>
      <c r="H13" s="173"/>
      <c r="I13" s="183"/>
      <c r="J13" s="184"/>
      <c r="K13" s="184"/>
    </row>
    <row r="14" customFormat="false" ht="12.75" hidden="false" customHeight="false" outlineLevel="0" collapsed="false">
      <c r="A14" s="173"/>
      <c r="B14" s="173"/>
      <c r="C14" s="173"/>
      <c r="D14" s="175"/>
      <c r="E14" s="173"/>
      <c r="F14" s="173"/>
      <c r="G14" s="187"/>
      <c r="H14" s="186"/>
      <c r="I14" s="173"/>
      <c r="J14" s="179"/>
      <c r="K14" s="179"/>
    </row>
    <row r="15" customFormat="false" ht="12.75" hidden="false" customHeight="false" outlineLevel="0" collapsed="false">
      <c r="A15" s="192"/>
      <c r="B15" s="192"/>
      <c r="C15" s="192"/>
      <c r="D15" s="192"/>
      <c r="E15" s="192"/>
      <c r="F15" s="192"/>
      <c r="G15" s="192"/>
      <c r="H15" s="192"/>
      <c r="I15" s="192"/>
      <c r="J15" s="193"/>
      <c r="K15" s="193"/>
    </row>
    <row r="17" customFormat="false" ht="12.75" hidden="false" customHeight="false" outlineLevel="0" collapsed="false">
      <c r="A17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7.28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256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257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/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36831</v>
      </c>
      <c r="B9" s="173"/>
      <c r="C9" s="174" t="s">
        <v>258</v>
      </c>
      <c r="D9" s="175" t="n">
        <v>0.07</v>
      </c>
      <c r="E9" s="173"/>
      <c r="F9" s="176" t="n">
        <f aca="false">-5000*31</f>
        <v>-155000</v>
      </c>
      <c r="G9" s="175"/>
      <c r="H9" s="175"/>
      <c r="I9" s="177" t="n">
        <f aca="false">-F9*D9</f>
        <v>10850</v>
      </c>
      <c r="J9" s="178" t="n">
        <f aca="false">+I9</f>
        <v>10850</v>
      </c>
      <c r="K9" s="178"/>
    </row>
    <row r="10" customFormat="false" ht="12.75" hidden="false" customHeight="false" outlineLevel="0" collapsed="false">
      <c r="A10" s="172"/>
      <c r="B10" s="173"/>
      <c r="C10" s="174"/>
      <c r="D10" s="175"/>
      <c r="E10" s="173"/>
      <c r="F10" s="176"/>
      <c r="G10" s="175"/>
      <c r="H10" s="175"/>
      <c r="I10" s="177"/>
      <c r="J10" s="178"/>
      <c r="K10" s="178"/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H11" s="175"/>
      <c r="I11" s="177"/>
      <c r="J11" s="179"/>
      <c r="K11" s="178"/>
    </row>
    <row r="12" customFormat="false" ht="13.5" hidden="false" customHeight="false" outlineLevel="0" collapsed="false">
      <c r="A12" s="173"/>
      <c r="B12" s="173"/>
      <c r="C12" s="173"/>
      <c r="D12" s="173"/>
      <c r="E12" s="173"/>
      <c r="F12" s="190" t="n">
        <f aca="false">SUM(F9:F10)</f>
        <v>-155000</v>
      </c>
      <c r="G12" s="173"/>
      <c r="H12" s="282"/>
      <c r="I12" s="276" t="n">
        <f aca="false">SUM(I9:I10)</f>
        <v>10850</v>
      </c>
      <c r="J12" s="276" t="n">
        <f aca="false">SUM(J9:J10)</f>
        <v>10850</v>
      </c>
      <c r="K12" s="276" t="n">
        <f aca="false">SUM(K9:K10)</f>
        <v>0</v>
      </c>
    </row>
    <row r="13" customFormat="false" ht="13.5" hidden="false" customHeight="false" outlineLevel="0" collapsed="false">
      <c r="A13" s="173"/>
      <c r="B13" s="173"/>
      <c r="C13" s="173"/>
      <c r="D13" s="173"/>
      <c r="E13" s="173"/>
      <c r="F13" s="182"/>
      <c r="G13" s="173"/>
      <c r="H13" s="173"/>
      <c r="I13" s="183"/>
      <c r="J13" s="184"/>
      <c r="K13" s="184"/>
    </row>
    <row r="14" customFormat="false" ht="12.75" hidden="false" customHeight="false" outlineLevel="0" collapsed="false">
      <c r="A14" s="173"/>
      <c r="B14" s="173"/>
      <c r="C14" s="173"/>
      <c r="D14" s="173"/>
      <c r="E14" s="173"/>
      <c r="F14" s="173"/>
      <c r="G14" s="173"/>
      <c r="H14" s="173"/>
      <c r="I14" s="173"/>
      <c r="J14" s="179"/>
      <c r="K14" s="179"/>
    </row>
    <row r="15" customFormat="false" ht="12.75" hidden="false" customHeight="false" outlineLevel="0" collapsed="false">
      <c r="A15" s="192"/>
      <c r="B15" s="192"/>
      <c r="C15" s="192"/>
      <c r="D15" s="192"/>
      <c r="E15" s="192"/>
      <c r="F15" s="192"/>
      <c r="G15" s="192"/>
      <c r="H15" s="192"/>
      <c r="I15" s="192"/>
      <c r="J15" s="193"/>
      <c r="K15" s="193"/>
    </row>
    <row r="17" customFormat="false" ht="12.75" hidden="false" customHeight="false" outlineLevel="0" collapsed="false">
      <c r="A17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142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50</v>
      </c>
      <c r="E6" s="161"/>
      <c r="F6" s="161" t="s">
        <v>130</v>
      </c>
      <c r="G6" s="161" t="s">
        <v>97</v>
      </c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132</v>
      </c>
      <c r="E7" s="164"/>
      <c r="F7" s="164" t="s">
        <v>133</v>
      </c>
      <c r="G7" s="164" t="s">
        <v>17</v>
      </c>
      <c r="H7" s="164" t="s">
        <v>141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8" t="s">
        <v>17</v>
      </c>
      <c r="E8" s="167"/>
      <c r="F8" s="167"/>
      <c r="G8" s="169" t="s">
        <v>135</v>
      </c>
      <c r="H8" s="170" t="s">
        <v>17</v>
      </c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36892</v>
      </c>
      <c r="B9" s="173"/>
      <c r="C9" s="174" t="s">
        <v>50</v>
      </c>
      <c r="D9" s="175" t="n">
        <v>3.63</v>
      </c>
      <c r="E9" s="173"/>
      <c r="F9" s="176" t="n">
        <f aca="false">-5000*31</f>
        <v>-155000</v>
      </c>
      <c r="G9" s="175"/>
      <c r="H9" s="175" t="n">
        <v>9.81</v>
      </c>
      <c r="I9" s="177" t="n">
        <f aca="false">SUM(D9-H9)*F9</f>
        <v>957900</v>
      </c>
      <c r="J9" s="178" t="n">
        <f aca="false">+I9</f>
        <v>957900</v>
      </c>
      <c r="K9" s="178"/>
    </row>
    <row r="10" customFormat="false" ht="12.75" hidden="false" customHeight="false" outlineLevel="0" collapsed="false">
      <c r="A10" s="172" t="n">
        <v>36923</v>
      </c>
      <c r="B10" s="173"/>
      <c r="C10" s="174" t="s">
        <v>50</v>
      </c>
      <c r="D10" s="175" t="n">
        <v>3.63</v>
      </c>
      <c r="E10" s="173"/>
      <c r="F10" s="176" t="n">
        <f aca="false">-5000*28</f>
        <v>-140000</v>
      </c>
      <c r="G10" s="175"/>
      <c r="H10" s="175" t="n">
        <f aca="false">+'[5]ELpaso SJ &amp; Prm'!$F49</f>
        <v>6.605</v>
      </c>
      <c r="I10" s="177" t="n">
        <f aca="false">SUM(D10-H10)*F10</f>
        <v>416500</v>
      </c>
      <c r="J10" s="178"/>
      <c r="K10" s="178" t="n">
        <f aca="false">+I10</f>
        <v>416500</v>
      </c>
    </row>
    <row r="11" customFormat="false" ht="12.75" hidden="false" customHeight="false" outlineLevel="0" collapsed="false">
      <c r="A11" s="172" t="n">
        <v>36951</v>
      </c>
      <c r="B11" s="173"/>
      <c r="C11" s="174" t="s">
        <v>50</v>
      </c>
      <c r="D11" s="175" t="n">
        <v>3.63</v>
      </c>
      <c r="E11" s="173"/>
      <c r="F11" s="176" t="n">
        <f aca="false">-5000*31</f>
        <v>-155000</v>
      </c>
      <c r="G11" s="175"/>
      <c r="H11" s="175" t="n">
        <f aca="false">+'[5]ELpaso SJ &amp; Prm'!$F50</f>
        <v>5.832</v>
      </c>
      <c r="I11" s="177" t="n">
        <f aca="false">SUM(D11-H11)*F11</f>
        <v>341310</v>
      </c>
      <c r="J11" s="178"/>
      <c r="K11" s="178" t="n">
        <f aca="false">+I11</f>
        <v>341310</v>
      </c>
    </row>
    <row r="12" customFormat="false" ht="12.75" hidden="false" customHeight="false" outlineLevel="0" collapsed="false">
      <c r="A12" s="172" t="n">
        <v>36982</v>
      </c>
      <c r="B12" s="173"/>
      <c r="C12" s="174" t="s">
        <v>50</v>
      </c>
      <c r="D12" s="175" t="n">
        <v>3.63</v>
      </c>
      <c r="E12" s="173"/>
      <c r="F12" s="176" t="n">
        <f aca="false">-5000*30</f>
        <v>-150000</v>
      </c>
      <c r="G12" s="175"/>
      <c r="H12" s="175" t="n">
        <f aca="false">+'[5]ELpaso SJ &amp; Prm'!$F51</f>
        <v>5.3</v>
      </c>
      <c r="I12" s="177" t="n">
        <f aca="false">SUM(D12-H12)*F12</f>
        <v>250500</v>
      </c>
      <c r="J12" s="178"/>
      <c r="K12" s="178" t="n">
        <f aca="false">+I12</f>
        <v>250500</v>
      </c>
    </row>
    <row r="13" customFormat="false" ht="12.75" hidden="false" customHeight="false" outlineLevel="0" collapsed="false">
      <c r="A13" s="172" t="n">
        <v>37012</v>
      </c>
      <c r="B13" s="173"/>
      <c r="C13" s="174" t="s">
        <v>50</v>
      </c>
      <c r="D13" s="175" t="n">
        <v>3.63</v>
      </c>
      <c r="E13" s="173"/>
      <c r="F13" s="176" t="n">
        <f aca="false">-5000*31</f>
        <v>-155000</v>
      </c>
      <c r="G13" s="173"/>
      <c r="H13" s="175" t="n">
        <f aca="false">+'[5]ELpaso SJ &amp; Prm'!$F52</f>
        <v>5.16</v>
      </c>
      <c r="I13" s="177" t="n">
        <f aca="false">SUM(D13-H13)*F13</f>
        <v>237150</v>
      </c>
      <c r="J13" s="179"/>
      <c r="K13" s="178" t="n">
        <f aca="false">+I13</f>
        <v>237150</v>
      </c>
    </row>
    <row r="14" customFormat="false" ht="12.75" hidden="false" customHeight="false" outlineLevel="0" collapsed="false">
      <c r="A14" s="172" t="n">
        <v>37043</v>
      </c>
      <c r="B14" s="173"/>
      <c r="C14" s="174" t="s">
        <v>50</v>
      </c>
      <c r="D14" s="175" t="n">
        <v>3.63</v>
      </c>
      <c r="E14" s="173"/>
      <c r="F14" s="176" t="n">
        <f aca="false">-5000*30</f>
        <v>-150000</v>
      </c>
      <c r="G14" s="173"/>
      <c r="H14" s="175" t="n">
        <f aca="false">+'[5]ELpaso SJ &amp; Prm'!$F53</f>
        <v>5.18</v>
      </c>
      <c r="I14" s="177" t="n">
        <f aca="false">SUM(D14-H14)*F14</f>
        <v>232500</v>
      </c>
      <c r="J14" s="179"/>
      <c r="K14" s="178" t="n">
        <f aca="false">+I14</f>
        <v>232500</v>
      </c>
    </row>
    <row r="15" customFormat="false" ht="12.75" hidden="false" customHeight="false" outlineLevel="0" collapsed="false">
      <c r="A15" s="172" t="n">
        <v>37073</v>
      </c>
      <c r="B15" s="173"/>
      <c r="C15" s="174" t="s">
        <v>50</v>
      </c>
      <c r="D15" s="175" t="n">
        <v>3.63</v>
      </c>
      <c r="E15" s="173"/>
      <c r="F15" s="176" t="n">
        <f aca="false">-5000*31</f>
        <v>-155000</v>
      </c>
      <c r="G15" s="173"/>
      <c r="H15" s="175" t="n">
        <f aca="false">+'[5]ELpaso SJ &amp; Prm'!$F54</f>
        <v>5.37</v>
      </c>
      <c r="I15" s="177" t="n">
        <f aca="false">SUM(D15-H15)*F15</f>
        <v>269700</v>
      </c>
      <c r="J15" s="179"/>
      <c r="K15" s="178" t="n">
        <f aca="false">+I15</f>
        <v>269700</v>
      </c>
    </row>
    <row r="16" customFormat="false" ht="12.75" hidden="false" customHeight="false" outlineLevel="0" collapsed="false">
      <c r="A16" s="172" t="n">
        <v>37104</v>
      </c>
      <c r="B16" s="173"/>
      <c r="C16" s="174" t="s">
        <v>50</v>
      </c>
      <c r="D16" s="175" t="n">
        <v>3.63</v>
      </c>
      <c r="E16" s="173"/>
      <c r="F16" s="176" t="n">
        <f aca="false">-5000*31</f>
        <v>-155000</v>
      </c>
      <c r="G16" s="173"/>
      <c r="H16" s="175" t="n">
        <f aca="false">+'[5]ELpaso SJ &amp; Prm'!$F55</f>
        <v>5.38</v>
      </c>
      <c r="I16" s="177" t="n">
        <f aca="false">SUM(D16-H16)*F16</f>
        <v>271250</v>
      </c>
      <c r="J16" s="179"/>
      <c r="K16" s="178" t="n">
        <f aca="false">+I16</f>
        <v>271250</v>
      </c>
    </row>
    <row r="17" customFormat="false" ht="12.75" hidden="false" customHeight="false" outlineLevel="0" collapsed="false">
      <c r="A17" s="172" t="n">
        <v>37135</v>
      </c>
      <c r="B17" s="173"/>
      <c r="C17" s="174" t="s">
        <v>50</v>
      </c>
      <c r="D17" s="175" t="n">
        <v>3.63</v>
      </c>
      <c r="E17" s="173"/>
      <c r="F17" s="176" t="n">
        <f aca="false">-5000*30</f>
        <v>-150000</v>
      </c>
      <c r="G17" s="173"/>
      <c r="H17" s="175" t="n">
        <f aca="false">+'[5]ELpaso SJ &amp; Prm'!$F56</f>
        <v>5.35</v>
      </c>
      <c r="I17" s="177" t="n">
        <f aca="false">SUM(D17-H17)*F17</f>
        <v>258000</v>
      </c>
      <c r="J17" s="179"/>
      <c r="K17" s="178" t="n">
        <f aca="false">+I17</f>
        <v>258000</v>
      </c>
    </row>
    <row r="18" customFormat="false" ht="12.75" hidden="false" customHeight="false" outlineLevel="0" collapsed="false">
      <c r="A18" s="172" t="n">
        <v>37165</v>
      </c>
      <c r="B18" s="173"/>
      <c r="C18" s="174" t="s">
        <v>50</v>
      </c>
      <c r="D18" s="175" t="n">
        <v>3.63</v>
      </c>
      <c r="E18" s="173"/>
      <c r="F18" s="176" t="n">
        <f aca="false">-5000*31</f>
        <v>-155000</v>
      </c>
      <c r="G18" s="173"/>
      <c r="H18" s="175" t="n">
        <f aca="false">+'[5]ELpaso SJ &amp; Prm'!$F57</f>
        <v>5.325</v>
      </c>
      <c r="I18" s="177" t="n">
        <f aca="false">SUM(D18-H18)*F18</f>
        <v>262725</v>
      </c>
      <c r="J18" s="179"/>
      <c r="K18" s="178" t="n">
        <f aca="false">+I18</f>
        <v>262725</v>
      </c>
    </row>
    <row r="19" customFormat="false" ht="12.75" hidden="false" customHeight="false" outlineLevel="0" collapsed="false">
      <c r="A19" s="172" t="n">
        <v>37196</v>
      </c>
      <c r="B19" s="173"/>
      <c r="C19" s="174" t="s">
        <v>50</v>
      </c>
      <c r="D19" s="175" t="n">
        <v>3.63</v>
      </c>
      <c r="E19" s="173"/>
      <c r="F19" s="176" t="n">
        <f aca="false">-5000*30</f>
        <v>-150000</v>
      </c>
      <c r="G19" s="173"/>
      <c r="H19" s="175" t="n">
        <f aca="false">+'[5]ELpaso SJ &amp; Prm'!$F58</f>
        <v>5.375</v>
      </c>
      <c r="I19" s="177" t="n">
        <f aca="false">SUM(D19-H19)*F19</f>
        <v>261750</v>
      </c>
      <c r="J19" s="179"/>
      <c r="K19" s="178" t="n">
        <f aca="false">+I19</f>
        <v>261750</v>
      </c>
    </row>
    <row r="20" customFormat="false" ht="12.75" hidden="false" customHeight="false" outlineLevel="0" collapsed="false">
      <c r="A20" s="172" t="n">
        <v>37226</v>
      </c>
      <c r="B20" s="173"/>
      <c r="C20" s="174" t="s">
        <v>50</v>
      </c>
      <c r="D20" s="175" t="n">
        <v>3.63</v>
      </c>
      <c r="E20" s="173"/>
      <c r="F20" s="176" t="n">
        <f aca="false">-5000*31</f>
        <v>-155000</v>
      </c>
      <c r="G20" s="173"/>
      <c r="H20" s="175" t="n">
        <f aca="false">+'[5]ELpaso SJ &amp; Prm'!$F59</f>
        <v>5.51</v>
      </c>
      <c r="I20" s="177" t="n">
        <f aca="false">SUM(D20-H20)*F20</f>
        <v>291400</v>
      </c>
      <c r="J20" s="179"/>
      <c r="K20" s="178" t="n">
        <f aca="false">+I20</f>
        <v>291400</v>
      </c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3"/>
      <c r="B22" s="173"/>
      <c r="C22" s="173"/>
      <c r="D22" s="173"/>
      <c r="E22" s="173"/>
      <c r="F22" s="180" t="n">
        <f aca="false">SUM(F9:F20)</f>
        <v>-1825000</v>
      </c>
      <c r="G22" s="173"/>
      <c r="H22" s="173"/>
      <c r="I22" s="181" t="n">
        <f aca="false">SUM(I9:I20)</f>
        <v>4050685</v>
      </c>
      <c r="J22" s="181" t="n">
        <f aca="false">SUM(J9:J20)</f>
        <v>957900</v>
      </c>
      <c r="K22" s="181" t="n">
        <f aca="false">SUM(K9:K20)</f>
        <v>3092785</v>
      </c>
    </row>
    <row r="23" customFormat="false" ht="12.75" hidden="false" customHeight="false" outlineLevel="0" collapsed="false">
      <c r="A23" s="173"/>
      <c r="B23" s="173"/>
      <c r="C23" s="173"/>
      <c r="D23" s="173"/>
      <c r="E23" s="173"/>
      <c r="F23" s="182"/>
      <c r="G23" s="173"/>
      <c r="H23" s="173"/>
      <c r="I23" s="183"/>
      <c r="J23" s="184"/>
      <c r="K23" s="184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73"/>
      <c r="G24" s="185" t="s">
        <v>135</v>
      </c>
      <c r="H24" s="186"/>
      <c r="I24" s="173"/>
      <c r="J24" s="179"/>
      <c r="K24" s="179"/>
    </row>
    <row r="25" customFormat="false" ht="12.75" hidden="false" customHeight="false" outlineLevel="0" collapsed="false">
      <c r="A25" s="173"/>
      <c r="B25" s="173"/>
      <c r="C25" s="173"/>
      <c r="D25" s="175"/>
      <c r="E25" s="173"/>
      <c r="F25" s="173"/>
      <c r="G25" s="187"/>
      <c r="H25" s="186"/>
      <c r="I25" s="173"/>
      <c r="J25" s="179"/>
      <c r="K25" s="179"/>
    </row>
    <row r="26" customFormat="false" ht="12.75" hidden="false" customHeight="false" outlineLevel="0" collapsed="false">
      <c r="A26" s="172" t="n">
        <v>36892</v>
      </c>
      <c r="B26" s="173"/>
      <c r="C26" s="174" t="s">
        <v>137</v>
      </c>
      <c r="D26" s="175" t="n">
        <v>3.63</v>
      </c>
      <c r="E26" s="173"/>
      <c r="F26" s="176" t="n">
        <f aca="false">5000*31</f>
        <v>155000</v>
      </c>
      <c r="G26" s="175"/>
      <c r="H26" s="175" t="n">
        <v>9.81</v>
      </c>
      <c r="I26" s="177" t="n">
        <f aca="false">(+D26-H26)*F26</f>
        <v>-957900</v>
      </c>
      <c r="J26" s="178" t="n">
        <f aca="false">+I26</f>
        <v>-957900</v>
      </c>
      <c r="K26" s="178"/>
    </row>
    <row r="27" customFormat="false" ht="12.75" hidden="false" customHeight="false" outlineLevel="0" collapsed="false">
      <c r="A27" s="172" t="n">
        <v>36923</v>
      </c>
      <c r="B27" s="173"/>
      <c r="C27" s="174" t="s">
        <v>137</v>
      </c>
      <c r="D27" s="175" t="n">
        <v>3.63</v>
      </c>
      <c r="E27" s="173"/>
      <c r="F27" s="176" t="n">
        <f aca="false">5000*28</f>
        <v>140000</v>
      </c>
      <c r="G27" s="175"/>
      <c r="H27" s="175" t="n">
        <f aca="false">+'[5]ELpaso SJ &amp; Prm'!$F49</f>
        <v>6.605</v>
      </c>
      <c r="I27" s="177" t="n">
        <f aca="false">(+D27-H27)*F27</f>
        <v>-416500</v>
      </c>
      <c r="J27" s="178"/>
      <c r="K27" s="178" t="n">
        <f aca="false">+I27</f>
        <v>-416500</v>
      </c>
    </row>
    <row r="28" customFormat="false" ht="12.75" hidden="false" customHeight="false" outlineLevel="0" collapsed="false">
      <c r="A28" s="172" t="n">
        <v>36951</v>
      </c>
      <c r="B28" s="173"/>
      <c r="C28" s="174" t="s">
        <v>137</v>
      </c>
      <c r="D28" s="175" t="n">
        <v>3.63</v>
      </c>
      <c r="E28" s="173"/>
      <c r="F28" s="176" t="n">
        <f aca="false">5000*31</f>
        <v>155000</v>
      </c>
      <c r="G28" s="175"/>
      <c r="H28" s="175" t="n">
        <f aca="false">+'[5]ELpaso SJ &amp; Prm'!$F50</f>
        <v>5.832</v>
      </c>
      <c r="I28" s="177" t="n">
        <f aca="false">(+D28-H28)*F28</f>
        <v>-341310</v>
      </c>
      <c r="J28" s="178"/>
      <c r="K28" s="178" t="n">
        <f aca="false">+I28</f>
        <v>-341310</v>
      </c>
    </row>
    <row r="29" customFormat="false" ht="12.75" hidden="false" customHeight="false" outlineLevel="0" collapsed="false">
      <c r="A29" s="172" t="n">
        <v>36982</v>
      </c>
      <c r="B29" s="173"/>
      <c r="C29" s="174" t="s">
        <v>137</v>
      </c>
      <c r="D29" s="175" t="n">
        <v>3.63</v>
      </c>
      <c r="E29" s="173"/>
      <c r="F29" s="176" t="n">
        <f aca="false">5000*30</f>
        <v>150000</v>
      </c>
      <c r="G29" s="175"/>
      <c r="H29" s="175" t="n">
        <f aca="false">+'[5]ELpaso SJ &amp; Prm'!$F51</f>
        <v>5.3</v>
      </c>
      <c r="I29" s="177" t="n">
        <f aca="false">(+D29-H29)*F29</f>
        <v>-250500</v>
      </c>
      <c r="J29" s="178"/>
      <c r="K29" s="178" t="n">
        <f aca="false">+I29</f>
        <v>-250500</v>
      </c>
    </row>
    <row r="30" customFormat="false" ht="12.75" hidden="false" customHeight="false" outlineLevel="0" collapsed="false">
      <c r="A30" s="172" t="n">
        <v>37012</v>
      </c>
      <c r="B30" s="173"/>
      <c r="C30" s="174" t="s">
        <v>137</v>
      </c>
      <c r="D30" s="175" t="n">
        <v>3.63</v>
      </c>
      <c r="E30" s="173"/>
      <c r="F30" s="176" t="n">
        <f aca="false">5000*31</f>
        <v>155000</v>
      </c>
      <c r="G30" s="173"/>
      <c r="H30" s="175" t="n">
        <f aca="false">+'[5]ELpaso SJ &amp; Prm'!$F52</f>
        <v>5.16</v>
      </c>
      <c r="I30" s="177" t="n">
        <f aca="false">(+D30-H30)*F30</f>
        <v>-237150</v>
      </c>
      <c r="J30" s="179"/>
      <c r="K30" s="178" t="n">
        <f aca="false">+I30</f>
        <v>-237150</v>
      </c>
    </row>
    <row r="31" customFormat="false" ht="12.75" hidden="false" customHeight="false" outlineLevel="0" collapsed="false">
      <c r="A31" s="172" t="n">
        <v>37043</v>
      </c>
      <c r="B31" s="173"/>
      <c r="C31" s="174" t="s">
        <v>137</v>
      </c>
      <c r="D31" s="175" t="n">
        <v>3.63</v>
      </c>
      <c r="E31" s="173"/>
      <c r="F31" s="176" t="n">
        <f aca="false">5000*30</f>
        <v>150000</v>
      </c>
      <c r="G31" s="173"/>
      <c r="H31" s="175" t="n">
        <f aca="false">+'[5]ELpaso SJ &amp; Prm'!$F53</f>
        <v>5.18</v>
      </c>
      <c r="I31" s="177" t="n">
        <f aca="false">(+D31-H31)*F31</f>
        <v>-232500</v>
      </c>
      <c r="J31" s="179"/>
      <c r="K31" s="178" t="n">
        <f aca="false">+I31</f>
        <v>-232500</v>
      </c>
    </row>
    <row r="32" customFormat="false" ht="12.75" hidden="false" customHeight="false" outlineLevel="0" collapsed="false">
      <c r="A32" s="172" t="n">
        <v>37073</v>
      </c>
      <c r="B32" s="173"/>
      <c r="C32" s="174" t="s">
        <v>137</v>
      </c>
      <c r="D32" s="175" t="n">
        <v>3.63</v>
      </c>
      <c r="E32" s="173"/>
      <c r="F32" s="176" t="n">
        <f aca="false">5000*31</f>
        <v>155000</v>
      </c>
      <c r="G32" s="173"/>
      <c r="H32" s="175" t="n">
        <f aca="false">+'[5]ELpaso SJ &amp; Prm'!$F54</f>
        <v>5.37</v>
      </c>
      <c r="I32" s="177" t="n">
        <f aca="false">(+D32-H32)*F32</f>
        <v>-269700</v>
      </c>
      <c r="J32" s="179"/>
      <c r="K32" s="178" t="n">
        <f aca="false">+I32</f>
        <v>-269700</v>
      </c>
    </row>
    <row r="33" customFormat="false" ht="12.75" hidden="false" customHeight="false" outlineLevel="0" collapsed="false">
      <c r="A33" s="172" t="n">
        <v>37104</v>
      </c>
      <c r="B33" s="173"/>
      <c r="C33" s="174" t="s">
        <v>137</v>
      </c>
      <c r="D33" s="175" t="n">
        <v>3.63</v>
      </c>
      <c r="E33" s="173"/>
      <c r="F33" s="176" t="n">
        <f aca="false">5000*31</f>
        <v>155000</v>
      </c>
      <c r="G33" s="173"/>
      <c r="H33" s="175" t="n">
        <f aca="false">+'[5]ELpaso SJ &amp; Prm'!$F55</f>
        <v>5.38</v>
      </c>
      <c r="I33" s="177" t="n">
        <f aca="false">(+D33-H33)*F33</f>
        <v>-271250</v>
      </c>
      <c r="J33" s="179"/>
      <c r="K33" s="178" t="n">
        <f aca="false">+I33</f>
        <v>-271250</v>
      </c>
    </row>
    <row r="34" customFormat="false" ht="12.75" hidden="false" customHeight="false" outlineLevel="0" collapsed="false">
      <c r="A34" s="172" t="n">
        <v>37135</v>
      </c>
      <c r="B34" s="173"/>
      <c r="C34" s="174" t="s">
        <v>137</v>
      </c>
      <c r="D34" s="175" t="n">
        <v>3.63</v>
      </c>
      <c r="E34" s="173"/>
      <c r="F34" s="176" t="n">
        <f aca="false">5000*30</f>
        <v>150000</v>
      </c>
      <c r="G34" s="173"/>
      <c r="H34" s="175" t="n">
        <f aca="false">+'[5]ELpaso SJ &amp; Prm'!$F56</f>
        <v>5.35</v>
      </c>
      <c r="I34" s="177" t="n">
        <f aca="false">(+D34-H34)*F34</f>
        <v>-258000</v>
      </c>
      <c r="J34" s="179"/>
      <c r="K34" s="178" t="n">
        <f aca="false">+I34</f>
        <v>-258000</v>
      </c>
    </row>
    <row r="35" customFormat="false" ht="12.75" hidden="false" customHeight="false" outlineLevel="0" collapsed="false">
      <c r="A35" s="172" t="n">
        <v>37165</v>
      </c>
      <c r="B35" s="173"/>
      <c r="C35" s="174" t="s">
        <v>137</v>
      </c>
      <c r="D35" s="175" t="n">
        <v>3.63</v>
      </c>
      <c r="E35" s="173"/>
      <c r="F35" s="176" t="n">
        <f aca="false">5000*31</f>
        <v>155000</v>
      </c>
      <c r="G35" s="173"/>
      <c r="H35" s="175" t="n">
        <f aca="false">+'[5]ELpaso SJ &amp; Prm'!$F57</f>
        <v>5.325</v>
      </c>
      <c r="I35" s="177" t="n">
        <f aca="false">(+D35-H35)*F35</f>
        <v>-262725</v>
      </c>
      <c r="J35" s="179"/>
      <c r="K35" s="178" t="n">
        <f aca="false">+I35</f>
        <v>-262725</v>
      </c>
    </row>
    <row r="36" customFormat="false" ht="12.75" hidden="false" customHeight="false" outlineLevel="0" collapsed="false">
      <c r="A36" s="172" t="n">
        <v>37196</v>
      </c>
      <c r="B36" s="173"/>
      <c r="C36" s="174" t="s">
        <v>137</v>
      </c>
      <c r="D36" s="175" t="n">
        <v>3.63</v>
      </c>
      <c r="E36" s="173"/>
      <c r="F36" s="176" t="n">
        <f aca="false">5000*30</f>
        <v>150000</v>
      </c>
      <c r="G36" s="173"/>
      <c r="H36" s="175" t="n">
        <f aca="false">+'[5]ELpaso SJ &amp; Prm'!$F58</f>
        <v>5.375</v>
      </c>
      <c r="I36" s="177" t="n">
        <f aca="false">(+D36-H36)*F36</f>
        <v>-261750</v>
      </c>
      <c r="J36" s="179"/>
      <c r="K36" s="178" t="n">
        <f aca="false">+I36</f>
        <v>-261750</v>
      </c>
    </row>
    <row r="37" customFormat="false" ht="12.75" hidden="false" customHeight="false" outlineLevel="0" collapsed="false">
      <c r="A37" s="172" t="n">
        <v>37226</v>
      </c>
      <c r="B37" s="173"/>
      <c r="C37" s="174" t="s">
        <v>137</v>
      </c>
      <c r="D37" s="175" t="n">
        <v>3.63</v>
      </c>
      <c r="E37" s="173"/>
      <c r="F37" s="176" t="n">
        <f aca="false">5000*31</f>
        <v>155000</v>
      </c>
      <c r="G37" s="173"/>
      <c r="H37" s="175" t="n">
        <f aca="false">+'[5]ELpaso SJ &amp; Prm'!$F59</f>
        <v>5.51</v>
      </c>
      <c r="I37" s="177" t="n">
        <f aca="false">(+D37-H37)*F37</f>
        <v>-291400</v>
      </c>
      <c r="J37" s="179"/>
      <c r="K37" s="178" t="n">
        <f aca="false">+I37</f>
        <v>-291400</v>
      </c>
    </row>
    <row r="38" customFormat="false" ht="12.75" hidden="false" customHeight="false" outlineLevel="0" collapsed="false">
      <c r="A38" s="172"/>
      <c r="B38" s="173"/>
      <c r="C38" s="174"/>
      <c r="D38" s="175"/>
      <c r="E38" s="173"/>
      <c r="F38" s="176"/>
      <c r="G38" s="173"/>
      <c r="H38" s="175"/>
      <c r="I38" s="188"/>
      <c r="J38" s="179"/>
      <c r="K38" s="178"/>
    </row>
    <row r="39" customFormat="false" ht="12.75" hidden="false" customHeight="false" outlineLevel="0" collapsed="false">
      <c r="A39" s="173"/>
      <c r="B39" s="173"/>
      <c r="C39" s="173"/>
      <c r="D39" s="173"/>
      <c r="E39" s="173"/>
      <c r="F39" s="180" t="n">
        <f aca="false">SUM(F26:F38)</f>
        <v>1825000</v>
      </c>
      <c r="G39" s="173"/>
      <c r="H39" s="173"/>
      <c r="I39" s="189" t="n">
        <f aca="false">SUM(I26:I38)</f>
        <v>-4050685</v>
      </c>
      <c r="J39" s="189" t="n">
        <f aca="false">SUM(J26:J38)</f>
        <v>-957900</v>
      </c>
      <c r="K39" s="189" t="n">
        <f aca="false">SUM(K26:K38)</f>
        <v>-3092785</v>
      </c>
    </row>
    <row r="40" customFormat="false" ht="12.75" hidden="false" customHeight="false" outlineLevel="0" collapsed="false">
      <c r="A40" s="173"/>
      <c r="B40" s="173"/>
      <c r="C40" s="173"/>
      <c r="D40" s="173"/>
      <c r="E40" s="173"/>
      <c r="F40" s="173"/>
      <c r="G40" s="173"/>
      <c r="H40" s="173"/>
      <c r="I40" s="173"/>
      <c r="J40" s="179"/>
      <c r="K40" s="179"/>
    </row>
    <row r="41" customFormat="false" ht="13.5" hidden="false" customHeight="false" outlineLevel="0" collapsed="false">
      <c r="A41" s="173"/>
      <c r="B41" s="173"/>
      <c r="C41" s="173"/>
      <c r="D41" s="173"/>
      <c r="E41" s="173"/>
      <c r="F41" s="190" t="n">
        <f aca="false">+F39+F22</f>
        <v>0</v>
      </c>
      <c r="G41" s="173"/>
      <c r="H41" s="173"/>
      <c r="I41" s="191" t="n">
        <f aca="false">+I39+I22</f>
        <v>0</v>
      </c>
      <c r="J41" s="191" t="n">
        <f aca="false">+J39+J22</f>
        <v>0</v>
      </c>
      <c r="K41" s="191" t="n">
        <f aca="false">+K39+K22</f>
        <v>0</v>
      </c>
    </row>
    <row r="42" customFormat="false" ht="13.5" hidden="false" customHeight="false" outlineLevel="0" collapsed="false">
      <c r="A42" s="192"/>
      <c r="B42" s="192"/>
      <c r="C42" s="192"/>
      <c r="D42" s="192"/>
      <c r="E42" s="192"/>
      <c r="F42" s="192"/>
      <c r="G42" s="192"/>
      <c r="H42" s="192"/>
      <c r="I42" s="192"/>
      <c r="J42" s="193"/>
      <c r="K42" s="193"/>
    </row>
    <row r="44" customFormat="false" ht="12.75" hidden="false" customHeight="false" outlineLevel="0" collapsed="false">
      <c r="A44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259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 t="s">
        <v>260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251</v>
      </c>
      <c r="E6" s="161"/>
      <c r="F6" s="161" t="s">
        <v>130</v>
      </c>
      <c r="G6" s="161" t="s">
        <v>141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/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36831</v>
      </c>
      <c r="B9" s="173"/>
      <c r="C9" s="174" t="s">
        <v>255</v>
      </c>
      <c r="D9" s="175" t="n">
        <v>0.775</v>
      </c>
      <c r="E9" s="173"/>
      <c r="F9" s="176" t="n">
        <v>500000</v>
      </c>
      <c r="G9" s="175" t="n">
        <f aca="false">+[6]Curves!$C$23-[6]Curves!$C$30</f>
        <v>0.743</v>
      </c>
      <c r="H9" s="175"/>
      <c r="I9" s="177" t="n">
        <f aca="false">(-G9+D9)*F9</f>
        <v>15999.9999999998</v>
      </c>
      <c r="J9" s="178" t="n">
        <f aca="false">+I9</f>
        <v>15999.9999999998</v>
      </c>
      <c r="K9" s="178"/>
    </row>
    <row r="10" customFormat="false" ht="12.75" hidden="false" customHeight="false" outlineLevel="0" collapsed="false">
      <c r="A10" s="172"/>
      <c r="B10" s="173"/>
      <c r="C10" s="174"/>
      <c r="D10" s="175"/>
      <c r="E10" s="173"/>
      <c r="F10" s="176"/>
      <c r="G10" s="173"/>
      <c r="H10" s="175"/>
      <c r="I10" s="177"/>
      <c r="J10" s="178"/>
      <c r="K10" s="178"/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G11" s="173"/>
      <c r="H11" s="175"/>
      <c r="I11" s="177"/>
      <c r="J11" s="178"/>
      <c r="K11" s="178"/>
    </row>
    <row r="12" customFormat="false" ht="13.5" hidden="false" customHeight="false" outlineLevel="0" collapsed="false">
      <c r="A12" s="173"/>
      <c r="B12" s="173"/>
      <c r="C12" s="173"/>
      <c r="D12" s="173"/>
      <c r="E12" s="173"/>
      <c r="F12" s="190" t="n">
        <f aca="false">SUM(F9:F11)</f>
        <v>500000</v>
      </c>
      <c r="G12" s="173"/>
      <c r="H12" s="282"/>
      <c r="I12" s="276" t="n">
        <f aca="false">SUM(I9:I11)</f>
        <v>15999.9999999998</v>
      </c>
      <c r="J12" s="276" t="n">
        <f aca="false">SUM(J9:J11)</f>
        <v>15999.9999999998</v>
      </c>
      <c r="K12" s="276" t="n">
        <f aca="false">SUM(K9:K11)</f>
        <v>0</v>
      </c>
    </row>
    <row r="13" customFormat="false" ht="13.5" hidden="false" customHeight="false" outlineLevel="0" collapsed="false">
      <c r="A13" s="173"/>
      <c r="B13" s="173"/>
      <c r="C13" s="173"/>
      <c r="D13" s="173"/>
      <c r="E13" s="173"/>
      <c r="F13" s="182"/>
      <c r="G13" s="173"/>
      <c r="H13" s="173"/>
      <c r="I13" s="183"/>
      <c r="J13" s="184"/>
      <c r="K13" s="184"/>
    </row>
    <row r="14" customFormat="false" ht="12.75" hidden="false" customHeight="false" outlineLevel="0" collapsed="false">
      <c r="A14" s="173"/>
      <c r="B14" s="173"/>
      <c r="C14" s="173"/>
      <c r="D14" s="175"/>
      <c r="E14" s="173"/>
      <c r="F14" s="173"/>
      <c r="G14" s="187"/>
      <c r="H14" s="186"/>
      <c r="I14" s="173"/>
      <c r="J14" s="179"/>
      <c r="K14" s="179"/>
    </row>
    <row r="15" customFormat="false" ht="12.75" hidden="false" customHeight="false" outlineLevel="0" collapsed="false">
      <c r="A15" s="192"/>
      <c r="B15" s="192"/>
      <c r="C15" s="192"/>
      <c r="D15" s="192"/>
      <c r="E15" s="192"/>
      <c r="F15" s="192"/>
      <c r="G15" s="192"/>
      <c r="H15" s="192"/>
      <c r="I15" s="192"/>
      <c r="J15" s="193"/>
      <c r="K15" s="193"/>
    </row>
    <row r="17" customFormat="false" ht="12.75" hidden="false" customHeight="false" outlineLevel="0" collapsed="false">
      <c r="A17" s="5" t="s">
        <v>261</v>
      </c>
    </row>
    <row r="19" customFormat="false" ht="12.75" hidden="false" customHeight="false" outlineLevel="0" collapsed="false">
      <c r="A19" s="283" t="n">
        <v>37226</v>
      </c>
      <c r="B19" s="0" t="n">
        <v>4.785</v>
      </c>
    </row>
    <row r="20" customFormat="false" ht="12.75" hidden="false" customHeight="false" outlineLevel="0" collapsed="false">
      <c r="A20" s="283" t="n">
        <v>37438</v>
      </c>
      <c r="B20" s="271" t="n">
        <v>4.042</v>
      </c>
    </row>
    <row r="21" customFormat="false" ht="12.75" hidden="false" customHeight="false" outlineLevel="0" collapsed="false">
      <c r="A21" s="283"/>
      <c r="B21" s="0" t="n">
        <f aca="false">+B19-B20</f>
        <v>0.743</v>
      </c>
      <c r="C21" s="0" t="s">
        <v>214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IV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4.56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259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 t="s">
        <v>262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251</v>
      </c>
      <c r="E6" s="161"/>
      <c r="F6" s="161" t="s">
        <v>130</v>
      </c>
      <c r="G6" s="161" t="s">
        <v>141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/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36831</v>
      </c>
      <c r="B9" s="173"/>
      <c r="C9" s="174" t="s">
        <v>255</v>
      </c>
      <c r="D9" s="175" t="n">
        <v>1</v>
      </c>
      <c r="E9" s="173"/>
      <c r="F9" s="176" t="n">
        <v>155000</v>
      </c>
      <c r="G9" s="175" t="n">
        <f aca="false">+[6]Curves!$C$23-[6]Curves!$C$30</f>
        <v>0.743</v>
      </c>
      <c r="H9" s="175" t="n">
        <f aca="false">+G9-D9</f>
        <v>-0.257</v>
      </c>
      <c r="I9" s="177"/>
      <c r="J9" s="178" t="n">
        <f aca="false">+I9</f>
        <v>0</v>
      </c>
      <c r="K9" s="178"/>
    </row>
    <row r="10" customFormat="false" ht="12.75" hidden="false" customHeight="false" outlineLevel="0" collapsed="false">
      <c r="A10" s="172"/>
      <c r="B10" s="173"/>
      <c r="C10" s="174"/>
      <c r="D10" s="175"/>
      <c r="E10" s="173"/>
      <c r="F10" s="176"/>
      <c r="G10" s="173"/>
      <c r="H10" s="175"/>
      <c r="I10" s="177"/>
      <c r="J10" s="178"/>
      <c r="K10" s="178"/>
    </row>
    <row r="11" customFormat="false" ht="12.75" hidden="false" customHeight="false" outlineLevel="0" collapsed="false">
      <c r="A11" s="172"/>
      <c r="B11" s="173"/>
      <c r="C11" s="174"/>
      <c r="D11" s="175"/>
      <c r="E11" s="173"/>
      <c r="F11" s="176"/>
      <c r="G11" s="173"/>
      <c r="H11" s="175"/>
      <c r="I11" s="177"/>
      <c r="J11" s="178"/>
      <c r="K11" s="178"/>
    </row>
    <row r="12" customFormat="false" ht="13.5" hidden="false" customHeight="false" outlineLevel="0" collapsed="false">
      <c r="A12" s="173"/>
      <c r="B12" s="173"/>
      <c r="C12" s="173"/>
      <c r="D12" s="173"/>
      <c r="E12" s="173"/>
      <c r="F12" s="190" t="n">
        <f aca="false">SUM(F9:F11)</f>
        <v>155000</v>
      </c>
      <c r="G12" s="173"/>
      <c r="H12" s="282"/>
      <c r="I12" s="276" t="n">
        <f aca="false">SUM(I9:I11)</f>
        <v>0</v>
      </c>
      <c r="J12" s="276" t="n">
        <f aca="false">SUM(J9:J11)</f>
        <v>0</v>
      </c>
      <c r="K12" s="276" t="n">
        <f aca="false">SUM(K9:K11)</f>
        <v>0</v>
      </c>
    </row>
    <row r="13" customFormat="false" ht="13.5" hidden="false" customHeight="false" outlineLevel="0" collapsed="false">
      <c r="A13" s="173"/>
      <c r="B13" s="173"/>
      <c r="C13" s="173"/>
      <c r="D13" s="173"/>
      <c r="E13" s="173"/>
      <c r="F13" s="182"/>
      <c r="G13" s="173"/>
      <c r="H13" s="173"/>
      <c r="I13" s="183"/>
      <c r="J13" s="184"/>
      <c r="K13" s="184"/>
    </row>
    <row r="14" customFormat="false" ht="12.75" hidden="false" customHeight="false" outlineLevel="0" collapsed="false">
      <c r="A14" s="173"/>
      <c r="B14" s="173"/>
      <c r="C14" s="173"/>
      <c r="D14" s="175"/>
      <c r="E14" s="173"/>
      <c r="F14" s="173"/>
      <c r="G14" s="187"/>
      <c r="H14" s="186"/>
      <c r="I14" s="173"/>
      <c r="J14" s="179"/>
      <c r="K14" s="179"/>
    </row>
    <row r="15" customFormat="false" ht="12.75" hidden="false" customHeight="false" outlineLevel="0" collapsed="false">
      <c r="A15" s="192"/>
      <c r="B15" s="192"/>
      <c r="C15" s="192"/>
      <c r="D15" s="192"/>
      <c r="E15" s="192"/>
      <c r="F15" s="192"/>
      <c r="G15" s="192"/>
      <c r="H15" s="192"/>
      <c r="I15" s="192"/>
      <c r="J15" s="193"/>
      <c r="K15" s="193"/>
    </row>
    <row r="17" customFormat="false" ht="12.75" hidden="false" customHeight="false" outlineLevel="0" collapsed="false">
      <c r="A17" s="5" t="s">
        <v>261</v>
      </c>
    </row>
    <row r="19" customFormat="false" ht="12.75" hidden="false" customHeight="false" outlineLevel="0" collapsed="false">
      <c r="A19" s="283" t="n">
        <v>37226</v>
      </c>
      <c r="B19" s="0" t="n">
        <v>4.785</v>
      </c>
    </row>
    <row r="20" customFormat="false" ht="12.75" hidden="false" customHeight="false" outlineLevel="0" collapsed="false">
      <c r="A20" s="283" t="n">
        <v>37438</v>
      </c>
      <c r="B20" s="271" t="n">
        <v>4.042</v>
      </c>
    </row>
    <row r="21" customFormat="false" ht="12.75" hidden="false" customHeight="false" outlineLevel="0" collapsed="false">
      <c r="A21" s="283"/>
      <c r="B21" s="0" t="n">
        <f aca="false">+B19-B20</f>
        <v>0.743</v>
      </c>
      <c r="C21" s="0" t="s">
        <v>214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263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135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36892</v>
      </c>
      <c r="B9" s="173"/>
      <c r="C9" s="174" t="s">
        <v>264</v>
      </c>
      <c r="D9" s="175" t="n">
        <v>0.1</v>
      </c>
      <c r="E9" s="173"/>
      <c r="F9" s="176" t="n">
        <f aca="false">-5000*31</f>
        <v>-155000</v>
      </c>
      <c r="G9" s="175"/>
      <c r="H9" s="175"/>
      <c r="I9" s="177" t="n">
        <f aca="false">-F9*D9</f>
        <v>15500</v>
      </c>
      <c r="J9" s="178" t="n">
        <f aca="false">+I9</f>
        <v>15500</v>
      </c>
      <c r="K9" s="178"/>
    </row>
    <row r="10" customFormat="false" ht="12.75" hidden="false" customHeight="false" outlineLevel="0" collapsed="false">
      <c r="A10" s="172" t="n">
        <v>36923</v>
      </c>
      <c r="B10" s="173"/>
      <c r="C10" s="174" t="s">
        <v>264</v>
      </c>
      <c r="D10" s="175" t="n">
        <v>0.1</v>
      </c>
      <c r="E10" s="173"/>
      <c r="F10" s="176" t="n">
        <f aca="false">-5000*28</f>
        <v>-140000</v>
      </c>
      <c r="G10" s="175"/>
      <c r="H10" s="175"/>
      <c r="I10" s="177" t="n">
        <f aca="false">-F10*D10</f>
        <v>14000</v>
      </c>
      <c r="J10" s="178" t="n">
        <f aca="false">+I10</f>
        <v>14000</v>
      </c>
      <c r="K10" s="178"/>
    </row>
    <row r="11" customFormat="false" ht="12.75" hidden="false" customHeight="false" outlineLevel="0" collapsed="false">
      <c r="A11" s="172" t="n">
        <v>36951</v>
      </c>
      <c r="B11" s="173"/>
      <c r="C11" s="174" t="s">
        <v>264</v>
      </c>
      <c r="D11" s="175" t="n">
        <v>0.1</v>
      </c>
      <c r="E11" s="173"/>
      <c r="F11" s="176" t="n">
        <f aca="false">-5000*31</f>
        <v>-155000</v>
      </c>
      <c r="G11" s="175"/>
      <c r="H11" s="175"/>
      <c r="I11" s="177" t="n">
        <f aca="false">-F11*D11</f>
        <v>15500</v>
      </c>
      <c r="J11" s="178" t="n">
        <f aca="false">+I11</f>
        <v>15500</v>
      </c>
      <c r="K11" s="178"/>
    </row>
    <row r="12" customFormat="false" ht="12.75" hidden="false" customHeight="false" outlineLevel="0" collapsed="false">
      <c r="A12" s="172" t="n">
        <v>36982</v>
      </c>
      <c r="B12" s="173"/>
      <c r="C12" s="174" t="s">
        <v>264</v>
      </c>
      <c r="D12" s="175" t="n">
        <v>0.1</v>
      </c>
      <c r="E12" s="173"/>
      <c r="F12" s="176" t="n">
        <f aca="false">-5000*30</f>
        <v>-150000</v>
      </c>
      <c r="G12" s="175"/>
      <c r="H12" s="175"/>
      <c r="I12" s="177" t="n">
        <f aca="false">-F12*D12</f>
        <v>15000</v>
      </c>
      <c r="J12" s="178" t="n">
        <f aca="false">+I12</f>
        <v>15000</v>
      </c>
      <c r="K12" s="178"/>
    </row>
    <row r="13" customFormat="false" ht="12.75" hidden="false" customHeight="false" outlineLevel="0" collapsed="false">
      <c r="A13" s="172" t="n">
        <v>37012</v>
      </c>
      <c r="B13" s="173"/>
      <c r="C13" s="174" t="s">
        <v>264</v>
      </c>
      <c r="D13" s="175" t="n">
        <v>0.1</v>
      </c>
      <c r="E13" s="173"/>
      <c r="F13" s="176" t="n">
        <f aca="false">-5000*31</f>
        <v>-155000</v>
      </c>
      <c r="G13" s="173"/>
      <c r="H13" s="175"/>
      <c r="I13" s="177" t="n">
        <f aca="false">-F13*D13</f>
        <v>15500</v>
      </c>
      <c r="J13" s="178" t="n">
        <f aca="false">+I13</f>
        <v>15500</v>
      </c>
      <c r="K13" s="178"/>
    </row>
    <row r="14" customFormat="false" ht="12.75" hidden="false" customHeight="false" outlineLevel="0" collapsed="false">
      <c r="A14" s="172" t="n">
        <v>37043</v>
      </c>
      <c r="B14" s="173"/>
      <c r="C14" s="174" t="s">
        <v>264</v>
      </c>
      <c r="D14" s="175" t="n">
        <v>0.1</v>
      </c>
      <c r="E14" s="173"/>
      <c r="F14" s="176" t="n">
        <f aca="false">-5000*30</f>
        <v>-150000</v>
      </c>
      <c r="G14" s="173"/>
      <c r="H14" s="175"/>
      <c r="I14" s="177" t="n">
        <f aca="false">-F14*D14</f>
        <v>15000</v>
      </c>
      <c r="J14" s="178" t="n">
        <f aca="false">+I14</f>
        <v>15000</v>
      </c>
      <c r="K14" s="178"/>
    </row>
    <row r="15" customFormat="false" ht="12.75" hidden="false" customHeight="false" outlineLevel="0" collapsed="false">
      <c r="A15" s="172" t="n">
        <v>37073</v>
      </c>
      <c r="B15" s="173"/>
      <c r="C15" s="174" t="s">
        <v>264</v>
      </c>
      <c r="D15" s="175" t="n">
        <v>0.1</v>
      </c>
      <c r="E15" s="173"/>
      <c r="F15" s="176" t="n">
        <f aca="false">-5000*31</f>
        <v>-155000</v>
      </c>
      <c r="G15" s="173"/>
      <c r="H15" s="175"/>
      <c r="I15" s="177" t="n">
        <f aca="false">-F15*D15</f>
        <v>15500</v>
      </c>
      <c r="J15" s="178" t="n">
        <f aca="false">+I15</f>
        <v>15500</v>
      </c>
      <c r="K15" s="178"/>
    </row>
    <row r="16" customFormat="false" ht="12.75" hidden="false" customHeight="false" outlineLevel="0" collapsed="false">
      <c r="A16" s="172" t="n">
        <v>37104</v>
      </c>
      <c r="B16" s="173"/>
      <c r="C16" s="174" t="s">
        <v>264</v>
      </c>
      <c r="D16" s="175" t="n">
        <v>0.1</v>
      </c>
      <c r="E16" s="173"/>
      <c r="F16" s="176" t="n">
        <f aca="false">-5000*31</f>
        <v>-155000</v>
      </c>
      <c r="G16" s="173"/>
      <c r="H16" s="175"/>
      <c r="I16" s="177" t="n">
        <f aca="false">-F16*D16</f>
        <v>15500</v>
      </c>
      <c r="J16" s="178" t="n">
        <f aca="false">+I16</f>
        <v>15500</v>
      </c>
      <c r="K16" s="178"/>
    </row>
    <row r="17" customFormat="false" ht="12.75" hidden="false" customHeight="false" outlineLevel="0" collapsed="false">
      <c r="A17" s="172" t="n">
        <v>37135</v>
      </c>
      <c r="B17" s="173"/>
      <c r="C17" s="174" t="s">
        <v>264</v>
      </c>
      <c r="D17" s="175" t="n">
        <v>0.1</v>
      </c>
      <c r="E17" s="173"/>
      <c r="F17" s="176" t="n">
        <f aca="false">-5000*30</f>
        <v>-150000</v>
      </c>
      <c r="G17" s="173"/>
      <c r="H17" s="175"/>
      <c r="I17" s="177" t="n">
        <f aca="false">-F17*D17</f>
        <v>15000</v>
      </c>
      <c r="J17" s="178" t="n">
        <f aca="false">+I17</f>
        <v>15000</v>
      </c>
      <c r="K17" s="178"/>
    </row>
    <row r="18" customFormat="false" ht="12.75" hidden="false" customHeight="false" outlineLevel="0" collapsed="false">
      <c r="A18" s="172" t="n">
        <v>37165</v>
      </c>
      <c r="B18" s="173"/>
      <c r="C18" s="174" t="s">
        <v>264</v>
      </c>
      <c r="D18" s="175" t="n">
        <v>0.1</v>
      </c>
      <c r="E18" s="173"/>
      <c r="F18" s="176" t="n">
        <f aca="false">-5000*31</f>
        <v>-155000</v>
      </c>
      <c r="G18" s="173"/>
      <c r="H18" s="175"/>
      <c r="I18" s="177" t="n">
        <f aca="false">-F18*D18</f>
        <v>15500</v>
      </c>
      <c r="J18" s="178" t="n">
        <f aca="false">+I18</f>
        <v>15500</v>
      </c>
      <c r="K18" s="178"/>
    </row>
    <row r="19" customFormat="false" ht="12.75" hidden="false" customHeight="false" outlineLevel="0" collapsed="false">
      <c r="A19" s="172" t="n">
        <v>37196</v>
      </c>
      <c r="B19" s="173"/>
      <c r="C19" s="174" t="s">
        <v>264</v>
      </c>
      <c r="D19" s="175" t="n">
        <v>0.1</v>
      </c>
      <c r="E19" s="173"/>
      <c r="F19" s="176" t="n">
        <f aca="false">-5000*30</f>
        <v>-150000</v>
      </c>
      <c r="G19" s="173"/>
      <c r="H19" s="175"/>
      <c r="I19" s="177" t="n">
        <f aca="false">-F19*D19</f>
        <v>15000</v>
      </c>
      <c r="J19" s="178" t="n">
        <f aca="false">+I19</f>
        <v>15000</v>
      </c>
      <c r="K19" s="178"/>
    </row>
    <row r="20" customFormat="false" ht="12.75" hidden="false" customHeight="false" outlineLevel="0" collapsed="false">
      <c r="A20" s="172" t="n">
        <v>37226</v>
      </c>
      <c r="B20" s="173"/>
      <c r="C20" s="174" t="s">
        <v>264</v>
      </c>
      <c r="D20" s="175" t="n">
        <v>0.1</v>
      </c>
      <c r="E20" s="173"/>
      <c r="F20" s="176" t="n">
        <f aca="false">-5000*31</f>
        <v>-155000</v>
      </c>
      <c r="G20" s="173"/>
      <c r="H20" s="175"/>
      <c r="I20" s="177" t="n">
        <f aca="false">-F20*D20</f>
        <v>15500</v>
      </c>
      <c r="J20" s="178" t="n">
        <f aca="false">+I20</f>
        <v>15500</v>
      </c>
      <c r="K20" s="178"/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H21" s="175"/>
      <c r="I21" s="177"/>
      <c r="J21" s="179"/>
      <c r="K21" s="178"/>
    </row>
    <row r="22" customFormat="false" ht="12.75" hidden="false" customHeight="false" outlineLevel="0" collapsed="false">
      <c r="A22" s="173"/>
      <c r="B22" s="173"/>
      <c r="C22" s="173"/>
      <c r="D22" s="173"/>
      <c r="E22" s="173"/>
      <c r="F22" s="180" t="n">
        <f aca="false">SUM(F9:F20)</f>
        <v>-1825000</v>
      </c>
      <c r="G22" s="173"/>
      <c r="H22" s="282"/>
      <c r="I22" s="181" t="n">
        <f aca="false">SUM(I9:I20)</f>
        <v>182500</v>
      </c>
      <c r="J22" s="181" t="n">
        <f aca="false">SUM(J9:J20)</f>
        <v>182500</v>
      </c>
      <c r="K22" s="181" t="n">
        <f aca="false">SUM(K9:K20)</f>
        <v>0</v>
      </c>
    </row>
    <row r="23" customFormat="false" ht="12.75" hidden="false" customHeight="false" outlineLevel="0" collapsed="false">
      <c r="A23" s="173"/>
      <c r="B23" s="173"/>
      <c r="C23" s="173"/>
      <c r="D23" s="173"/>
      <c r="E23" s="173"/>
      <c r="F23" s="182"/>
      <c r="G23" s="173"/>
      <c r="H23" s="173"/>
      <c r="I23" s="183"/>
      <c r="J23" s="184"/>
      <c r="K23" s="184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73"/>
      <c r="G24" s="185" t="s">
        <v>265</v>
      </c>
      <c r="H24" s="186"/>
      <c r="I24" s="173"/>
      <c r="J24" s="179"/>
      <c r="K24" s="179"/>
    </row>
    <row r="25" customFormat="false" ht="12.75" hidden="false" customHeight="false" outlineLevel="0" collapsed="false">
      <c r="A25" s="173"/>
      <c r="B25" s="173"/>
      <c r="C25" s="173"/>
      <c r="D25" s="175"/>
      <c r="E25" s="173"/>
      <c r="F25" s="173"/>
      <c r="G25" s="187"/>
      <c r="H25" s="186"/>
      <c r="I25" s="173"/>
      <c r="J25" s="179"/>
      <c r="K25" s="179"/>
    </row>
    <row r="26" customFormat="false" ht="12.75" hidden="false" customHeight="false" outlineLevel="0" collapsed="false">
      <c r="A26" s="172" t="n">
        <v>36892</v>
      </c>
      <c r="B26" s="173"/>
      <c r="C26" s="174" t="s">
        <v>137</v>
      </c>
      <c r="D26" s="175" t="n">
        <v>3</v>
      </c>
      <c r="E26" s="173"/>
      <c r="F26" s="176" t="n">
        <f aca="false">5000*31</f>
        <v>155000</v>
      </c>
      <c r="G26" s="175"/>
      <c r="H26" s="175" t="e">
        <f aca="false">+'[7]'!$R12</f>
        <v>#N/A</v>
      </c>
      <c r="I26" s="177" t="e">
        <f aca="false">(+D26-H26)*F26</f>
        <v>#N/A</v>
      </c>
      <c r="J26" s="178"/>
      <c r="K26" s="178" t="e">
        <f aca="false">+I26</f>
        <v>#N/A</v>
      </c>
    </row>
    <row r="27" customFormat="false" ht="12.75" hidden="false" customHeight="false" outlineLevel="0" collapsed="false">
      <c r="A27" s="172" t="n">
        <v>36923</v>
      </c>
      <c r="B27" s="173"/>
      <c r="C27" s="174" t="s">
        <v>137</v>
      </c>
      <c r="D27" s="175" t="n">
        <v>3</v>
      </c>
      <c r="E27" s="173"/>
      <c r="F27" s="176" t="n">
        <f aca="false">5000*28</f>
        <v>140000</v>
      </c>
      <c r="G27" s="175"/>
      <c r="H27" s="175" t="e">
        <f aca="false">+'[7]'!$R13</f>
        <v>#N/A</v>
      </c>
      <c r="I27" s="177" t="e">
        <f aca="false">(+D27-H27)*F27</f>
        <v>#N/A</v>
      </c>
      <c r="J27" s="178"/>
      <c r="K27" s="178" t="e">
        <f aca="false">+I27</f>
        <v>#N/A</v>
      </c>
    </row>
    <row r="28" customFormat="false" ht="12.75" hidden="false" customHeight="false" outlineLevel="0" collapsed="false">
      <c r="A28" s="172" t="n">
        <v>36951</v>
      </c>
      <c r="B28" s="173"/>
      <c r="C28" s="174" t="s">
        <v>137</v>
      </c>
      <c r="D28" s="175" t="n">
        <v>3</v>
      </c>
      <c r="E28" s="173"/>
      <c r="F28" s="176" t="n">
        <f aca="false">5000*31</f>
        <v>155000</v>
      </c>
      <c r="G28" s="175"/>
      <c r="H28" s="175" t="e">
        <f aca="false">+'[7]'!$R14</f>
        <v>#N/A</v>
      </c>
      <c r="I28" s="177" t="e">
        <f aca="false">(+D28-H28)*F28</f>
        <v>#N/A</v>
      </c>
      <c r="J28" s="178"/>
      <c r="K28" s="178" t="e">
        <f aca="false">+I28</f>
        <v>#N/A</v>
      </c>
    </row>
    <row r="29" customFormat="false" ht="12.75" hidden="false" customHeight="false" outlineLevel="0" collapsed="false">
      <c r="A29" s="172" t="n">
        <v>36982</v>
      </c>
      <c r="B29" s="173"/>
      <c r="C29" s="174" t="s">
        <v>137</v>
      </c>
      <c r="D29" s="175" t="n">
        <v>3</v>
      </c>
      <c r="E29" s="173"/>
      <c r="F29" s="176" t="n">
        <f aca="false">5000*30</f>
        <v>150000</v>
      </c>
      <c r="G29" s="175"/>
      <c r="H29" s="175" t="e">
        <f aca="false">+'[7]'!$R15</f>
        <v>#N/A</v>
      </c>
      <c r="I29" s="177" t="e">
        <f aca="false">(+D29-H29)*F29</f>
        <v>#N/A</v>
      </c>
      <c r="J29" s="178"/>
      <c r="K29" s="178" t="e">
        <f aca="false">+I29</f>
        <v>#N/A</v>
      </c>
    </row>
    <row r="30" customFormat="false" ht="12.75" hidden="false" customHeight="false" outlineLevel="0" collapsed="false">
      <c r="A30" s="172" t="n">
        <v>37012</v>
      </c>
      <c r="B30" s="173"/>
      <c r="C30" s="174" t="s">
        <v>137</v>
      </c>
      <c r="D30" s="175" t="n">
        <v>3</v>
      </c>
      <c r="E30" s="173"/>
      <c r="F30" s="176" t="n">
        <f aca="false">5000*31</f>
        <v>155000</v>
      </c>
      <c r="G30" s="173"/>
      <c r="H30" s="175" t="e">
        <f aca="false">+'[7]'!$R16</f>
        <v>#N/A</v>
      </c>
      <c r="I30" s="177" t="e">
        <f aca="false">(+D30-H30)*F30</f>
        <v>#N/A</v>
      </c>
      <c r="J30" s="179"/>
      <c r="K30" s="178" t="e">
        <f aca="false">+I30</f>
        <v>#N/A</v>
      </c>
    </row>
    <row r="31" customFormat="false" ht="12.75" hidden="false" customHeight="false" outlineLevel="0" collapsed="false">
      <c r="A31" s="172" t="n">
        <v>37043</v>
      </c>
      <c r="B31" s="173"/>
      <c r="C31" s="174" t="s">
        <v>137</v>
      </c>
      <c r="D31" s="175" t="n">
        <v>3</v>
      </c>
      <c r="E31" s="173"/>
      <c r="F31" s="176" t="n">
        <f aca="false">5000*30</f>
        <v>150000</v>
      </c>
      <c r="G31" s="173"/>
      <c r="H31" s="175" t="e">
        <f aca="false">+'[7]'!$R17</f>
        <v>#N/A</v>
      </c>
      <c r="I31" s="177" t="e">
        <f aca="false">(+D31-H31)*F31</f>
        <v>#N/A</v>
      </c>
      <c r="J31" s="179"/>
      <c r="K31" s="178" t="e">
        <f aca="false">+I31</f>
        <v>#N/A</v>
      </c>
    </row>
    <row r="32" customFormat="false" ht="12.75" hidden="false" customHeight="false" outlineLevel="0" collapsed="false">
      <c r="A32" s="172" t="n">
        <v>37073</v>
      </c>
      <c r="B32" s="173"/>
      <c r="C32" s="174" t="s">
        <v>137</v>
      </c>
      <c r="D32" s="175" t="n">
        <v>3</v>
      </c>
      <c r="E32" s="173"/>
      <c r="F32" s="176" t="n">
        <f aca="false">5000*31</f>
        <v>155000</v>
      </c>
      <c r="G32" s="173"/>
      <c r="H32" s="175" t="e">
        <f aca="false">+'[7]'!$R18</f>
        <v>#N/A</v>
      </c>
      <c r="I32" s="177" t="e">
        <f aca="false">(+D32-H32)*F32</f>
        <v>#N/A</v>
      </c>
      <c r="J32" s="179"/>
      <c r="K32" s="178" t="e">
        <f aca="false">+I32</f>
        <v>#N/A</v>
      </c>
    </row>
    <row r="33" customFormat="false" ht="12.75" hidden="false" customHeight="false" outlineLevel="0" collapsed="false">
      <c r="A33" s="172" t="n">
        <v>37104</v>
      </c>
      <c r="B33" s="173"/>
      <c r="C33" s="174" t="s">
        <v>137</v>
      </c>
      <c r="D33" s="175" t="n">
        <v>3</v>
      </c>
      <c r="E33" s="173"/>
      <c r="F33" s="176" t="n">
        <f aca="false">5000*31</f>
        <v>155000</v>
      </c>
      <c r="G33" s="173"/>
      <c r="H33" s="175" t="e">
        <f aca="false">+'[7]'!$R19</f>
        <v>#N/A</v>
      </c>
      <c r="I33" s="177" t="e">
        <f aca="false">(+D33-H33)*F33</f>
        <v>#N/A</v>
      </c>
      <c r="J33" s="179"/>
      <c r="K33" s="178" t="e">
        <f aca="false">+I33</f>
        <v>#N/A</v>
      </c>
    </row>
    <row r="34" customFormat="false" ht="12.75" hidden="false" customHeight="false" outlineLevel="0" collapsed="false">
      <c r="A34" s="172" t="n">
        <v>37135</v>
      </c>
      <c r="B34" s="173"/>
      <c r="C34" s="174" t="s">
        <v>137</v>
      </c>
      <c r="D34" s="175" t="n">
        <v>3</v>
      </c>
      <c r="E34" s="173"/>
      <c r="F34" s="176" t="n">
        <f aca="false">5000*30</f>
        <v>150000</v>
      </c>
      <c r="G34" s="173"/>
      <c r="H34" s="175" t="e">
        <f aca="false">+'[7]'!$R20</f>
        <v>#N/A</v>
      </c>
      <c r="I34" s="177" t="e">
        <f aca="false">(+D34-H34)*F34</f>
        <v>#N/A</v>
      </c>
      <c r="J34" s="179"/>
      <c r="K34" s="178" t="e">
        <f aca="false">+I34</f>
        <v>#N/A</v>
      </c>
    </row>
    <row r="35" customFormat="false" ht="12.75" hidden="false" customHeight="false" outlineLevel="0" collapsed="false">
      <c r="A35" s="172" t="n">
        <v>37165</v>
      </c>
      <c r="B35" s="173"/>
      <c r="C35" s="174" t="s">
        <v>137</v>
      </c>
      <c r="D35" s="175" t="n">
        <v>3</v>
      </c>
      <c r="E35" s="173"/>
      <c r="F35" s="176" t="n">
        <f aca="false">5000*31</f>
        <v>155000</v>
      </c>
      <c r="G35" s="173"/>
      <c r="H35" s="175" t="e">
        <f aca="false">+'[7]'!$R21</f>
        <v>#N/A</v>
      </c>
      <c r="I35" s="177" t="e">
        <f aca="false">(+D35-H35)*F35</f>
        <v>#N/A</v>
      </c>
      <c r="J35" s="179"/>
      <c r="K35" s="178" t="e">
        <f aca="false">+I35</f>
        <v>#N/A</v>
      </c>
    </row>
    <row r="36" customFormat="false" ht="12.75" hidden="false" customHeight="false" outlineLevel="0" collapsed="false">
      <c r="A36" s="172" t="n">
        <v>37196</v>
      </c>
      <c r="B36" s="173"/>
      <c r="C36" s="174" t="s">
        <v>137</v>
      </c>
      <c r="D36" s="175" t="n">
        <v>3</v>
      </c>
      <c r="E36" s="173"/>
      <c r="F36" s="176" t="n">
        <f aca="false">5000*30</f>
        <v>150000</v>
      </c>
      <c r="G36" s="173"/>
      <c r="H36" s="175" t="e">
        <f aca="false">+'[7]'!$R22</f>
        <v>#N/A</v>
      </c>
      <c r="I36" s="177" t="e">
        <f aca="false">(+D36-H36)*F36</f>
        <v>#N/A</v>
      </c>
      <c r="J36" s="179"/>
      <c r="K36" s="178" t="e">
        <f aca="false">+I36</f>
        <v>#N/A</v>
      </c>
    </row>
    <row r="37" customFormat="false" ht="12.75" hidden="false" customHeight="false" outlineLevel="0" collapsed="false">
      <c r="A37" s="172" t="n">
        <v>37226</v>
      </c>
      <c r="B37" s="173"/>
      <c r="C37" s="174" t="s">
        <v>137</v>
      </c>
      <c r="D37" s="175" t="n">
        <v>3</v>
      </c>
      <c r="E37" s="173"/>
      <c r="F37" s="176" t="n">
        <f aca="false">5000*31</f>
        <v>155000</v>
      </c>
      <c r="G37" s="173"/>
      <c r="H37" s="175" t="e">
        <f aca="false">+'[7]'!$R23</f>
        <v>#N/A</v>
      </c>
      <c r="I37" s="177" t="e">
        <f aca="false">(+D37-H37)*F37</f>
        <v>#N/A</v>
      </c>
      <c r="J37" s="179"/>
      <c r="K37" s="178" t="e">
        <f aca="false">+I37</f>
        <v>#N/A</v>
      </c>
    </row>
    <row r="38" customFormat="false" ht="12.75" hidden="false" customHeight="false" outlineLevel="0" collapsed="false">
      <c r="A38" s="172"/>
      <c r="B38" s="173"/>
      <c r="C38" s="174"/>
      <c r="D38" s="175"/>
      <c r="E38" s="173"/>
      <c r="F38" s="176"/>
      <c r="G38" s="173"/>
      <c r="H38" s="175"/>
      <c r="I38" s="188"/>
      <c r="J38" s="179"/>
      <c r="K38" s="178"/>
    </row>
    <row r="39" customFormat="false" ht="12.75" hidden="false" customHeight="false" outlineLevel="0" collapsed="false">
      <c r="A39" s="173"/>
      <c r="B39" s="173"/>
      <c r="C39" s="173"/>
      <c r="D39" s="173"/>
      <c r="E39" s="173"/>
      <c r="F39" s="180" t="n">
        <f aca="false">SUM(F26:F38)</f>
        <v>1825000</v>
      </c>
      <c r="G39" s="173"/>
      <c r="H39" s="173"/>
      <c r="I39" s="189" t="e">
        <f aca="false">SUM(I26:I38)</f>
        <v>#N/A</v>
      </c>
      <c r="J39" s="189" t="n">
        <f aca="false">SUM(J26:J38)</f>
        <v>0</v>
      </c>
      <c r="K39" s="189" t="e">
        <f aca="false">SUM(K26:K38)</f>
        <v>#N/A</v>
      </c>
    </row>
    <row r="40" customFormat="false" ht="12.75" hidden="false" customHeight="false" outlineLevel="0" collapsed="false">
      <c r="A40" s="173"/>
      <c r="B40" s="173"/>
      <c r="C40" s="173"/>
      <c r="D40" s="173"/>
      <c r="E40" s="173"/>
      <c r="F40" s="173"/>
      <c r="G40" s="173"/>
      <c r="H40" s="173"/>
      <c r="I40" s="173"/>
      <c r="J40" s="179"/>
      <c r="K40" s="179"/>
    </row>
    <row r="41" customFormat="false" ht="13.5" hidden="false" customHeight="false" outlineLevel="0" collapsed="false">
      <c r="A41" s="173"/>
      <c r="B41" s="173"/>
      <c r="C41" s="173"/>
      <c r="D41" s="173"/>
      <c r="E41" s="173"/>
      <c r="F41" s="190" t="n">
        <f aca="false">+F39+F22</f>
        <v>0</v>
      </c>
      <c r="G41" s="173"/>
      <c r="H41" s="173"/>
      <c r="I41" s="191" t="e">
        <f aca="false">+I39+I22</f>
        <v>#N/A</v>
      </c>
      <c r="J41" s="191" t="n">
        <f aca="false">+J39+J22</f>
        <v>182500</v>
      </c>
      <c r="K41" s="191" t="e">
        <f aca="false">+K39+K22</f>
        <v>#N/A</v>
      </c>
    </row>
    <row r="42" customFormat="false" ht="13.5" hidden="false" customHeight="false" outlineLevel="0" collapsed="false">
      <c r="A42" s="192"/>
      <c r="B42" s="192"/>
      <c r="C42" s="192"/>
      <c r="D42" s="192"/>
      <c r="E42" s="192"/>
      <c r="F42" s="192"/>
      <c r="G42" s="192"/>
      <c r="H42" s="192"/>
      <c r="I42" s="192"/>
      <c r="J42" s="193"/>
      <c r="K42" s="193"/>
    </row>
    <row r="44" customFormat="false" ht="12.75" hidden="false" customHeight="false" outlineLevel="0" collapsed="false">
      <c r="A44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2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233" width="12.14"/>
    <col collapsed="false" customWidth="true" hidden="false" outlineLevel="0" max="11" min="11" style="233" width="13.7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266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284"/>
      <c r="K4" s="284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285" t="s">
        <v>267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286" t="s">
        <v>268</v>
      </c>
      <c r="B9" s="173"/>
      <c r="C9" s="174"/>
      <c r="D9" s="287" t="n">
        <v>1.945</v>
      </c>
      <c r="E9" s="177"/>
      <c r="F9" s="176" t="n">
        <f aca="false">250*30</f>
        <v>7500</v>
      </c>
      <c r="G9" s="287" t="n">
        <v>1.96</v>
      </c>
      <c r="H9" s="287"/>
      <c r="I9" s="199" t="n">
        <f aca="false">SUM(D9-G9)*F9</f>
        <v>-112.499999999999</v>
      </c>
      <c r="J9" s="199" t="n">
        <f aca="false">+I9</f>
        <v>-112.499999999999</v>
      </c>
      <c r="K9" s="199"/>
    </row>
    <row r="10" customFormat="false" ht="12.75" hidden="false" customHeight="false" outlineLevel="0" collapsed="false">
      <c r="A10" s="286" t="s">
        <v>269</v>
      </c>
      <c r="B10" s="173"/>
      <c r="C10" s="174"/>
      <c r="D10" s="287" t="n">
        <v>1.945</v>
      </c>
      <c r="E10" s="177"/>
      <c r="F10" s="176" t="n">
        <f aca="false">250*31</f>
        <v>7750</v>
      </c>
      <c r="G10" s="287" t="n">
        <v>2.05</v>
      </c>
      <c r="H10" s="287"/>
      <c r="I10" s="199" t="n">
        <f aca="false">SUM(D10-G10)*F10</f>
        <v>-813.749999999998</v>
      </c>
      <c r="J10" s="199" t="n">
        <f aca="false">+I10</f>
        <v>-813.749999999998</v>
      </c>
      <c r="K10" s="199"/>
    </row>
    <row r="11" customFormat="false" ht="12.75" hidden="false" customHeight="false" outlineLevel="0" collapsed="false">
      <c r="A11" s="286" t="s">
        <v>270</v>
      </c>
      <c r="B11" s="173"/>
      <c r="C11" s="174"/>
      <c r="D11" s="287" t="n">
        <v>1.945</v>
      </c>
      <c r="E11" s="177"/>
      <c r="F11" s="176" t="n">
        <f aca="false">250*31</f>
        <v>7750</v>
      </c>
      <c r="G11" s="287" t="n">
        <v>2.26</v>
      </c>
      <c r="H11" s="175"/>
      <c r="I11" s="199" t="n">
        <f aca="false">SUM(D11-G11)*F11</f>
        <v>-2441.25</v>
      </c>
      <c r="J11" s="199" t="n">
        <f aca="false">+I11</f>
        <v>-2441.25</v>
      </c>
      <c r="K11" s="199"/>
    </row>
    <row r="12" customFormat="false" ht="12.75" hidden="false" customHeight="false" outlineLevel="0" collapsed="false">
      <c r="A12" s="286" t="s">
        <v>271</v>
      </c>
      <c r="B12" s="173"/>
      <c r="C12" s="174"/>
      <c r="D12" s="287" t="n">
        <v>1.945</v>
      </c>
      <c r="E12" s="177"/>
      <c r="F12" s="176" t="n">
        <f aca="false">250*30</f>
        <v>7500</v>
      </c>
      <c r="G12" s="287" t="n">
        <v>2.63</v>
      </c>
      <c r="H12" s="175"/>
      <c r="I12" s="199" t="n">
        <f aca="false">SUM(D12-G12)*F12</f>
        <v>-5137.5</v>
      </c>
      <c r="J12" s="199" t="n">
        <f aca="false">+I12</f>
        <v>-5137.5</v>
      </c>
      <c r="K12" s="199"/>
    </row>
    <row r="13" customFormat="false" ht="12.75" hidden="false" customHeight="false" outlineLevel="0" collapsed="false">
      <c r="A13" s="286" t="s">
        <v>272</v>
      </c>
      <c r="B13" s="173"/>
      <c r="C13" s="174"/>
      <c r="D13" s="287" t="n">
        <v>1.945</v>
      </c>
      <c r="E13" s="177"/>
      <c r="F13" s="176" t="n">
        <f aca="false">250*31</f>
        <v>7750</v>
      </c>
      <c r="G13" s="175" t="n">
        <v>2.37</v>
      </c>
      <c r="H13" s="175"/>
      <c r="I13" s="199" t="n">
        <f aca="false">SUM(D13-G13)*F13</f>
        <v>-3293.75</v>
      </c>
      <c r="J13" s="199" t="n">
        <f aca="false">+I13</f>
        <v>-3293.75</v>
      </c>
      <c r="K13" s="199"/>
    </row>
    <row r="14" customFormat="false" ht="12.75" hidden="false" customHeight="false" outlineLevel="0" collapsed="false">
      <c r="A14" s="286" t="s">
        <v>273</v>
      </c>
      <c r="B14" s="173"/>
      <c r="C14" s="174"/>
      <c r="D14" s="287" t="n">
        <v>1.945</v>
      </c>
      <c r="E14" s="177"/>
      <c r="F14" s="176" t="n">
        <f aca="false">250*30</f>
        <v>7500</v>
      </c>
      <c r="G14" s="175" t="n">
        <v>2.84</v>
      </c>
      <c r="H14" s="175"/>
      <c r="I14" s="199" t="n">
        <f aca="false">SUM(D14-G14)*F14</f>
        <v>-6712.5</v>
      </c>
      <c r="J14" s="199" t="n">
        <f aca="false">+I14</f>
        <v>-6712.5</v>
      </c>
      <c r="K14" s="199"/>
    </row>
    <row r="15" customFormat="false" ht="12.75" hidden="false" customHeight="false" outlineLevel="0" collapsed="false">
      <c r="A15" s="286" t="s">
        <v>274</v>
      </c>
      <c r="B15" s="173"/>
      <c r="C15" s="174"/>
      <c r="D15" s="287" t="n">
        <v>1.945</v>
      </c>
      <c r="E15" s="177"/>
      <c r="F15" s="176" t="n">
        <f aca="false">250*31</f>
        <v>7750</v>
      </c>
      <c r="G15" s="175" t="n">
        <v>2.08</v>
      </c>
      <c r="H15" s="175"/>
      <c r="I15" s="199" t="n">
        <f aca="false">SUM(D15-G15)*F15</f>
        <v>-1046.25</v>
      </c>
      <c r="J15" s="199" t="n">
        <f aca="false">+I15</f>
        <v>-1046.25</v>
      </c>
      <c r="K15" s="199"/>
    </row>
    <row r="16" customFormat="false" ht="12.75" hidden="false" customHeight="false" outlineLevel="0" collapsed="false">
      <c r="A16" s="286" t="s">
        <v>275</v>
      </c>
      <c r="B16" s="173"/>
      <c r="C16" s="174"/>
      <c r="D16" s="287" t="n">
        <v>1.945</v>
      </c>
      <c r="E16" s="177"/>
      <c r="F16" s="176" t="n">
        <f aca="false">250*31</f>
        <v>7750</v>
      </c>
      <c r="G16" s="175" t="n">
        <v>2.18</v>
      </c>
      <c r="H16" s="175"/>
      <c r="I16" s="199" t="n">
        <f aca="false">SUM(D16-G16)*F16</f>
        <v>-1821.25</v>
      </c>
      <c r="J16" s="199" t="n">
        <f aca="false">+I16</f>
        <v>-1821.25</v>
      </c>
      <c r="K16" s="199"/>
    </row>
    <row r="17" customFormat="false" ht="12.75" hidden="false" customHeight="false" outlineLevel="0" collapsed="false">
      <c r="A17" s="286" t="s">
        <v>276</v>
      </c>
      <c r="B17" s="173"/>
      <c r="C17" s="174"/>
      <c r="D17" s="287" t="n">
        <v>1.945</v>
      </c>
      <c r="E17" s="177"/>
      <c r="F17" s="176" t="n">
        <f aca="false">250*29</f>
        <v>7250</v>
      </c>
      <c r="G17" s="175" t="n">
        <v>2.36</v>
      </c>
      <c r="H17" s="175"/>
      <c r="I17" s="199" t="n">
        <f aca="false">SUM(D17-G17)*F17</f>
        <v>-3008.75</v>
      </c>
      <c r="J17" s="199" t="n">
        <f aca="false">+I17</f>
        <v>-3008.75</v>
      </c>
      <c r="K17" s="199"/>
    </row>
    <row r="18" customFormat="false" ht="12.75" hidden="false" customHeight="false" outlineLevel="0" collapsed="false">
      <c r="A18" s="286" t="s">
        <v>277</v>
      </c>
      <c r="B18" s="173"/>
      <c r="C18" s="174"/>
      <c r="D18" s="287" t="n">
        <v>1.945</v>
      </c>
      <c r="E18" s="177"/>
      <c r="F18" s="176" t="n">
        <f aca="false">250*31</f>
        <v>7750</v>
      </c>
      <c r="G18" s="175" t="n">
        <v>2.37</v>
      </c>
      <c r="H18" s="175"/>
      <c r="I18" s="199" t="n">
        <f aca="false">SUM(D18-G18)*F18</f>
        <v>-3293.75</v>
      </c>
      <c r="J18" s="199" t="n">
        <f aca="false">+I18</f>
        <v>-3293.75</v>
      </c>
      <c r="K18" s="199"/>
    </row>
    <row r="19" customFormat="false" ht="12.75" hidden="false" customHeight="false" outlineLevel="0" collapsed="false">
      <c r="A19" s="286" t="s">
        <v>278</v>
      </c>
      <c r="B19" s="173"/>
      <c r="C19" s="174"/>
      <c r="D19" s="287" t="n">
        <v>1.945</v>
      </c>
      <c r="E19" s="177"/>
      <c r="F19" s="176" t="n">
        <f aca="false">250*30</f>
        <v>7500</v>
      </c>
      <c r="G19" s="175" t="n">
        <v>2.75</v>
      </c>
      <c r="H19" s="175"/>
      <c r="I19" s="199" t="n">
        <f aca="false">SUM(D19-G19)*F19</f>
        <v>-6037.5</v>
      </c>
      <c r="J19" s="199" t="n">
        <f aca="false">+I19</f>
        <v>-6037.5</v>
      </c>
      <c r="K19" s="199"/>
    </row>
    <row r="20" customFormat="false" ht="12.75" hidden="false" customHeight="false" outlineLevel="0" collapsed="false">
      <c r="A20" s="286" t="s">
        <v>279</v>
      </c>
      <c r="B20" s="173"/>
      <c r="C20" s="174"/>
      <c r="D20" s="287" t="n">
        <v>1.945</v>
      </c>
      <c r="E20" s="177"/>
      <c r="F20" s="176" t="n">
        <f aca="false">250*31</f>
        <v>7750</v>
      </c>
      <c r="G20" s="175" t="n">
        <v>2.78</v>
      </c>
      <c r="H20" s="175"/>
      <c r="I20" s="199" t="n">
        <f aca="false">SUM(D20-G20)*F20</f>
        <v>-6471.25</v>
      </c>
      <c r="J20" s="199" t="n">
        <f aca="false">+I20</f>
        <v>-6471.25</v>
      </c>
      <c r="K20" s="199"/>
    </row>
    <row r="21" customFormat="false" ht="12.75" hidden="false" customHeight="false" outlineLevel="0" collapsed="false">
      <c r="A21" s="207"/>
      <c r="B21" s="173"/>
      <c r="C21" s="173"/>
      <c r="D21" s="173"/>
      <c r="E21" s="173"/>
      <c r="F21" s="180" t="n">
        <f aca="false">SUM(F9:F20)</f>
        <v>91500</v>
      </c>
      <c r="G21" s="173"/>
      <c r="H21" s="173"/>
      <c r="I21" s="288" t="n">
        <f aca="false">SUM(I9:I20)</f>
        <v>-40190</v>
      </c>
      <c r="J21" s="288" t="n">
        <f aca="false">SUM(J9:J20)</f>
        <v>-40190</v>
      </c>
      <c r="K21" s="288" t="n">
        <f aca="false">SUM(K9:K20)</f>
        <v>0</v>
      </c>
      <c r="L21" s="217" t="n">
        <f aca="false">+J21+K21-I21</f>
        <v>0</v>
      </c>
    </row>
    <row r="22" customFormat="false" ht="12.75" hidden="false" customHeight="false" outlineLevel="0" collapsed="false">
      <c r="A22" s="207"/>
      <c r="B22" s="173"/>
      <c r="C22" s="173"/>
      <c r="D22" s="173"/>
      <c r="E22" s="173"/>
      <c r="F22" s="182"/>
      <c r="G22" s="173"/>
      <c r="H22" s="173"/>
      <c r="I22" s="184"/>
      <c r="J22" s="184"/>
      <c r="K22" s="184"/>
      <c r="L22" s="217"/>
    </row>
    <row r="23" customFormat="false" ht="12.75" hidden="false" customHeight="false" outlineLevel="0" collapsed="false">
      <c r="A23" s="207"/>
      <c r="B23" s="173"/>
      <c r="C23" s="173"/>
      <c r="D23" s="173"/>
      <c r="E23" s="173"/>
      <c r="F23" s="173"/>
      <c r="G23" s="185" t="s">
        <v>265</v>
      </c>
      <c r="H23" s="173"/>
      <c r="I23" s="199"/>
      <c r="J23" s="199"/>
      <c r="K23" s="199"/>
    </row>
    <row r="24" customFormat="false" ht="12.75" hidden="false" customHeight="false" outlineLevel="0" collapsed="false">
      <c r="A24" s="207"/>
      <c r="B24" s="173"/>
      <c r="C24" s="173"/>
      <c r="D24" s="173"/>
      <c r="E24" s="173"/>
      <c r="F24" s="173"/>
      <c r="G24" s="289"/>
      <c r="H24" s="173"/>
      <c r="I24" s="199"/>
      <c r="J24" s="199"/>
      <c r="K24" s="199"/>
    </row>
    <row r="25" customFormat="false" ht="12.75" hidden="false" customHeight="false" outlineLevel="0" collapsed="false">
      <c r="A25" s="286" t="s">
        <v>268</v>
      </c>
      <c r="B25" s="174" t="n">
        <f aca="false">26125</f>
        <v>26125</v>
      </c>
      <c r="C25" s="174" t="s">
        <v>35</v>
      </c>
      <c r="D25" s="287" t="n">
        <v>1.945</v>
      </c>
      <c r="E25" s="176" t="n">
        <f aca="false">-8600*30</f>
        <v>-258000</v>
      </c>
      <c r="F25" s="176" t="n">
        <f aca="false">-F9</f>
        <v>-7500</v>
      </c>
      <c r="G25" s="287" t="n">
        <v>2.07</v>
      </c>
      <c r="H25" s="287"/>
      <c r="I25" s="199" t="n">
        <f aca="false">SUM(D25-G25)*F25</f>
        <v>937.499999999998</v>
      </c>
      <c r="J25" s="199" t="n">
        <f aca="false">+I25</f>
        <v>937.499999999998</v>
      </c>
      <c r="K25" s="199"/>
    </row>
    <row r="26" customFormat="false" ht="12.75" hidden="false" customHeight="false" outlineLevel="0" collapsed="false">
      <c r="A26" s="286" t="s">
        <v>269</v>
      </c>
      <c r="B26" s="174" t="n">
        <f aca="false">26125</f>
        <v>26125</v>
      </c>
      <c r="C26" s="174" t="s">
        <v>35</v>
      </c>
      <c r="D26" s="287" t="n">
        <v>1.945</v>
      </c>
      <c r="E26" s="176" t="n">
        <f aca="false">-8600*31</f>
        <v>-266600</v>
      </c>
      <c r="F26" s="176" t="n">
        <f aca="false">-F10</f>
        <v>-7750</v>
      </c>
      <c r="G26" s="287" t="n">
        <v>2.11</v>
      </c>
      <c r="H26" s="287"/>
      <c r="I26" s="199" t="n">
        <f aca="false">SUM(D26-G26)*F26</f>
        <v>1278.75</v>
      </c>
      <c r="J26" s="199" t="n">
        <f aca="false">+I26</f>
        <v>1278.75</v>
      </c>
      <c r="K26" s="199"/>
    </row>
    <row r="27" customFormat="false" ht="12.75" hidden="false" customHeight="false" outlineLevel="0" collapsed="false">
      <c r="A27" s="286" t="s">
        <v>270</v>
      </c>
      <c r="B27" s="174" t="n">
        <f aca="false">26125</f>
        <v>26125</v>
      </c>
      <c r="C27" s="174" t="s">
        <v>35</v>
      </c>
      <c r="D27" s="287" t="n">
        <v>1.945</v>
      </c>
      <c r="E27" s="176" t="n">
        <f aca="false">-8600*31</f>
        <v>-266600</v>
      </c>
      <c r="F27" s="176" t="n">
        <f aca="false">-F11</f>
        <v>-7750</v>
      </c>
      <c r="G27" s="287" t="n">
        <v>2.51</v>
      </c>
      <c r="H27" s="175"/>
      <c r="I27" s="199" t="n">
        <f aca="false">SUM(D27-G27)*F27</f>
        <v>4378.75</v>
      </c>
      <c r="J27" s="199" t="n">
        <f aca="false">+I27</f>
        <v>4378.75</v>
      </c>
      <c r="K27" s="199"/>
    </row>
    <row r="28" customFormat="false" ht="12.75" hidden="false" customHeight="false" outlineLevel="0" collapsed="false">
      <c r="A28" s="286" t="s">
        <v>271</v>
      </c>
      <c r="B28" s="174" t="n">
        <f aca="false">26125</f>
        <v>26125</v>
      </c>
      <c r="C28" s="174" t="s">
        <v>35</v>
      </c>
      <c r="D28" s="287" t="n">
        <v>1.945</v>
      </c>
      <c r="E28" s="176" t="n">
        <f aca="false">-8600*30</f>
        <v>-258000</v>
      </c>
      <c r="F28" s="176" t="n">
        <f aca="false">-F12</f>
        <v>-7500</v>
      </c>
      <c r="G28" s="287" t="n">
        <v>2.36</v>
      </c>
      <c r="H28" s="175"/>
      <c r="I28" s="199" t="n">
        <f aca="false">SUM(D28-G28)*F28</f>
        <v>3112.5</v>
      </c>
      <c r="J28" s="199" t="n">
        <f aca="false">+I28</f>
        <v>3112.5</v>
      </c>
      <c r="K28" s="199"/>
    </row>
    <row r="29" customFormat="false" ht="12.75" hidden="false" customHeight="false" outlineLevel="0" collapsed="false">
      <c r="A29" s="286" t="s">
        <v>272</v>
      </c>
      <c r="B29" s="174" t="n">
        <f aca="false">26125</f>
        <v>26125</v>
      </c>
      <c r="C29" s="174" t="s">
        <v>35</v>
      </c>
      <c r="D29" s="287" t="n">
        <v>1.945</v>
      </c>
      <c r="E29" s="176" t="n">
        <f aca="false">-8600*31</f>
        <v>-266600</v>
      </c>
      <c r="F29" s="176" t="n">
        <f aca="false">-F13</f>
        <v>-7750</v>
      </c>
      <c r="G29" s="287" t="n">
        <v>2.62</v>
      </c>
      <c r="H29" s="175"/>
      <c r="I29" s="199" t="n">
        <f aca="false">SUM(D29-G29)*F29</f>
        <v>5231.25</v>
      </c>
      <c r="J29" s="199" t="n">
        <f aca="false">+I29</f>
        <v>5231.25</v>
      </c>
      <c r="K29" s="199"/>
    </row>
    <row r="30" customFormat="false" ht="12.75" hidden="false" customHeight="false" outlineLevel="0" collapsed="false">
      <c r="A30" s="286" t="s">
        <v>273</v>
      </c>
      <c r="B30" s="174" t="n">
        <f aca="false">26125</f>
        <v>26125</v>
      </c>
      <c r="C30" s="174" t="s">
        <v>35</v>
      </c>
      <c r="D30" s="287" t="n">
        <v>1.945</v>
      </c>
      <c r="E30" s="176" t="n">
        <f aca="false">-8600*30</f>
        <v>-258000</v>
      </c>
      <c r="F30" s="176" t="n">
        <f aca="false">-F14</f>
        <v>-7500</v>
      </c>
      <c r="G30" s="287" t="n">
        <v>2.17</v>
      </c>
      <c r="H30" s="175"/>
      <c r="I30" s="199" t="n">
        <f aca="false">SUM(D30-G30)*F30</f>
        <v>1687.5</v>
      </c>
      <c r="J30" s="199" t="n">
        <f aca="false">+I30</f>
        <v>1687.5</v>
      </c>
      <c r="K30" s="199"/>
    </row>
    <row r="31" customFormat="false" ht="12.75" hidden="false" customHeight="false" outlineLevel="0" collapsed="false">
      <c r="A31" s="286" t="s">
        <v>274</v>
      </c>
      <c r="B31" s="174" t="n">
        <f aca="false">26125</f>
        <v>26125</v>
      </c>
      <c r="C31" s="174" t="s">
        <v>35</v>
      </c>
      <c r="D31" s="287" t="n">
        <v>1.945</v>
      </c>
      <c r="E31" s="176" t="n">
        <f aca="false">-8600*31</f>
        <v>-266600</v>
      </c>
      <c r="F31" s="176" t="n">
        <f aca="false">-F15</f>
        <v>-7750</v>
      </c>
      <c r="G31" s="287" t="n">
        <v>2.24</v>
      </c>
      <c r="H31" s="175"/>
      <c r="I31" s="199" t="n">
        <f aca="false">SUM(D31-G31)*F31</f>
        <v>2286.25</v>
      </c>
      <c r="J31" s="199" t="n">
        <f aca="false">+I31</f>
        <v>2286.25</v>
      </c>
      <c r="K31" s="199"/>
    </row>
    <row r="32" customFormat="false" ht="12.75" hidden="false" customHeight="false" outlineLevel="0" collapsed="false">
      <c r="A32" s="286" t="s">
        <v>275</v>
      </c>
      <c r="B32" s="174" t="n">
        <f aca="false">26125</f>
        <v>26125</v>
      </c>
      <c r="C32" s="174" t="s">
        <v>35</v>
      </c>
      <c r="D32" s="287" t="n">
        <v>1.945</v>
      </c>
      <c r="E32" s="176" t="n">
        <f aca="false">-8600*31</f>
        <v>-266600</v>
      </c>
      <c r="F32" s="176" t="n">
        <f aca="false">-F16</f>
        <v>-7750</v>
      </c>
      <c r="G32" s="287" t="n">
        <v>2.26</v>
      </c>
      <c r="H32" s="175"/>
      <c r="I32" s="199" t="n">
        <f aca="false">SUM(D32-G32)*F32</f>
        <v>2441.25</v>
      </c>
      <c r="J32" s="199" t="n">
        <f aca="false">+I32</f>
        <v>2441.25</v>
      </c>
      <c r="K32" s="199"/>
    </row>
    <row r="33" customFormat="false" ht="12.75" hidden="false" customHeight="false" outlineLevel="0" collapsed="false">
      <c r="A33" s="286" t="s">
        <v>276</v>
      </c>
      <c r="B33" s="174" t="n">
        <f aca="false">26125</f>
        <v>26125</v>
      </c>
      <c r="C33" s="174" t="s">
        <v>35</v>
      </c>
      <c r="D33" s="287" t="n">
        <v>1.945</v>
      </c>
      <c r="E33" s="176" t="n">
        <f aca="false">-8600*28</f>
        <v>-240800</v>
      </c>
      <c r="F33" s="176" t="n">
        <f aca="false">-F17</f>
        <v>-7250</v>
      </c>
      <c r="G33" s="175" t="n">
        <v>2.43</v>
      </c>
      <c r="H33" s="175"/>
      <c r="I33" s="199" t="n">
        <f aca="false">SUM(D33-G33)*F33</f>
        <v>3516.25</v>
      </c>
      <c r="J33" s="199" t="n">
        <f aca="false">+I33</f>
        <v>3516.25</v>
      </c>
      <c r="K33" s="199"/>
    </row>
    <row r="34" customFormat="false" ht="12.75" hidden="false" customHeight="false" outlineLevel="0" collapsed="false">
      <c r="A34" s="286" t="s">
        <v>277</v>
      </c>
      <c r="B34" s="174" t="n">
        <f aca="false">26125</f>
        <v>26125</v>
      </c>
      <c r="C34" s="174" t="s">
        <v>35</v>
      </c>
      <c r="D34" s="287" t="n">
        <v>1.945</v>
      </c>
      <c r="E34" s="176" t="n">
        <f aca="false">-8600*31</f>
        <v>-266600</v>
      </c>
      <c r="F34" s="176" t="n">
        <f aca="false">-F18</f>
        <v>-7750</v>
      </c>
      <c r="G34" s="175" t="n">
        <v>2.64</v>
      </c>
      <c r="H34" s="175"/>
      <c r="I34" s="199" t="n">
        <f aca="false">SUM(D34-G34)*F34</f>
        <v>5386.25</v>
      </c>
      <c r="J34" s="199" t="n">
        <f aca="false">+I34</f>
        <v>5386.25</v>
      </c>
      <c r="K34" s="199"/>
    </row>
    <row r="35" customFormat="false" ht="12.75" hidden="false" customHeight="false" outlineLevel="0" collapsed="false">
      <c r="A35" s="286" t="s">
        <v>278</v>
      </c>
      <c r="B35" s="174" t="n">
        <f aca="false">26125</f>
        <v>26125</v>
      </c>
      <c r="C35" s="174" t="s">
        <v>35</v>
      </c>
      <c r="D35" s="287" t="n">
        <v>1.945</v>
      </c>
      <c r="E35" s="176" t="n">
        <f aca="false">-8600*30</f>
        <v>-258000</v>
      </c>
      <c r="F35" s="176" t="n">
        <f aca="false">-F19</f>
        <v>-7500</v>
      </c>
      <c r="G35" s="175" t="n">
        <v>2.79</v>
      </c>
      <c r="H35" s="175"/>
      <c r="I35" s="199" t="n">
        <f aca="false">SUM(D35-G35)*F35</f>
        <v>6337.5</v>
      </c>
      <c r="J35" s="199" t="n">
        <f aca="false">+I35</f>
        <v>6337.5</v>
      </c>
      <c r="K35" s="199"/>
    </row>
    <row r="36" customFormat="false" ht="12.75" hidden="false" customHeight="false" outlineLevel="0" collapsed="false">
      <c r="A36" s="286" t="s">
        <v>279</v>
      </c>
      <c r="B36" s="174" t="n">
        <f aca="false">26125</f>
        <v>26125</v>
      </c>
      <c r="C36" s="174" t="s">
        <v>35</v>
      </c>
      <c r="D36" s="287" t="n">
        <v>1.945</v>
      </c>
      <c r="E36" s="176" t="n">
        <f aca="false">-8600*31</f>
        <v>-266600</v>
      </c>
      <c r="F36" s="176" t="n">
        <f aca="false">-F20</f>
        <v>-7750</v>
      </c>
      <c r="G36" s="177" t="n">
        <v>3.31</v>
      </c>
      <c r="H36" s="175"/>
      <c r="I36" s="199" t="n">
        <f aca="false">SUM(D36-G36)*F36</f>
        <v>10578.75</v>
      </c>
      <c r="J36" s="199" t="n">
        <f aca="false">+I36</f>
        <v>10578.75</v>
      </c>
      <c r="K36" s="199"/>
    </row>
    <row r="37" customFormat="false" ht="12.75" hidden="false" customHeight="false" outlineLevel="0" collapsed="false">
      <c r="A37" s="207"/>
      <c r="B37" s="173"/>
      <c r="C37" s="173"/>
      <c r="D37" s="173"/>
      <c r="E37" s="173"/>
      <c r="F37" s="180" t="n">
        <f aca="false">SUM(F25:F36)</f>
        <v>-91500</v>
      </c>
      <c r="G37" s="173"/>
      <c r="H37" s="287"/>
      <c r="I37" s="288" t="n">
        <f aca="false">SUM(I25:I36)</f>
        <v>47172.5</v>
      </c>
      <c r="J37" s="288" t="n">
        <f aca="false">SUM(J25:J36)</f>
        <v>47172.5</v>
      </c>
      <c r="K37" s="288" t="n">
        <f aca="false">SUM(K25:K36)</f>
        <v>0</v>
      </c>
      <c r="L37" s="217" t="n">
        <f aca="false">+J37+K37-I37</f>
        <v>0</v>
      </c>
    </row>
    <row r="38" customFormat="false" ht="12.75" hidden="false" customHeight="false" outlineLevel="0" collapsed="false">
      <c r="A38" s="207"/>
      <c r="B38" s="173"/>
      <c r="C38" s="173"/>
      <c r="D38" s="173"/>
      <c r="E38" s="173"/>
      <c r="F38" s="173"/>
      <c r="G38" s="173"/>
      <c r="H38" s="173"/>
      <c r="I38" s="199"/>
      <c r="J38" s="199"/>
      <c r="K38" s="199"/>
    </row>
    <row r="39" customFormat="false" ht="13.5" hidden="false" customHeight="false" outlineLevel="0" collapsed="false">
      <c r="A39" s="207"/>
      <c r="B39" s="173"/>
      <c r="C39" s="173"/>
      <c r="D39" s="173"/>
      <c r="E39" s="173"/>
      <c r="F39" s="190" t="n">
        <f aca="false">+F21+F37</f>
        <v>0</v>
      </c>
      <c r="G39" s="173"/>
      <c r="H39" s="173"/>
      <c r="I39" s="276" t="n">
        <f aca="false">+I21+I37</f>
        <v>6982.5</v>
      </c>
      <c r="J39" s="276" t="n">
        <f aca="false">+J21+J37</f>
        <v>6982.5</v>
      </c>
      <c r="K39" s="276" t="n">
        <f aca="false">+K21+K37</f>
        <v>0</v>
      </c>
      <c r="L39" s="217" t="n">
        <f aca="false">+J39+K39-I39</f>
        <v>0</v>
      </c>
    </row>
    <row r="40" customFormat="false" ht="13.5" hidden="false" customHeight="false" outlineLevel="0" collapsed="false">
      <c r="A40" s="290"/>
      <c r="B40" s="192"/>
      <c r="C40" s="192"/>
      <c r="D40" s="192"/>
      <c r="E40" s="192"/>
      <c r="F40" s="192"/>
      <c r="G40" s="192"/>
      <c r="H40" s="192"/>
      <c r="I40" s="291"/>
      <c r="J40" s="291"/>
      <c r="K40" s="291"/>
    </row>
    <row r="41" customFormat="false" ht="12.75" hidden="false" customHeight="false" outlineLevel="0" collapsed="false">
      <c r="I41" s="233"/>
    </row>
    <row r="42" customFormat="false" ht="12.75" hidden="false" customHeight="false" outlineLevel="0" collapsed="false">
      <c r="A42" s="5" t="s">
        <v>138</v>
      </c>
      <c r="J42" s="0"/>
      <c r="K42" s="0"/>
    </row>
    <row r="43" customFormat="false" ht="11.2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292"/>
      <c r="J43" s="292"/>
      <c r="K43" s="292"/>
    </row>
    <row r="44" customFormat="false" ht="12.75" hidden="false" customHeight="false" outlineLevel="0" collapsed="false">
      <c r="I44" s="233"/>
    </row>
    <row r="45" customFormat="false" ht="12.75" hidden="false" customHeight="false" outlineLevel="0" collapsed="false">
      <c r="I45" s="233"/>
    </row>
    <row r="46" customFormat="false" ht="12.75" hidden="false" customHeight="false" outlineLevel="0" collapsed="false">
      <c r="I46" s="233"/>
    </row>
    <row r="47" customFormat="false" ht="12.75" hidden="false" customHeight="false" outlineLevel="0" collapsed="false">
      <c r="I47" s="233"/>
    </row>
    <row r="48" customFormat="false" ht="12.75" hidden="false" customHeight="false" outlineLevel="0" collapsed="false">
      <c r="I48" s="233"/>
    </row>
    <row r="49" customFormat="false" ht="12.75" hidden="false" customHeight="false" outlineLevel="0" collapsed="false">
      <c r="I49" s="233"/>
    </row>
    <row r="50" customFormat="false" ht="12.75" hidden="false" customHeight="false" outlineLevel="0" collapsed="false">
      <c r="I50" s="233"/>
    </row>
    <row r="51" customFormat="false" ht="12.75" hidden="false" customHeight="false" outlineLevel="0" collapsed="false">
      <c r="I51" s="233"/>
    </row>
    <row r="52" customFormat="false" ht="12.75" hidden="false" customHeight="false" outlineLevel="0" collapsed="false">
      <c r="I52" s="233"/>
    </row>
    <row r="53" customFormat="false" ht="12.75" hidden="false" customHeight="false" outlineLevel="0" collapsed="false">
      <c r="I53" s="233"/>
    </row>
    <row r="54" customFormat="false" ht="12.75" hidden="false" customHeight="false" outlineLevel="0" collapsed="false">
      <c r="I54" s="233"/>
    </row>
    <row r="55" customFormat="false" ht="12.75" hidden="false" customHeight="false" outlineLevel="0" collapsed="false">
      <c r="I55" s="233"/>
    </row>
    <row r="56" customFormat="false" ht="12.75" hidden="false" customHeight="false" outlineLevel="0" collapsed="false">
      <c r="I56" s="233"/>
    </row>
    <row r="57" customFormat="false" ht="12.75" hidden="false" customHeight="false" outlineLevel="0" collapsed="false">
      <c r="I57" s="233"/>
    </row>
    <row r="58" customFormat="false" ht="12.75" hidden="false" customHeight="false" outlineLevel="0" collapsed="false">
      <c r="I58" s="233"/>
    </row>
    <row r="59" customFormat="false" ht="12.75" hidden="false" customHeight="false" outlineLevel="0" collapsed="false">
      <c r="I59" s="233"/>
    </row>
    <row r="60" customFormat="false" ht="12.75" hidden="false" customHeight="false" outlineLevel="0" collapsed="false">
      <c r="I60" s="233"/>
    </row>
    <row r="61" customFormat="false" ht="12.75" hidden="false" customHeight="false" outlineLevel="0" collapsed="false">
      <c r="I61" s="233"/>
    </row>
    <row r="62" customFormat="false" ht="12.75" hidden="false" customHeight="false" outlineLevel="0" collapsed="false">
      <c r="I62" s="233"/>
    </row>
    <row r="63" customFormat="false" ht="12.75" hidden="false" customHeight="false" outlineLevel="0" collapsed="false">
      <c r="I63" s="233"/>
    </row>
    <row r="64" customFormat="false" ht="12.75" hidden="false" customHeight="false" outlineLevel="0" collapsed="false">
      <c r="I64" s="233"/>
    </row>
    <row r="65" customFormat="false" ht="12.75" hidden="false" customHeight="false" outlineLevel="0" collapsed="false">
      <c r="I65" s="233"/>
    </row>
    <row r="66" customFormat="false" ht="12.75" hidden="false" customHeight="false" outlineLevel="0" collapsed="false">
      <c r="I66" s="233"/>
    </row>
    <row r="67" customFormat="false" ht="12.75" hidden="false" customHeight="false" outlineLevel="0" collapsed="false">
      <c r="I67" s="233"/>
    </row>
    <row r="68" customFormat="false" ht="12.75" hidden="false" customHeight="false" outlineLevel="0" collapsed="false">
      <c r="I68" s="233"/>
    </row>
    <row r="69" customFormat="false" ht="12.75" hidden="false" customHeight="false" outlineLevel="0" collapsed="false">
      <c r="I69" s="233"/>
    </row>
    <row r="70" customFormat="false" ht="12.75" hidden="false" customHeight="false" outlineLevel="0" collapsed="false">
      <c r="I70" s="233"/>
    </row>
    <row r="71" customFormat="false" ht="12.75" hidden="false" customHeight="false" outlineLevel="0" collapsed="false">
      <c r="I71" s="233"/>
    </row>
    <row r="72" customFormat="false" ht="12.75" hidden="false" customHeight="false" outlineLevel="0" collapsed="false">
      <c r="I72" s="233"/>
    </row>
    <row r="73" customFormat="false" ht="12.75" hidden="false" customHeight="false" outlineLevel="0" collapsed="false">
      <c r="I73" s="233"/>
    </row>
    <row r="74" customFormat="false" ht="12.75" hidden="false" customHeight="false" outlineLevel="0" collapsed="false">
      <c r="I74" s="233"/>
    </row>
    <row r="75" customFormat="false" ht="12.75" hidden="false" customHeight="false" outlineLevel="0" collapsed="false">
      <c r="I75" s="233"/>
    </row>
    <row r="76" customFormat="false" ht="12.75" hidden="false" customHeight="false" outlineLevel="0" collapsed="false">
      <c r="I76" s="233"/>
    </row>
    <row r="77" customFormat="false" ht="12.75" hidden="false" customHeight="false" outlineLevel="0" collapsed="false">
      <c r="I77" s="233"/>
    </row>
    <row r="78" customFormat="false" ht="12.75" hidden="false" customHeight="false" outlineLevel="0" collapsed="false">
      <c r="I78" s="233"/>
    </row>
    <row r="79" customFormat="false" ht="12.75" hidden="false" customHeight="false" outlineLevel="0" collapsed="false">
      <c r="I79" s="233"/>
    </row>
    <row r="80" customFormat="false" ht="12.75" hidden="false" customHeight="false" outlineLevel="0" collapsed="false">
      <c r="I80" s="233"/>
    </row>
    <row r="81" customFormat="false" ht="12.75" hidden="false" customHeight="false" outlineLevel="0" collapsed="false">
      <c r="I81" s="233"/>
    </row>
    <row r="82" customFormat="false" ht="12.75" hidden="false" customHeight="false" outlineLevel="0" collapsed="false">
      <c r="I82" s="233"/>
    </row>
    <row r="83" customFormat="false" ht="12.75" hidden="false" customHeight="false" outlineLevel="0" collapsed="false">
      <c r="I83" s="233"/>
    </row>
    <row r="84" customFormat="false" ht="12.75" hidden="false" customHeight="false" outlineLevel="0" collapsed="false">
      <c r="I84" s="233"/>
    </row>
    <row r="85" customFormat="false" ht="12.75" hidden="false" customHeight="false" outlineLevel="0" collapsed="false">
      <c r="I85" s="233"/>
    </row>
    <row r="86" customFormat="false" ht="12.75" hidden="false" customHeight="false" outlineLevel="0" collapsed="false">
      <c r="I86" s="233"/>
    </row>
    <row r="87" customFormat="false" ht="12.75" hidden="false" customHeight="false" outlineLevel="0" collapsed="false">
      <c r="I87" s="233"/>
    </row>
    <row r="88" customFormat="false" ht="12.75" hidden="false" customHeight="false" outlineLevel="0" collapsed="false">
      <c r="I88" s="233"/>
    </row>
    <row r="89" customFormat="false" ht="12.75" hidden="false" customHeight="false" outlineLevel="0" collapsed="false">
      <c r="I89" s="233"/>
    </row>
    <row r="90" customFormat="false" ht="12.75" hidden="false" customHeight="false" outlineLevel="0" collapsed="false">
      <c r="I90" s="233"/>
    </row>
    <row r="91" customFormat="false" ht="12.75" hidden="false" customHeight="false" outlineLevel="0" collapsed="false">
      <c r="I91" s="233"/>
    </row>
    <row r="92" customFormat="false" ht="12.75" hidden="false" customHeight="false" outlineLevel="0" collapsed="false">
      <c r="I92" s="233"/>
    </row>
    <row r="93" customFormat="false" ht="12.75" hidden="false" customHeight="false" outlineLevel="0" collapsed="false">
      <c r="I93" s="233"/>
    </row>
    <row r="94" customFormat="false" ht="12.75" hidden="false" customHeight="false" outlineLevel="0" collapsed="false">
      <c r="I94" s="233"/>
    </row>
    <row r="95" customFormat="false" ht="12.75" hidden="false" customHeight="false" outlineLevel="0" collapsed="false">
      <c r="I95" s="233"/>
    </row>
    <row r="96" customFormat="false" ht="12.75" hidden="false" customHeight="false" outlineLevel="0" collapsed="false">
      <c r="I96" s="233"/>
    </row>
    <row r="97" customFormat="false" ht="12.75" hidden="false" customHeight="false" outlineLevel="0" collapsed="false">
      <c r="I97" s="233"/>
    </row>
    <row r="98" customFormat="false" ht="12.75" hidden="false" customHeight="false" outlineLevel="0" collapsed="false">
      <c r="I98" s="233"/>
    </row>
    <row r="99" customFormat="false" ht="12.75" hidden="false" customHeight="false" outlineLevel="0" collapsed="false">
      <c r="I99" s="233"/>
    </row>
    <row r="100" customFormat="false" ht="12.75" hidden="false" customHeight="false" outlineLevel="0" collapsed="false">
      <c r="I100" s="233"/>
    </row>
    <row r="101" customFormat="false" ht="12.75" hidden="false" customHeight="false" outlineLevel="0" collapsed="false">
      <c r="I101" s="233"/>
    </row>
    <row r="102" customFormat="false" ht="12.75" hidden="false" customHeight="false" outlineLevel="0" collapsed="false">
      <c r="I102" s="233"/>
    </row>
    <row r="103" customFormat="false" ht="12.75" hidden="false" customHeight="false" outlineLevel="0" collapsed="false">
      <c r="I103" s="233"/>
    </row>
    <row r="104" customFormat="false" ht="12.75" hidden="false" customHeight="false" outlineLevel="0" collapsed="false">
      <c r="I104" s="233"/>
    </row>
    <row r="105" customFormat="false" ht="12.75" hidden="false" customHeight="false" outlineLevel="0" collapsed="false">
      <c r="I105" s="233"/>
    </row>
    <row r="106" customFormat="false" ht="12.75" hidden="false" customHeight="false" outlineLevel="0" collapsed="false">
      <c r="I106" s="233"/>
    </row>
    <row r="107" customFormat="false" ht="12.75" hidden="false" customHeight="false" outlineLevel="0" collapsed="false">
      <c r="I107" s="233"/>
    </row>
    <row r="108" customFormat="false" ht="12.75" hidden="false" customHeight="false" outlineLevel="0" collapsed="false">
      <c r="I108" s="233"/>
    </row>
    <row r="109" customFormat="false" ht="12.75" hidden="false" customHeight="false" outlineLevel="0" collapsed="false">
      <c r="I109" s="233"/>
    </row>
    <row r="110" customFormat="false" ht="12.75" hidden="false" customHeight="false" outlineLevel="0" collapsed="false">
      <c r="I110" s="233"/>
    </row>
    <row r="111" customFormat="false" ht="12.75" hidden="false" customHeight="false" outlineLevel="0" collapsed="false">
      <c r="I111" s="233"/>
    </row>
    <row r="112" customFormat="false" ht="12.75" hidden="false" customHeight="false" outlineLevel="0" collapsed="false">
      <c r="I112" s="233"/>
    </row>
    <row r="113" customFormat="false" ht="12.75" hidden="false" customHeight="false" outlineLevel="0" collapsed="false">
      <c r="I113" s="233"/>
    </row>
    <row r="114" customFormat="false" ht="12.75" hidden="false" customHeight="false" outlineLevel="0" collapsed="false">
      <c r="I114" s="233"/>
    </row>
    <row r="115" customFormat="false" ht="12.75" hidden="false" customHeight="false" outlineLevel="0" collapsed="false">
      <c r="I115" s="233"/>
    </row>
    <row r="116" customFormat="false" ht="12.75" hidden="false" customHeight="false" outlineLevel="0" collapsed="false">
      <c r="I116" s="233"/>
    </row>
    <row r="117" customFormat="false" ht="12.75" hidden="false" customHeight="false" outlineLevel="0" collapsed="false">
      <c r="I117" s="233"/>
    </row>
    <row r="118" customFormat="false" ht="12.75" hidden="false" customHeight="false" outlineLevel="0" collapsed="false">
      <c r="I118" s="233"/>
    </row>
    <row r="119" customFormat="false" ht="12.75" hidden="false" customHeight="false" outlineLevel="0" collapsed="false">
      <c r="I119" s="233"/>
    </row>
    <row r="120" customFormat="false" ht="12.75" hidden="false" customHeight="false" outlineLevel="0" collapsed="false">
      <c r="I120" s="233"/>
    </row>
    <row r="121" customFormat="false" ht="12.75" hidden="false" customHeight="false" outlineLevel="0" collapsed="false">
      <c r="I121" s="233"/>
    </row>
    <row r="122" customFormat="false" ht="12.75" hidden="false" customHeight="false" outlineLevel="0" collapsed="false">
      <c r="I122" s="233"/>
    </row>
    <row r="123" customFormat="false" ht="12.75" hidden="false" customHeight="false" outlineLevel="0" collapsed="false">
      <c r="I123" s="233"/>
    </row>
    <row r="124" customFormat="false" ht="12.75" hidden="false" customHeight="false" outlineLevel="0" collapsed="false">
      <c r="I124" s="233"/>
    </row>
    <row r="125" customFormat="false" ht="12.75" hidden="false" customHeight="false" outlineLevel="0" collapsed="false">
      <c r="I125" s="233"/>
    </row>
    <row r="126" customFormat="false" ht="12.75" hidden="false" customHeight="false" outlineLevel="0" collapsed="false">
      <c r="I126" s="233"/>
    </row>
    <row r="127" customFormat="false" ht="12.75" hidden="false" customHeight="false" outlineLevel="0" collapsed="false">
      <c r="I127" s="233"/>
    </row>
    <row r="128" customFormat="false" ht="12.75" hidden="false" customHeight="false" outlineLevel="0" collapsed="false">
      <c r="I128" s="233"/>
    </row>
    <row r="129" customFormat="false" ht="12.75" hidden="false" customHeight="false" outlineLevel="0" collapsed="false">
      <c r="I129" s="233"/>
    </row>
    <row r="130" customFormat="false" ht="12.75" hidden="false" customHeight="false" outlineLevel="0" collapsed="false">
      <c r="I130" s="233"/>
    </row>
    <row r="131" customFormat="false" ht="12.75" hidden="false" customHeight="false" outlineLevel="0" collapsed="false">
      <c r="I131" s="233"/>
    </row>
    <row r="132" customFormat="false" ht="12.75" hidden="false" customHeight="false" outlineLevel="0" collapsed="false">
      <c r="I132" s="233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Hedge/Fixed2_?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2.56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94" t="s">
        <v>280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19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281</v>
      </c>
      <c r="H8" s="169" t="s">
        <v>281</v>
      </c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36465</v>
      </c>
      <c r="B9" s="173" t="n">
        <v>105706</v>
      </c>
      <c r="C9" s="174" t="s">
        <v>48</v>
      </c>
      <c r="D9" s="175"/>
      <c r="E9" s="173"/>
      <c r="F9" s="176" t="n">
        <v>40000</v>
      </c>
      <c r="G9" s="175" t="n">
        <v>3.04</v>
      </c>
      <c r="H9" s="175"/>
      <c r="I9" s="177" t="n">
        <f aca="false">+G9*F9</f>
        <v>121600</v>
      </c>
      <c r="J9" s="178" t="n">
        <f aca="false">+I9</f>
        <v>121600</v>
      </c>
      <c r="K9" s="178"/>
    </row>
    <row r="10" customFormat="false" ht="12.75" hidden="false" customHeight="false" outlineLevel="0" collapsed="false">
      <c r="A10" s="172" t="n">
        <v>36495</v>
      </c>
      <c r="B10" s="173" t="n">
        <v>105706</v>
      </c>
      <c r="C10" s="174" t="s">
        <v>48</v>
      </c>
      <c r="D10" s="175"/>
      <c r="E10" s="173"/>
      <c r="F10" s="176" t="n">
        <v>40000</v>
      </c>
      <c r="G10" s="175" t="n">
        <v>2.11</v>
      </c>
      <c r="H10" s="175"/>
      <c r="I10" s="177" t="n">
        <f aca="false">+G10*F10</f>
        <v>84400</v>
      </c>
      <c r="J10" s="178" t="n">
        <f aca="false">+I10</f>
        <v>84400</v>
      </c>
      <c r="K10" s="178"/>
    </row>
    <row r="11" customFormat="false" ht="12.75" hidden="false" customHeight="false" outlineLevel="0" collapsed="false">
      <c r="A11" s="172" t="n">
        <v>36526</v>
      </c>
      <c r="B11" s="173" t="n">
        <v>105706</v>
      </c>
      <c r="C11" s="174" t="s">
        <v>48</v>
      </c>
      <c r="D11" s="175"/>
      <c r="E11" s="173"/>
      <c r="F11" s="176" t="n">
        <v>40000</v>
      </c>
      <c r="G11" s="175" t="n">
        <v>2.33</v>
      </c>
      <c r="H11" s="175"/>
      <c r="I11" s="177" t="n">
        <f aca="false">+G11*F11</f>
        <v>93200</v>
      </c>
      <c r="J11" s="178" t="n">
        <f aca="false">+I11</f>
        <v>93200</v>
      </c>
      <c r="K11" s="178"/>
    </row>
    <row r="12" customFormat="false" ht="12.75" hidden="false" customHeight="false" outlineLevel="0" collapsed="false">
      <c r="A12" s="172" t="n">
        <v>36557</v>
      </c>
      <c r="B12" s="173" t="n">
        <v>105706</v>
      </c>
      <c r="C12" s="174" t="s">
        <v>48</v>
      </c>
      <c r="D12" s="175"/>
      <c r="E12" s="173"/>
      <c r="F12" s="176" t="n">
        <v>40000</v>
      </c>
      <c r="G12" s="175" t="n">
        <v>2.58</v>
      </c>
      <c r="H12" s="175"/>
      <c r="I12" s="177" t="n">
        <f aca="false">+G12*F12</f>
        <v>103200</v>
      </c>
      <c r="J12" s="178" t="n">
        <f aca="false">+I12</f>
        <v>103200</v>
      </c>
      <c r="K12" s="178"/>
    </row>
    <row r="13" customFormat="false" ht="12.75" hidden="false" customHeight="false" outlineLevel="0" collapsed="false">
      <c r="A13" s="172" t="n">
        <v>36586</v>
      </c>
      <c r="B13" s="173" t="n">
        <v>105706</v>
      </c>
      <c r="C13" s="174" t="s">
        <v>48</v>
      </c>
      <c r="D13" s="175"/>
      <c r="E13" s="173"/>
      <c r="F13" s="176" t="n">
        <v>40000</v>
      </c>
      <c r="G13" s="175" t="n">
        <v>2.55</v>
      </c>
      <c r="H13" s="175"/>
      <c r="I13" s="177" t="n">
        <f aca="false">+G13*F13</f>
        <v>102000</v>
      </c>
      <c r="J13" s="178" t="n">
        <f aca="false">+I13</f>
        <v>102000</v>
      </c>
      <c r="K13" s="178"/>
    </row>
    <row r="14" customFormat="false" ht="12.75" hidden="false" customHeight="false" outlineLevel="0" collapsed="false">
      <c r="A14" s="172" t="n">
        <v>36617</v>
      </c>
      <c r="B14" s="173" t="n">
        <v>105706</v>
      </c>
      <c r="C14" s="174" t="s">
        <v>48</v>
      </c>
      <c r="D14" s="175"/>
      <c r="E14" s="173"/>
      <c r="F14" s="196" t="n">
        <v>30000</v>
      </c>
      <c r="G14" s="175" t="n">
        <v>2.8</v>
      </c>
      <c r="H14" s="175"/>
      <c r="I14" s="197" t="n">
        <f aca="false">+G14*F14</f>
        <v>84000</v>
      </c>
      <c r="J14" s="264" t="n">
        <f aca="false">+I14</f>
        <v>84000</v>
      </c>
      <c r="K14" s="198"/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 t="n">
        <f aca="false">SUM(F9:F14)</f>
        <v>230000</v>
      </c>
      <c r="G15" s="173"/>
      <c r="H15" s="175"/>
      <c r="I15" s="177" t="n">
        <f aca="false">SUM(I9:I14)</f>
        <v>588400</v>
      </c>
      <c r="J15" s="177" t="n">
        <f aca="false">SUM(J9:J14)</f>
        <v>588400</v>
      </c>
      <c r="K15" s="177" t="n">
        <f aca="false">SUM(K9:K14)</f>
        <v>0</v>
      </c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G16" s="173"/>
      <c r="H16" s="175"/>
      <c r="I16" s="177"/>
      <c r="J16" s="177"/>
      <c r="K16" s="177"/>
    </row>
    <row r="17" customFormat="false" ht="12.75" hidden="false" customHeight="false" outlineLevel="0" collapsed="false">
      <c r="A17" s="172"/>
      <c r="B17" s="173"/>
      <c r="C17" s="174"/>
      <c r="D17" s="175"/>
      <c r="E17" s="173"/>
      <c r="G17" s="173"/>
      <c r="H17" s="175"/>
      <c r="I17" s="177"/>
      <c r="J17" s="199"/>
      <c r="K17" s="199"/>
    </row>
    <row r="18" customFormat="false" ht="12.75" hidden="false" customHeight="false" outlineLevel="0" collapsed="false">
      <c r="A18" s="172"/>
      <c r="B18" s="173"/>
      <c r="C18" s="174"/>
      <c r="D18" s="175"/>
      <c r="E18" s="173"/>
      <c r="F18" s="176"/>
      <c r="G18" s="173"/>
      <c r="H18" s="293" t="s">
        <v>282</v>
      </c>
      <c r="I18" s="177"/>
      <c r="J18" s="179"/>
      <c r="K18" s="199"/>
    </row>
    <row r="19" customFormat="false" ht="12.75" hidden="false" customHeight="false" outlineLevel="0" collapsed="false">
      <c r="A19" s="172"/>
      <c r="B19" s="173"/>
      <c r="C19" s="174"/>
      <c r="D19" s="175"/>
      <c r="E19" s="173"/>
      <c r="F19" s="176"/>
      <c r="G19" s="173"/>
      <c r="H19" s="175"/>
      <c r="I19" s="177"/>
      <c r="J19" s="179"/>
      <c r="K19" s="199"/>
    </row>
    <row r="20" customFormat="false" ht="12.75" hidden="false" customHeight="false" outlineLevel="0" collapsed="false">
      <c r="A20" s="172" t="n">
        <v>36465</v>
      </c>
      <c r="B20" s="173" t="n">
        <v>105706</v>
      </c>
      <c r="C20" s="174" t="s">
        <v>48</v>
      </c>
      <c r="D20" s="175"/>
      <c r="E20" s="173"/>
      <c r="F20" s="176" t="n">
        <v>-40000</v>
      </c>
      <c r="G20" s="175" t="n">
        <v>3.131</v>
      </c>
      <c r="H20" s="175"/>
      <c r="I20" s="177" t="n">
        <f aca="false">+G20*F20</f>
        <v>-125240</v>
      </c>
      <c r="J20" s="178" t="n">
        <f aca="false">+I20</f>
        <v>-125240</v>
      </c>
      <c r="K20" s="178"/>
    </row>
    <row r="21" customFormat="false" ht="12.75" hidden="false" customHeight="false" outlineLevel="0" collapsed="false">
      <c r="A21" s="172" t="n">
        <v>36495</v>
      </c>
      <c r="B21" s="173" t="n">
        <v>105706</v>
      </c>
      <c r="C21" s="174" t="s">
        <v>48</v>
      </c>
      <c r="D21" s="175"/>
      <c r="E21" s="173"/>
      <c r="F21" s="176" t="n">
        <v>-40000</v>
      </c>
      <c r="G21" s="175" t="n">
        <v>2.2</v>
      </c>
      <c r="H21" s="175"/>
      <c r="I21" s="177" t="n">
        <f aca="false">+G21*F21</f>
        <v>-88000</v>
      </c>
      <c r="J21" s="178" t="n">
        <f aca="false">+I21</f>
        <v>-88000</v>
      </c>
      <c r="K21" s="178"/>
    </row>
    <row r="22" customFormat="false" ht="12.75" hidden="false" customHeight="false" outlineLevel="0" collapsed="false">
      <c r="A22" s="172" t="n">
        <v>36526</v>
      </c>
      <c r="B22" s="173" t="n">
        <v>105706</v>
      </c>
      <c r="C22" s="174" t="s">
        <v>48</v>
      </c>
      <c r="D22" s="175"/>
      <c r="E22" s="173"/>
      <c r="F22" s="176" t="n">
        <v>-40000</v>
      </c>
      <c r="G22" s="175" t="n">
        <v>2.44</v>
      </c>
      <c r="H22" s="175"/>
      <c r="I22" s="177" t="n">
        <f aca="false">+G22*F22</f>
        <v>-97600</v>
      </c>
      <c r="J22" s="178" t="n">
        <f aca="false">+I22</f>
        <v>-97600</v>
      </c>
      <c r="K22" s="178"/>
    </row>
    <row r="23" customFormat="false" ht="12.75" hidden="false" customHeight="false" outlineLevel="0" collapsed="false">
      <c r="A23" s="172" t="n">
        <v>36557</v>
      </c>
      <c r="B23" s="173" t="n">
        <v>105706</v>
      </c>
      <c r="C23" s="174" t="s">
        <v>48</v>
      </c>
      <c r="D23" s="175"/>
      <c r="E23" s="173"/>
      <c r="F23" s="176" t="n">
        <v>-40000</v>
      </c>
      <c r="G23" s="175" t="n">
        <v>2.68</v>
      </c>
      <c r="H23" s="175"/>
      <c r="I23" s="177" t="n">
        <f aca="false">+G23*F23</f>
        <v>-107200</v>
      </c>
      <c r="J23" s="178" t="n">
        <f aca="false">+I23</f>
        <v>-107200</v>
      </c>
      <c r="K23" s="178"/>
    </row>
    <row r="24" customFormat="false" ht="12.75" hidden="false" customHeight="false" outlineLevel="0" collapsed="false">
      <c r="A24" s="172" t="n">
        <v>36586</v>
      </c>
      <c r="B24" s="173" t="n">
        <v>105706</v>
      </c>
      <c r="C24" s="174" t="s">
        <v>48</v>
      </c>
      <c r="D24" s="175"/>
      <c r="E24" s="173"/>
      <c r="F24" s="176" t="n">
        <v>-40000</v>
      </c>
      <c r="G24" s="175" t="n">
        <v>2.53</v>
      </c>
      <c r="H24" s="175"/>
      <c r="I24" s="177" t="n">
        <f aca="false">+G24*F24</f>
        <v>-101200</v>
      </c>
      <c r="J24" s="178" t="n">
        <f aca="false">+I24</f>
        <v>-101200</v>
      </c>
      <c r="K24" s="178"/>
    </row>
    <row r="25" customFormat="false" ht="12.75" hidden="false" customHeight="false" outlineLevel="0" collapsed="false">
      <c r="A25" s="172" t="n">
        <v>36617</v>
      </c>
      <c r="B25" s="173" t="n">
        <v>105706</v>
      </c>
      <c r="C25" s="174" t="s">
        <v>48</v>
      </c>
      <c r="D25" s="175"/>
      <c r="E25" s="173"/>
      <c r="F25" s="196" t="n">
        <v>-30000</v>
      </c>
      <c r="G25" s="175" t="n">
        <v>2.93</v>
      </c>
      <c r="H25" s="175"/>
      <c r="I25" s="197" t="n">
        <f aca="false">+G25*F25</f>
        <v>-87900</v>
      </c>
      <c r="J25" s="264" t="n">
        <f aca="false">+I25</f>
        <v>-87900</v>
      </c>
      <c r="K25" s="198"/>
    </row>
    <row r="26" customFormat="false" ht="12.75" hidden="false" customHeight="false" outlineLevel="0" collapsed="false">
      <c r="A26" s="172"/>
      <c r="B26" s="173"/>
      <c r="C26" s="174"/>
      <c r="D26" s="175"/>
      <c r="E26" s="173"/>
      <c r="F26" s="176" t="n">
        <f aca="false">SUM(F20:F25)</f>
        <v>-230000</v>
      </c>
      <c r="G26" s="173"/>
      <c r="H26" s="175"/>
      <c r="I26" s="234" t="n">
        <f aca="false">SUM(I20:I25)</f>
        <v>-607140</v>
      </c>
      <c r="J26" s="234" t="n">
        <f aca="false">SUM(J20:J25)</f>
        <v>-607140</v>
      </c>
      <c r="K26" s="234" t="n">
        <f aca="false">SUM(K20:K25)</f>
        <v>0</v>
      </c>
      <c r="L26" s="207"/>
    </row>
    <row r="27" customFormat="false" ht="12.75" hidden="false" customHeight="false" outlineLevel="0" collapsed="false">
      <c r="A27" s="172"/>
      <c r="B27" s="173"/>
      <c r="C27" s="174"/>
      <c r="D27" s="175"/>
      <c r="E27" s="173"/>
      <c r="F27" s="176"/>
      <c r="G27" s="173"/>
      <c r="H27" s="175"/>
      <c r="I27" s="177"/>
      <c r="J27" s="179"/>
      <c r="K27" s="199"/>
    </row>
    <row r="28" customFormat="false" ht="13.5" hidden="false" customHeight="false" outlineLevel="0" collapsed="false">
      <c r="A28" s="172"/>
      <c r="B28" s="173"/>
      <c r="C28" s="174"/>
      <c r="D28" s="175"/>
      <c r="E28" s="173"/>
      <c r="F28" s="200" t="n">
        <f aca="false">+F26+F15</f>
        <v>0</v>
      </c>
      <c r="G28" s="173"/>
      <c r="H28" s="175"/>
      <c r="I28" s="201" t="n">
        <f aca="false">+I26+I15</f>
        <v>-18740</v>
      </c>
      <c r="J28" s="201" t="n">
        <f aca="false">+J26+J15</f>
        <v>-18740</v>
      </c>
      <c r="K28" s="201" t="n">
        <f aca="false">+K26+K15</f>
        <v>0</v>
      </c>
    </row>
    <row r="29" customFormat="false" ht="13.5" hidden="false" customHeight="false" outlineLevel="0" collapsed="false">
      <c r="A29" s="192"/>
      <c r="B29" s="192"/>
      <c r="C29" s="192"/>
      <c r="D29" s="192"/>
      <c r="E29" s="192"/>
      <c r="F29" s="192"/>
      <c r="G29" s="192"/>
      <c r="H29" s="192"/>
      <c r="I29" s="192"/>
      <c r="J29" s="193"/>
      <c r="K29" s="193"/>
    </row>
    <row r="31" customFormat="false" ht="12.75" hidden="false" customHeight="false" outlineLevel="0" collapsed="false">
      <c r="A31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233" width="12.14"/>
    <col collapsed="false" customWidth="true" hidden="false" outlineLevel="0" max="11" min="11" style="233" width="13.7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283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7" t="s">
        <v>284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5" customFormat="false" ht="15.75" hidden="false" customHeight="false" outlineLevel="0" collapsed="false">
      <c r="A5" s="158"/>
      <c r="B5" s="158"/>
      <c r="C5" s="158"/>
      <c r="D5" s="158"/>
      <c r="E5" s="158"/>
      <c r="F5" s="158"/>
      <c r="G5" s="158"/>
      <c r="H5" s="158"/>
      <c r="I5" s="158"/>
      <c r="J5" s="284"/>
      <c r="K5" s="284"/>
    </row>
    <row r="7" customFormat="false" ht="12.75" hidden="false" customHeight="false" outlineLevel="0" collapsed="false">
      <c r="A7" s="160" t="s">
        <v>129</v>
      </c>
      <c r="B7" s="161" t="s">
        <v>6</v>
      </c>
      <c r="C7" s="161" t="s">
        <v>6</v>
      </c>
      <c r="D7" s="161" t="s">
        <v>132</v>
      </c>
      <c r="E7" s="161"/>
      <c r="F7" s="161" t="s">
        <v>130</v>
      </c>
      <c r="G7" s="161" t="s">
        <v>97</v>
      </c>
      <c r="H7" s="161" t="s">
        <v>21</v>
      </c>
      <c r="I7" s="162" t="s">
        <v>131</v>
      </c>
      <c r="J7" s="162"/>
      <c r="K7" s="162"/>
    </row>
    <row r="8" customFormat="false" ht="12.75" hidden="false" customHeight="false" outlineLevel="0" collapsed="false">
      <c r="A8" s="163" t="s">
        <v>16</v>
      </c>
      <c r="B8" s="164" t="s">
        <v>13</v>
      </c>
      <c r="C8" s="164" t="s">
        <v>12</v>
      </c>
      <c r="D8" s="164" t="s">
        <v>17</v>
      </c>
      <c r="E8" s="164"/>
      <c r="F8" s="164" t="s">
        <v>133</v>
      </c>
      <c r="G8" s="164" t="s">
        <v>17</v>
      </c>
      <c r="H8" s="164" t="s">
        <v>17</v>
      </c>
      <c r="I8" s="164" t="s">
        <v>23</v>
      </c>
      <c r="J8" s="164" t="s">
        <v>24</v>
      </c>
      <c r="K8" s="165" t="s">
        <v>25</v>
      </c>
    </row>
    <row r="9" customFormat="false" ht="12.75" hidden="false" customHeight="false" outlineLevel="0" collapsed="false">
      <c r="A9" s="166"/>
      <c r="B9" s="167"/>
      <c r="C9" s="167"/>
      <c r="D9" s="167"/>
      <c r="E9" s="167"/>
      <c r="F9" s="167"/>
      <c r="G9" s="285" t="s">
        <v>267</v>
      </c>
      <c r="H9" s="170"/>
      <c r="I9" s="170" t="s">
        <v>136</v>
      </c>
      <c r="J9" s="170" t="s">
        <v>136</v>
      </c>
      <c r="K9" s="171" t="s">
        <v>136</v>
      </c>
    </row>
    <row r="10" customFormat="false" ht="12.75" hidden="false" customHeight="false" outlineLevel="0" collapsed="false">
      <c r="A10" s="294" t="n">
        <v>35947</v>
      </c>
      <c r="B10" s="173"/>
      <c r="C10" s="174" t="s">
        <v>32</v>
      </c>
      <c r="D10" s="177" t="n">
        <f aca="false">2.22</f>
        <v>2.22</v>
      </c>
      <c r="E10" s="177"/>
      <c r="F10" s="176" t="n">
        <f aca="false">250*30</f>
        <v>7500</v>
      </c>
      <c r="G10" s="177" t="n">
        <f aca="false">1.82</f>
        <v>1.82</v>
      </c>
      <c r="H10" s="177"/>
      <c r="I10" s="199" t="n">
        <f aca="false">SUM(D10-G10)*F10</f>
        <v>3000</v>
      </c>
      <c r="J10" s="199" t="n">
        <f aca="false">+I10</f>
        <v>3000</v>
      </c>
      <c r="K10" s="199"/>
    </row>
    <row r="11" customFormat="false" ht="12.75" hidden="false" customHeight="false" outlineLevel="0" collapsed="false">
      <c r="A11" s="294" t="n">
        <v>35977</v>
      </c>
      <c r="B11" s="173"/>
      <c r="C11" s="174" t="s">
        <v>32</v>
      </c>
      <c r="D11" s="177" t="n">
        <f aca="false">2.22</f>
        <v>2.22</v>
      </c>
      <c r="E11" s="177"/>
      <c r="F11" s="176" t="n">
        <f aca="false">250*31</f>
        <v>7750</v>
      </c>
      <c r="G11" s="177" t="n">
        <f aca="false">1.86</f>
        <v>1.86</v>
      </c>
      <c r="H11" s="177"/>
      <c r="I11" s="199" t="n">
        <f aca="false">SUM(D11-G11)*F11</f>
        <v>2790</v>
      </c>
      <c r="J11" s="199" t="n">
        <f aca="false">+I11</f>
        <v>2790</v>
      </c>
      <c r="K11" s="199"/>
    </row>
    <row r="12" customFormat="false" ht="12.75" hidden="false" customHeight="false" outlineLevel="0" collapsed="false">
      <c r="A12" s="294" t="n">
        <v>36008</v>
      </c>
      <c r="B12" s="173"/>
      <c r="C12" s="174" t="s">
        <v>32</v>
      </c>
      <c r="D12" s="177" t="n">
        <f aca="false">2.22</f>
        <v>2.22</v>
      </c>
      <c r="E12" s="177"/>
      <c r="F12" s="176" t="n">
        <f aca="false">250*31</f>
        <v>7750</v>
      </c>
      <c r="G12" s="177" t="n">
        <f aca="false">1.81</f>
        <v>1.81</v>
      </c>
      <c r="H12" s="177"/>
      <c r="I12" s="199" t="n">
        <f aca="false">SUM(D12-G12)*F12</f>
        <v>3177.5</v>
      </c>
      <c r="J12" s="199" t="n">
        <f aca="false">+I12</f>
        <v>3177.5</v>
      </c>
      <c r="K12" s="199"/>
    </row>
    <row r="13" customFormat="false" ht="12.75" hidden="false" customHeight="false" outlineLevel="0" collapsed="false">
      <c r="A13" s="294" t="n">
        <v>36039</v>
      </c>
      <c r="B13" s="173"/>
      <c r="C13" s="174" t="s">
        <v>32</v>
      </c>
      <c r="D13" s="177" t="n">
        <f aca="false">2.22</f>
        <v>2.22</v>
      </c>
      <c r="E13" s="177"/>
      <c r="F13" s="176" t="n">
        <f aca="false">250*30</f>
        <v>7500</v>
      </c>
      <c r="G13" s="177" t="n">
        <f aca="false">1.55</f>
        <v>1.55</v>
      </c>
      <c r="H13" s="177"/>
      <c r="I13" s="199" t="n">
        <f aca="false">SUM(D13-G13)*F13</f>
        <v>5025</v>
      </c>
      <c r="J13" s="199" t="n">
        <f aca="false">+I13</f>
        <v>5025</v>
      </c>
      <c r="K13" s="199"/>
    </row>
    <row r="14" customFormat="false" ht="12.75" hidden="false" customHeight="false" outlineLevel="0" collapsed="false">
      <c r="A14" s="294" t="n">
        <v>36069</v>
      </c>
      <c r="B14" s="173"/>
      <c r="C14" s="174" t="s">
        <v>32</v>
      </c>
      <c r="D14" s="177" t="n">
        <f aca="false">2.22</f>
        <v>2.22</v>
      </c>
      <c r="E14" s="177"/>
      <c r="F14" s="176" t="n">
        <f aca="false">250*31</f>
        <v>7750</v>
      </c>
      <c r="G14" s="177" t="n">
        <f aca="false">1.67</f>
        <v>1.67</v>
      </c>
      <c r="H14" s="177"/>
      <c r="I14" s="199" t="n">
        <f aca="false">SUM(D14-G14)*F14</f>
        <v>4262.5</v>
      </c>
      <c r="J14" s="199" t="n">
        <f aca="false">+I14</f>
        <v>4262.5</v>
      </c>
      <c r="K14" s="199"/>
    </row>
    <row r="15" customFormat="false" ht="12.75" hidden="false" customHeight="false" outlineLevel="0" collapsed="false">
      <c r="A15" s="294" t="n">
        <v>36100</v>
      </c>
      <c r="B15" s="173"/>
      <c r="C15" s="174" t="s">
        <v>32</v>
      </c>
      <c r="D15" s="177" t="n">
        <f aca="false">2.22</f>
        <v>2.22</v>
      </c>
      <c r="E15" s="177"/>
      <c r="F15" s="176" t="n">
        <f aca="false">250*30</f>
        <v>7500</v>
      </c>
      <c r="G15" s="177" t="n">
        <v>1.88</v>
      </c>
      <c r="H15" s="177"/>
      <c r="I15" s="199" t="n">
        <f aca="false">SUM(D15-G15)*F15</f>
        <v>2550</v>
      </c>
      <c r="J15" s="199" t="n">
        <f aca="false">+I15</f>
        <v>2550</v>
      </c>
      <c r="K15" s="199"/>
    </row>
    <row r="16" customFormat="false" ht="12.75" hidden="false" customHeight="false" outlineLevel="0" collapsed="false">
      <c r="A16" s="294" t="n">
        <v>36130</v>
      </c>
      <c r="B16" s="173"/>
      <c r="C16" s="174" t="s">
        <v>32</v>
      </c>
      <c r="D16" s="177" t="n">
        <f aca="false">2.22</f>
        <v>2.22</v>
      </c>
      <c r="E16" s="177"/>
      <c r="F16" s="176" t="n">
        <f aca="false">250*31</f>
        <v>7750</v>
      </c>
      <c r="G16" s="177" t="n">
        <v>1.96</v>
      </c>
      <c r="H16" s="177"/>
      <c r="I16" s="199" t="n">
        <f aca="false">SUM(D16-G16)*F16</f>
        <v>2015</v>
      </c>
      <c r="J16" s="199" t="n">
        <f aca="false">+I16</f>
        <v>2015</v>
      </c>
      <c r="K16" s="199"/>
    </row>
    <row r="17" customFormat="false" ht="12.75" hidden="false" customHeight="false" outlineLevel="0" collapsed="false">
      <c r="A17" s="294" t="n">
        <v>36161</v>
      </c>
      <c r="B17" s="173"/>
      <c r="C17" s="174" t="s">
        <v>32</v>
      </c>
      <c r="D17" s="177" t="n">
        <f aca="false">2.22</f>
        <v>2.22</v>
      </c>
      <c r="E17" s="177"/>
      <c r="F17" s="176" t="n">
        <f aca="false">250*31</f>
        <v>7750</v>
      </c>
      <c r="G17" s="177" t="n">
        <v>1.72</v>
      </c>
      <c r="H17" s="177"/>
      <c r="I17" s="199" t="n">
        <f aca="false">SUM(D17-G17)*F17</f>
        <v>3875</v>
      </c>
      <c r="J17" s="199" t="n">
        <f aca="false">+I17</f>
        <v>3875</v>
      </c>
      <c r="K17" s="199"/>
    </row>
    <row r="18" customFormat="false" ht="12.75" hidden="false" customHeight="false" outlineLevel="0" collapsed="false">
      <c r="A18" s="294" t="n">
        <v>36192</v>
      </c>
      <c r="B18" s="173"/>
      <c r="C18" s="174" t="s">
        <v>32</v>
      </c>
      <c r="D18" s="177" t="n">
        <f aca="false">2.22</f>
        <v>2.22</v>
      </c>
      <c r="E18" s="177"/>
      <c r="F18" s="176" t="n">
        <f aca="false">250*28</f>
        <v>7000</v>
      </c>
      <c r="G18" s="177" t="n">
        <v>1.63</v>
      </c>
      <c r="H18" s="177"/>
      <c r="I18" s="199" t="n">
        <f aca="false">SUM(D18-G18)*F18</f>
        <v>4130</v>
      </c>
      <c r="J18" s="199" t="n">
        <f aca="false">+I18</f>
        <v>4130</v>
      </c>
      <c r="K18" s="199"/>
    </row>
    <row r="19" customFormat="false" ht="12.75" hidden="false" customHeight="false" outlineLevel="0" collapsed="false">
      <c r="A19" s="294" t="n">
        <v>36220</v>
      </c>
      <c r="B19" s="173"/>
      <c r="C19" s="174" t="s">
        <v>32</v>
      </c>
      <c r="D19" s="177" t="n">
        <f aca="false">2.22</f>
        <v>2.22</v>
      </c>
      <c r="E19" s="177"/>
      <c r="F19" s="176" t="n">
        <f aca="false">250*31</f>
        <v>7750</v>
      </c>
      <c r="G19" s="177" t="n">
        <v>1.51</v>
      </c>
      <c r="H19" s="177"/>
      <c r="I19" s="199" t="n">
        <f aca="false">SUM(D19-G19)*F19</f>
        <v>5502.5</v>
      </c>
      <c r="J19" s="199" t="n">
        <f aca="false">+I19</f>
        <v>5502.5</v>
      </c>
      <c r="K19" s="199"/>
    </row>
    <row r="20" customFormat="false" ht="12.75" hidden="false" customHeight="false" outlineLevel="0" collapsed="false">
      <c r="A20" s="294" t="n">
        <v>36251</v>
      </c>
      <c r="B20" s="173"/>
      <c r="C20" s="174" t="s">
        <v>32</v>
      </c>
      <c r="D20" s="177" t="n">
        <f aca="false">2.22</f>
        <v>2.22</v>
      </c>
      <c r="E20" s="177"/>
      <c r="F20" s="176" t="n">
        <f aca="false">250*30</f>
        <v>7500</v>
      </c>
      <c r="G20" s="177" t="n">
        <v>1.59</v>
      </c>
      <c r="H20" s="177"/>
      <c r="I20" s="199" t="n">
        <f aca="false">SUM(D20-G20)*F20</f>
        <v>4725</v>
      </c>
      <c r="J20" s="199" t="n">
        <f aca="false">+I20</f>
        <v>4725</v>
      </c>
      <c r="K20" s="199"/>
    </row>
    <row r="21" customFormat="false" ht="12.75" hidden="false" customHeight="false" outlineLevel="0" collapsed="false">
      <c r="A21" s="294" t="n">
        <v>36281</v>
      </c>
      <c r="B21" s="173"/>
      <c r="C21" s="174" t="s">
        <v>32</v>
      </c>
      <c r="D21" s="177" t="n">
        <f aca="false">2.22</f>
        <v>2.22</v>
      </c>
      <c r="E21" s="177"/>
      <c r="F21" s="176" t="n">
        <f aca="false">250*31</f>
        <v>7750</v>
      </c>
      <c r="G21" s="177" t="n">
        <v>2.03</v>
      </c>
      <c r="H21" s="177"/>
      <c r="I21" s="199" t="n">
        <f aca="false">SUM(D21-G21)*F21</f>
        <v>1472.5</v>
      </c>
      <c r="J21" s="199" t="n">
        <f aca="false">+I21</f>
        <v>1472.5</v>
      </c>
      <c r="K21" s="199"/>
    </row>
    <row r="22" customFormat="false" ht="12.75" hidden="false" customHeight="false" outlineLevel="0" collapsed="false">
      <c r="A22" s="207"/>
      <c r="B22" s="173"/>
      <c r="C22" s="173"/>
      <c r="D22" s="173"/>
      <c r="E22" s="173"/>
      <c r="F22" s="180" t="n">
        <f aca="false">SUM(F10:F21)</f>
        <v>91250</v>
      </c>
      <c r="G22" s="173"/>
      <c r="H22" s="173"/>
      <c r="I22" s="288" t="n">
        <f aca="false">SUM(I10:I21)</f>
        <v>42525</v>
      </c>
      <c r="J22" s="288" t="n">
        <f aca="false">SUM(J10:J21)</f>
        <v>42525</v>
      </c>
      <c r="K22" s="288" t="n">
        <f aca="false">SUM(K10:K21)</f>
        <v>0</v>
      </c>
      <c r="L22" s="217" t="n">
        <f aca="false">+J22+K22-I22</f>
        <v>0</v>
      </c>
    </row>
    <row r="23" customFormat="false" ht="12.75" hidden="false" customHeight="false" outlineLevel="0" collapsed="false">
      <c r="A23" s="207"/>
      <c r="B23" s="173"/>
      <c r="C23" s="173"/>
      <c r="D23" s="173"/>
      <c r="E23" s="173"/>
      <c r="F23" s="182"/>
      <c r="G23" s="173"/>
      <c r="H23" s="173"/>
      <c r="I23" s="184"/>
      <c r="J23" s="184"/>
      <c r="K23" s="184"/>
      <c r="L23" s="217"/>
    </row>
    <row r="24" customFormat="false" ht="12.75" hidden="false" customHeight="false" outlineLevel="0" collapsed="false">
      <c r="A24" s="207"/>
      <c r="B24" s="173"/>
      <c r="C24" s="173"/>
      <c r="D24" s="173"/>
      <c r="E24" s="173"/>
      <c r="F24" s="173"/>
      <c r="G24" s="185" t="s">
        <v>265</v>
      </c>
      <c r="H24" s="173"/>
      <c r="I24" s="199"/>
      <c r="J24" s="199"/>
      <c r="K24" s="199"/>
    </row>
    <row r="25" customFormat="false" ht="12.75" hidden="false" customHeight="false" outlineLevel="0" collapsed="false">
      <c r="A25" s="207"/>
      <c r="B25" s="173"/>
      <c r="C25" s="173"/>
      <c r="D25" s="173"/>
      <c r="E25" s="173"/>
      <c r="F25" s="173"/>
      <c r="G25" s="289"/>
      <c r="H25" s="173"/>
      <c r="I25" s="199"/>
      <c r="J25" s="199"/>
      <c r="K25" s="199"/>
    </row>
    <row r="26" customFormat="false" ht="12.75" hidden="false" customHeight="false" outlineLevel="0" collapsed="false">
      <c r="A26" s="294" t="n">
        <v>35947</v>
      </c>
      <c r="B26" s="174" t="n">
        <f aca="false">26125</f>
        <v>26125</v>
      </c>
      <c r="C26" s="174" t="s">
        <v>35</v>
      </c>
      <c r="D26" s="177" t="n">
        <f aca="false">2.22</f>
        <v>2.22</v>
      </c>
      <c r="E26" s="176" t="n">
        <f aca="false">-8600*30</f>
        <v>-258000</v>
      </c>
      <c r="F26" s="176" t="n">
        <v>-7500</v>
      </c>
      <c r="G26" s="177" t="n">
        <f aca="false">1.84</f>
        <v>1.84</v>
      </c>
      <c r="H26" s="177"/>
      <c r="K26" s="199"/>
    </row>
    <row r="27" customFormat="false" ht="12.75" hidden="false" customHeight="false" outlineLevel="0" collapsed="false">
      <c r="A27" s="294" t="n">
        <v>35977</v>
      </c>
      <c r="B27" s="174" t="n">
        <f aca="false">26125</f>
        <v>26125</v>
      </c>
      <c r="C27" s="174" t="s">
        <v>35</v>
      </c>
      <c r="D27" s="177" t="n">
        <f aca="false">2.22</f>
        <v>2.22</v>
      </c>
      <c r="E27" s="176" t="n">
        <f aca="false">-8600*31</f>
        <v>-266600</v>
      </c>
      <c r="F27" s="176" t="n">
        <v>-7750</v>
      </c>
      <c r="G27" s="177" t="n">
        <f aca="false">2.02</f>
        <v>2.02</v>
      </c>
      <c r="H27" s="177"/>
      <c r="I27" s="199" t="n">
        <f aca="false">SUM(D27-G27)*F27</f>
        <v>-1550</v>
      </c>
      <c r="J27" s="199" t="n">
        <f aca="false">+I27</f>
        <v>-1550</v>
      </c>
      <c r="K27" s="199"/>
    </row>
    <row r="28" customFormat="false" ht="12.75" hidden="false" customHeight="false" outlineLevel="0" collapsed="false">
      <c r="A28" s="294" t="n">
        <v>36008</v>
      </c>
      <c r="B28" s="174" t="n">
        <f aca="false">26125</f>
        <v>26125</v>
      </c>
      <c r="C28" s="174" t="s">
        <v>35</v>
      </c>
      <c r="D28" s="177" t="n">
        <f aca="false">2.22</f>
        <v>2.22</v>
      </c>
      <c r="E28" s="176" t="n">
        <f aca="false">-8600*31</f>
        <v>-266600</v>
      </c>
      <c r="F28" s="176" t="n">
        <v>-7750</v>
      </c>
      <c r="G28" s="177" t="n">
        <f aca="false">1.75</f>
        <v>1.75</v>
      </c>
      <c r="H28" s="177"/>
      <c r="I28" s="199" t="n">
        <f aca="false">SUM(D28-G28)*F28</f>
        <v>-3642.5</v>
      </c>
      <c r="J28" s="199" t="n">
        <f aca="false">+I28</f>
        <v>-3642.5</v>
      </c>
      <c r="K28" s="199"/>
    </row>
    <row r="29" customFormat="false" ht="12.75" hidden="false" customHeight="false" outlineLevel="0" collapsed="false">
      <c r="A29" s="294" t="n">
        <v>36039</v>
      </c>
      <c r="B29" s="174" t="n">
        <f aca="false">26125</f>
        <v>26125</v>
      </c>
      <c r="C29" s="174" t="s">
        <v>35</v>
      </c>
      <c r="D29" s="177" t="n">
        <f aca="false">2.22</f>
        <v>2.22</v>
      </c>
      <c r="E29" s="176" t="n">
        <f aca="false">-8600*30</f>
        <v>-258000</v>
      </c>
      <c r="F29" s="176" t="n">
        <v>-7500</v>
      </c>
      <c r="G29" s="177" t="n">
        <f aca="false">1.76</f>
        <v>1.76</v>
      </c>
      <c r="H29" s="177"/>
      <c r="I29" s="199" t="n">
        <f aca="false">SUM(D29-G29)*F29</f>
        <v>-3450</v>
      </c>
      <c r="J29" s="199" t="n">
        <f aca="false">+I29</f>
        <v>-3450</v>
      </c>
      <c r="K29" s="199"/>
    </row>
    <row r="30" customFormat="false" ht="12.75" hidden="false" customHeight="false" outlineLevel="0" collapsed="false">
      <c r="A30" s="294" t="n">
        <v>36069</v>
      </c>
      <c r="B30" s="174" t="n">
        <f aca="false">26125</f>
        <v>26125</v>
      </c>
      <c r="C30" s="174" t="s">
        <v>35</v>
      </c>
      <c r="D30" s="177" t="n">
        <f aca="false">2.22</f>
        <v>2.22</v>
      </c>
      <c r="E30" s="176" t="n">
        <f aca="false">-8600*31</f>
        <v>-266600</v>
      </c>
      <c r="F30" s="176" t="n">
        <v>-7750</v>
      </c>
      <c r="G30" s="177" t="n">
        <v>1.78</v>
      </c>
      <c r="H30" s="177"/>
      <c r="I30" s="199" t="n">
        <f aca="false">SUM(D30-G30)*F30</f>
        <v>-3410</v>
      </c>
      <c r="J30" s="199" t="n">
        <f aca="false">+I30</f>
        <v>-3410</v>
      </c>
      <c r="K30" s="199"/>
    </row>
    <row r="31" customFormat="false" ht="12.75" hidden="false" customHeight="false" outlineLevel="0" collapsed="false">
      <c r="A31" s="294" t="n">
        <v>36100</v>
      </c>
      <c r="B31" s="174" t="n">
        <f aca="false">26125</f>
        <v>26125</v>
      </c>
      <c r="C31" s="174" t="s">
        <v>35</v>
      </c>
      <c r="D31" s="177" t="n">
        <f aca="false">2.22</f>
        <v>2.22</v>
      </c>
      <c r="E31" s="176" t="n">
        <f aca="false">-8600*30</f>
        <v>-258000</v>
      </c>
      <c r="F31" s="176" t="n">
        <v>-7500</v>
      </c>
      <c r="G31" s="177" t="n">
        <v>1.99</v>
      </c>
      <c r="H31" s="177"/>
      <c r="I31" s="199" t="n">
        <f aca="false">SUM(D31-G31)*F31</f>
        <v>-1725</v>
      </c>
      <c r="J31" s="199" t="n">
        <f aca="false">+I31</f>
        <v>-1725</v>
      </c>
      <c r="K31" s="199"/>
    </row>
    <row r="32" customFormat="false" ht="12.75" hidden="false" customHeight="false" outlineLevel="0" collapsed="false">
      <c r="A32" s="294" t="n">
        <v>36130</v>
      </c>
      <c r="B32" s="174" t="n">
        <f aca="false">26125</f>
        <v>26125</v>
      </c>
      <c r="C32" s="174" t="s">
        <v>35</v>
      </c>
      <c r="D32" s="177" t="n">
        <f aca="false">2.22</f>
        <v>2.22</v>
      </c>
      <c r="E32" s="176" t="n">
        <f aca="false">-8600*31</f>
        <v>-266600</v>
      </c>
      <c r="F32" s="176" t="n">
        <v>-7750</v>
      </c>
      <c r="G32" s="177" t="n">
        <v>1.74</v>
      </c>
      <c r="H32" s="177"/>
      <c r="I32" s="199" t="n">
        <f aca="false">SUM(D32-G32)*F32</f>
        <v>-3720</v>
      </c>
      <c r="J32" s="199" t="n">
        <f aca="false">+I32</f>
        <v>-3720</v>
      </c>
      <c r="K32" s="199"/>
    </row>
    <row r="33" customFormat="false" ht="12.75" hidden="false" customHeight="false" outlineLevel="0" collapsed="false">
      <c r="A33" s="294" t="n">
        <v>36161</v>
      </c>
      <c r="B33" s="174" t="n">
        <f aca="false">26125</f>
        <v>26125</v>
      </c>
      <c r="C33" s="174" t="s">
        <v>35</v>
      </c>
      <c r="D33" s="177" t="n">
        <f aca="false">2.22</f>
        <v>2.22</v>
      </c>
      <c r="E33" s="176" t="n">
        <f aca="false">-8600*31</f>
        <v>-266600</v>
      </c>
      <c r="F33" s="176" t="n">
        <v>-7750</v>
      </c>
      <c r="G33" s="177" t="n">
        <v>1.73</v>
      </c>
      <c r="H33" s="177"/>
      <c r="I33" s="199" t="n">
        <f aca="false">SUM(D33-G33)*F33</f>
        <v>-3797.5</v>
      </c>
      <c r="J33" s="199" t="n">
        <f aca="false">+I33</f>
        <v>-3797.5</v>
      </c>
      <c r="K33" s="199"/>
    </row>
    <row r="34" customFormat="false" ht="12.75" hidden="false" customHeight="false" outlineLevel="0" collapsed="false">
      <c r="A34" s="294" t="n">
        <v>36192</v>
      </c>
      <c r="B34" s="174" t="n">
        <f aca="false">26125</f>
        <v>26125</v>
      </c>
      <c r="C34" s="174" t="s">
        <v>35</v>
      </c>
      <c r="D34" s="177" t="n">
        <f aca="false">2.22</f>
        <v>2.22</v>
      </c>
      <c r="E34" s="176" t="n">
        <f aca="false">-8600*28</f>
        <v>-240800</v>
      </c>
      <c r="F34" s="176" t="n">
        <v>-7000</v>
      </c>
      <c r="G34" s="177" t="n">
        <v>1.63</v>
      </c>
      <c r="H34" s="177"/>
      <c r="I34" s="199" t="n">
        <f aca="false">SUM(D34-G34)*F34</f>
        <v>-4130</v>
      </c>
      <c r="J34" s="199" t="n">
        <f aca="false">+I34</f>
        <v>-4130</v>
      </c>
      <c r="K34" s="199"/>
    </row>
    <row r="35" customFormat="false" ht="12.75" hidden="false" customHeight="false" outlineLevel="0" collapsed="false">
      <c r="A35" s="294" t="n">
        <v>36220</v>
      </c>
      <c r="B35" s="174" t="n">
        <f aca="false">26125</f>
        <v>26125</v>
      </c>
      <c r="C35" s="174" t="s">
        <v>35</v>
      </c>
      <c r="D35" s="177" t="n">
        <f aca="false">2.22</f>
        <v>2.22</v>
      </c>
      <c r="E35" s="176" t="n">
        <f aca="false">-8600*31</f>
        <v>-266600</v>
      </c>
      <c r="F35" s="176" t="n">
        <v>-7750</v>
      </c>
      <c r="G35" s="177" t="n">
        <v>1.59</v>
      </c>
      <c r="H35" s="177"/>
      <c r="I35" s="199" t="n">
        <f aca="false">SUM(D35-G35)*F35</f>
        <v>-4882.5</v>
      </c>
      <c r="J35" s="199" t="n">
        <f aca="false">+I35</f>
        <v>-4882.5</v>
      </c>
      <c r="K35" s="199"/>
    </row>
    <row r="36" customFormat="false" ht="12.75" hidden="false" customHeight="false" outlineLevel="0" collapsed="false">
      <c r="A36" s="294" t="n">
        <v>36251</v>
      </c>
      <c r="B36" s="174" t="n">
        <f aca="false">26125</f>
        <v>26125</v>
      </c>
      <c r="C36" s="174" t="s">
        <v>35</v>
      </c>
      <c r="D36" s="177" t="n">
        <f aca="false">2.22</f>
        <v>2.22</v>
      </c>
      <c r="E36" s="176" t="n">
        <f aca="false">-8600*30</f>
        <v>-258000</v>
      </c>
      <c r="F36" s="176" t="n">
        <v>-7500</v>
      </c>
      <c r="G36" s="295" t="n">
        <v>1.94</v>
      </c>
      <c r="H36" s="295"/>
      <c r="I36" s="199" t="n">
        <f aca="false">SUM(D36-G36)*F36</f>
        <v>-2100</v>
      </c>
      <c r="J36" s="199" t="n">
        <f aca="false">+I36</f>
        <v>-2100</v>
      </c>
      <c r="K36" s="199"/>
    </row>
    <row r="37" customFormat="false" ht="12.75" hidden="false" customHeight="false" outlineLevel="0" collapsed="false">
      <c r="A37" s="294" t="n">
        <v>36281</v>
      </c>
      <c r="B37" s="174" t="n">
        <f aca="false">26125</f>
        <v>26125</v>
      </c>
      <c r="C37" s="174" t="s">
        <v>35</v>
      </c>
      <c r="D37" s="177" t="n">
        <f aca="false">2.22</f>
        <v>2.22</v>
      </c>
      <c r="E37" s="176" t="n">
        <f aca="false">-8600*31</f>
        <v>-266600</v>
      </c>
      <c r="F37" s="176" t="n">
        <v>-7750</v>
      </c>
      <c r="G37" s="177" t="n">
        <v>2.06</v>
      </c>
      <c r="H37" s="177"/>
      <c r="I37" s="199" t="n">
        <f aca="false">SUM(D37-G37)*F37</f>
        <v>-1240</v>
      </c>
      <c r="J37" s="199" t="n">
        <f aca="false">+I37</f>
        <v>-1240</v>
      </c>
      <c r="K37" s="199"/>
    </row>
    <row r="38" customFormat="false" ht="12.75" hidden="false" customHeight="false" outlineLevel="0" collapsed="false">
      <c r="A38" s="207"/>
      <c r="B38" s="173"/>
      <c r="C38" s="173"/>
      <c r="D38" s="173"/>
      <c r="E38" s="173"/>
      <c r="F38" s="180" t="n">
        <f aca="false">SUM(F26:F37)</f>
        <v>-91250</v>
      </c>
      <c r="G38" s="173"/>
      <c r="H38" s="173"/>
      <c r="I38" s="288" t="n">
        <f aca="false">SUM(I27:I37)</f>
        <v>-33647.5</v>
      </c>
      <c r="J38" s="288" t="n">
        <f aca="false">SUM(J27:J37)</f>
        <v>-33647.5</v>
      </c>
      <c r="K38" s="288" t="n">
        <f aca="false">SUM(K27:K37)</f>
        <v>0</v>
      </c>
      <c r="L38" s="217" t="n">
        <f aca="false">+J38+K38-I38</f>
        <v>0</v>
      </c>
    </row>
    <row r="39" customFormat="false" ht="12.75" hidden="false" customHeight="false" outlineLevel="0" collapsed="false">
      <c r="A39" s="207"/>
      <c r="B39" s="173"/>
      <c r="C39" s="173"/>
      <c r="D39" s="173"/>
      <c r="E39" s="173"/>
      <c r="F39" s="173"/>
      <c r="G39" s="173"/>
      <c r="H39" s="173"/>
      <c r="I39" s="199"/>
      <c r="J39" s="199"/>
      <c r="K39" s="199"/>
    </row>
    <row r="40" customFormat="false" ht="13.5" hidden="false" customHeight="false" outlineLevel="0" collapsed="false">
      <c r="A40" s="207"/>
      <c r="B40" s="173"/>
      <c r="C40" s="173"/>
      <c r="D40" s="173"/>
      <c r="E40" s="173"/>
      <c r="F40" s="190" t="n">
        <f aca="false">+F22+F38</f>
        <v>0</v>
      </c>
      <c r="G40" s="173"/>
      <c r="H40" s="173"/>
      <c r="I40" s="276" t="n">
        <f aca="false">+I22+I38</f>
        <v>8877.5</v>
      </c>
      <c r="J40" s="276" t="n">
        <f aca="false">+J22+J38</f>
        <v>8877.5</v>
      </c>
      <c r="K40" s="276" t="n">
        <f aca="false">+K22+K38</f>
        <v>0</v>
      </c>
      <c r="L40" s="217" t="n">
        <f aca="false">+J40+K40-I40</f>
        <v>0</v>
      </c>
    </row>
    <row r="41" customFormat="false" ht="13.5" hidden="false" customHeight="false" outlineLevel="0" collapsed="false">
      <c r="A41" s="290"/>
      <c r="B41" s="192"/>
      <c r="C41" s="192"/>
      <c r="D41" s="192"/>
      <c r="E41" s="192"/>
      <c r="F41" s="192"/>
      <c r="G41" s="192"/>
      <c r="H41" s="192"/>
      <c r="I41" s="291"/>
      <c r="J41" s="291"/>
      <c r="K41" s="291"/>
    </row>
    <row r="42" customFormat="false" ht="12.75" hidden="false" customHeight="false" outlineLevel="0" collapsed="false">
      <c r="I42" s="233"/>
    </row>
    <row r="43" customFormat="false" ht="12.75" hidden="false" customHeight="false" outlineLevel="0" collapsed="false">
      <c r="A43" s="5" t="s">
        <v>138</v>
      </c>
      <c r="J43" s="0"/>
      <c r="K43" s="0"/>
    </row>
    <row r="44" customFormat="false" ht="11.2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292"/>
      <c r="J44" s="292"/>
      <c r="K44" s="292"/>
    </row>
    <row r="45" customFormat="false" ht="12.75" hidden="false" customHeight="false" outlineLevel="0" collapsed="false">
      <c r="I45" s="233"/>
    </row>
    <row r="46" customFormat="false" ht="12.75" hidden="false" customHeight="false" outlineLevel="0" collapsed="false">
      <c r="I46" s="233"/>
    </row>
    <row r="47" customFormat="false" ht="12.75" hidden="false" customHeight="false" outlineLevel="0" collapsed="false">
      <c r="I47" s="233"/>
    </row>
    <row r="48" customFormat="false" ht="12.75" hidden="false" customHeight="false" outlineLevel="0" collapsed="false">
      <c r="I48" s="233"/>
    </row>
    <row r="49" customFormat="false" ht="12.75" hidden="false" customHeight="false" outlineLevel="0" collapsed="false">
      <c r="I49" s="233"/>
    </row>
    <row r="50" customFormat="false" ht="12.75" hidden="false" customHeight="false" outlineLevel="0" collapsed="false">
      <c r="I50" s="233"/>
    </row>
    <row r="51" customFormat="false" ht="12.75" hidden="false" customHeight="false" outlineLevel="0" collapsed="false">
      <c r="I51" s="233"/>
    </row>
    <row r="52" customFormat="false" ht="12.75" hidden="false" customHeight="false" outlineLevel="0" collapsed="false">
      <c r="I52" s="233"/>
    </row>
    <row r="53" customFormat="false" ht="12.75" hidden="false" customHeight="false" outlineLevel="0" collapsed="false">
      <c r="I53" s="233"/>
    </row>
    <row r="54" customFormat="false" ht="12.75" hidden="false" customHeight="false" outlineLevel="0" collapsed="false">
      <c r="I54" s="233"/>
    </row>
    <row r="55" customFormat="false" ht="12.75" hidden="false" customHeight="false" outlineLevel="0" collapsed="false">
      <c r="I55" s="233"/>
    </row>
    <row r="56" customFormat="false" ht="12.75" hidden="false" customHeight="false" outlineLevel="0" collapsed="false">
      <c r="I56" s="233"/>
    </row>
    <row r="57" customFormat="false" ht="12.75" hidden="false" customHeight="false" outlineLevel="0" collapsed="false">
      <c r="I57" s="233"/>
    </row>
    <row r="58" customFormat="false" ht="12.75" hidden="false" customHeight="false" outlineLevel="0" collapsed="false">
      <c r="I58" s="233"/>
    </row>
    <row r="59" customFormat="false" ht="12.75" hidden="false" customHeight="false" outlineLevel="0" collapsed="false">
      <c r="I59" s="233"/>
    </row>
    <row r="60" customFormat="false" ht="12.75" hidden="false" customHeight="false" outlineLevel="0" collapsed="false">
      <c r="I60" s="233"/>
    </row>
    <row r="61" customFormat="false" ht="12.75" hidden="false" customHeight="false" outlineLevel="0" collapsed="false">
      <c r="I61" s="233"/>
    </row>
    <row r="62" customFormat="false" ht="12.75" hidden="false" customHeight="false" outlineLevel="0" collapsed="false">
      <c r="I62" s="233"/>
    </row>
    <row r="63" customFormat="false" ht="12.75" hidden="false" customHeight="false" outlineLevel="0" collapsed="false">
      <c r="I63" s="233"/>
    </row>
    <row r="64" customFormat="false" ht="12.75" hidden="false" customHeight="false" outlineLevel="0" collapsed="false">
      <c r="I64" s="233"/>
    </row>
    <row r="65" customFormat="false" ht="12.75" hidden="false" customHeight="false" outlineLevel="0" collapsed="false">
      <c r="I65" s="233"/>
    </row>
    <row r="66" customFormat="false" ht="12.75" hidden="false" customHeight="false" outlineLevel="0" collapsed="false">
      <c r="I66" s="233"/>
    </row>
    <row r="67" customFormat="false" ht="12.75" hidden="false" customHeight="false" outlineLevel="0" collapsed="false">
      <c r="I67" s="233"/>
    </row>
    <row r="68" customFormat="false" ht="12.75" hidden="false" customHeight="false" outlineLevel="0" collapsed="false">
      <c r="I68" s="233"/>
    </row>
    <row r="69" customFormat="false" ht="12.75" hidden="false" customHeight="false" outlineLevel="0" collapsed="false">
      <c r="I69" s="233"/>
    </row>
    <row r="70" customFormat="false" ht="12.75" hidden="false" customHeight="false" outlineLevel="0" collapsed="false">
      <c r="I70" s="233"/>
    </row>
    <row r="71" customFormat="false" ht="12.75" hidden="false" customHeight="false" outlineLevel="0" collapsed="false">
      <c r="I71" s="233"/>
    </row>
    <row r="72" customFormat="false" ht="12.75" hidden="false" customHeight="false" outlineLevel="0" collapsed="false">
      <c r="I72" s="233"/>
    </row>
    <row r="73" customFormat="false" ht="12.75" hidden="false" customHeight="false" outlineLevel="0" collapsed="false">
      <c r="I73" s="233"/>
    </row>
    <row r="74" customFormat="false" ht="12.75" hidden="false" customHeight="false" outlineLevel="0" collapsed="false">
      <c r="I74" s="233"/>
    </row>
    <row r="75" customFormat="false" ht="12.75" hidden="false" customHeight="false" outlineLevel="0" collapsed="false">
      <c r="I75" s="233"/>
    </row>
    <row r="76" customFormat="false" ht="12.75" hidden="false" customHeight="false" outlineLevel="0" collapsed="false">
      <c r="I76" s="233"/>
    </row>
    <row r="77" customFormat="false" ht="12.75" hidden="false" customHeight="false" outlineLevel="0" collapsed="false">
      <c r="I77" s="233"/>
    </row>
    <row r="78" customFormat="false" ht="12.75" hidden="false" customHeight="false" outlineLevel="0" collapsed="false">
      <c r="I78" s="233"/>
    </row>
    <row r="79" customFormat="false" ht="12.75" hidden="false" customHeight="false" outlineLevel="0" collapsed="false">
      <c r="I79" s="233"/>
    </row>
    <row r="80" customFormat="false" ht="12.75" hidden="false" customHeight="false" outlineLevel="0" collapsed="false">
      <c r="I80" s="233"/>
    </row>
    <row r="81" customFormat="false" ht="12.75" hidden="false" customHeight="false" outlineLevel="0" collapsed="false">
      <c r="I81" s="233"/>
    </row>
    <row r="82" customFormat="false" ht="12.75" hidden="false" customHeight="false" outlineLevel="0" collapsed="false">
      <c r="I82" s="233"/>
    </row>
    <row r="83" customFormat="false" ht="12.75" hidden="false" customHeight="false" outlineLevel="0" collapsed="false">
      <c r="I83" s="233"/>
    </row>
    <row r="84" customFormat="false" ht="12.75" hidden="false" customHeight="false" outlineLevel="0" collapsed="false">
      <c r="I84" s="233"/>
    </row>
    <row r="85" customFormat="false" ht="12.75" hidden="false" customHeight="false" outlineLevel="0" collapsed="false">
      <c r="I85" s="233"/>
    </row>
    <row r="86" customFormat="false" ht="12.75" hidden="false" customHeight="false" outlineLevel="0" collapsed="false">
      <c r="I86" s="233"/>
    </row>
    <row r="87" customFormat="false" ht="12.75" hidden="false" customHeight="false" outlineLevel="0" collapsed="false">
      <c r="I87" s="233"/>
    </row>
    <row r="88" customFormat="false" ht="12.75" hidden="false" customHeight="false" outlineLevel="0" collapsed="false">
      <c r="I88" s="233"/>
    </row>
    <row r="89" customFormat="false" ht="12.75" hidden="false" customHeight="false" outlineLevel="0" collapsed="false">
      <c r="I89" s="233"/>
    </row>
    <row r="90" customFormat="false" ht="12.75" hidden="false" customHeight="false" outlineLevel="0" collapsed="false">
      <c r="I90" s="233"/>
    </row>
    <row r="91" customFormat="false" ht="12.75" hidden="false" customHeight="false" outlineLevel="0" collapsed="false">
      <c r="I91" s="233"/>
    </row>
    <row r="92" customFormat="false" ht="12.75" hidden="false" customHeight="false" outlineLevel="0" collapsed="false">
      <c r="I92" s="233"/>
    </row>
    <row r="93" customFormat="false" ht="12.75" hidden="false" customHeight="false" outlineLevel="0" collapsed="false">
      <c r="I93" s="233"/>
    </row>
    <row r="94" customFormat="false" ht="12.75" hidden="false" customHeight="false" outlineLevel="0" collapsed="false">
      <c r="I94" s="233"/>
    </row>
    <row r="95" customFormat="false" ht="12.75" hidden="false" customHeight="false" outlineLevel="0" collapsed="false">
      <c r="I95" s="233"/>
    </row>
    <row r="96" customFormat="false" ht="12.75" hidden="false" customHeight="false" outlineLevel="0" collapsed="false">
      <c r="I96" s="233"/>
    </row>
    <row r="97" customFormat="false" ht="12.75" hidden="false" customHeight="false" outlineLevel="0" collapsed="false">
      <c r="I97" s="233"/>
    </row>
    <row r="98" customFormat="false" ht="12.75" hidden="false" customHeight="false" outlineLevel="0" collapsed="false">
      <c r="I98" s="233"/>
    </row>
    <row r="99" customFormat="false" ht="12.75" hidden="false" customHeight="false" outlineLevel="0" collapsed="false">
      <c r="I99" s="233"/>
    </row>
    <row r="100" customFormat="false" ht="12.75" hidden="false" customHeight="false" outlineLevel="0" collapsed="false">
      <c r="I100" s="233"/>
    </row>
    <row r="101" customFormat="false" ht="12.75" hidden="false" customHeight="false" outlineLevel="0" collapsed="false">
      <c r="I101" s="233"/>
    </row>
    <row r="102" customFormat="false" ht="12.75" hidden="false" customHeight="false" outlineLevel="0" collapsed="false">
      <c r="I102" s="233"/>
    </row>
    <row r="103" customFormat="false" ht="12.75" hidden="false" customHeight="false" outlineLevel="0" collapsed="false">
      <c r="I103" s="233"/>
    </row>
    <row r="104" customFormat="false" ht="12.75" hidden="false" customHeight="false" outlineLevel="0" collapsed="false">
      <c r="I104" s="233"/>
    </row>
    <row r="105" customFormat="false" ht="12.75" hidden="false" customHeight="false" outlineLevel="0" collapsed="false">
      <c r="I105" s="233"/>
    </row>
    <row r="106" customFormat="false" ht="12.75" hidden="false" customHeight="false" outlineLevel="0" collapsed="false">
      <c r="I106" s="233"/>
    </row>
    <row r="107" customFormat="false" ht="12.75" hidden="false" customHeight="false" outlineLevel="0" collapsed="false">
      <c r="I107" s="233"/>
    </row>
    <row r="108" customFormat="false" ht="12.75" hidden="false" customHeight="false" outlineLevel="0" collapsed="false">
      <c r="I108" s="233"/>
    </row>
    <row r="109" customFormat="false" ht="12.75" hidden="false" customHeight="false" outlineLevel="0" collapsed="false">
      <c r="I109" s="233"/>
    </row>
    <row r="110" customFormat="false" ht="12.75" hidden="false" customHeight="false" outlineLevel="0" collapsed="false">
      <c r="I110" s="233"/>
    </row>
    <row r="111" customFormat="false" ht="12.75" hidden="false" customHeight="false" outlineLevel="0" collapsed="false">
      <c r="I111" s="233"/>
    </row>
    <row r="112" customFormat="false" ht="12.75" hidden="false" customHeight="false" outlineLevel="0" collapsed="false">
      <c r="I112" s="233"/>
    </row>
    <row r="113" customFormat="false" ht="12.75" hidden="false" customHeight="false" outlineLevel="0" collapsed="false">
      <c r="I113" s="233"/>
    </row>
    <row r="114" customFormat="false" ht="12.75" hidden="false" customHeight="false" outlineLevel="0" collapsed="false">
      <c r="I114" s="233"/>
    </row>
    <row r="115" customFormat="false" ht="12.75" hidden="false" customHeight="false" outlineLevel="0" collapsed="false">
      <c r="I115" s="233"/>
    </row>
    <row r="116" customFormat="false" ht="12.75" hidden="false" customHeight="false" outlineLevel="0" collapsed="false">
      <c r="I116" s="233"/>
    </row>
    <row r="117" customFormat="false" ht="12.75" hidden="false" customHeight="false" outlineLevel="0" collapsed="false">
      <c r="I117" s="233"/>
    </row>
    <row r="118" customFormat="false" ht="12.75" hidden="false" customHeight="false" outlineLevel="0" collapsed="false">
      <c r="I118" s="233"/>
    </row>
    <row r="119" customFormat="false" ht="12.75" hidden="false" customHeight="false" outlineLevel="0" collapsed="false">
      <c r="I119" s="233"/>
    </row>
    <row r="120" customFormat="false" ht="12.75" hidden="false" customHeight="false" outlineLevel="0" collapsed="false">
      <c r="I120" s="233"/>
    </row>
    <row r="121" customFormat="false" ht="12.75" hidden="false" customHeight="false" outlineLevel="0" collapsed="false">
      <c r="I121" s="233"/>
    </row>
    <row r="122" customFormat="false" ht="12.75" hidden="false" customHeight="false" outlineLevel="0" collapsed="false">
      <c r="I122" s="233"/>
    </row>
    <row r="123" customFormat="false" ht="12.75" hidden="false" customHeight="false" outlineLevel="0" collapsed="false">
      <c r="I123" s="233"/>
    </row>
    <row r="124" customFormat="false" ht="12.75" hidden="false" customHeight="false" outlineLevel="0" collapsed="false">
      <c r="I124" s="233"/>
    </row>
    <row r="125" customFormat="false" ht="12.75" hidden="false" customHeight="false" outlineLevel="0" collapsed="false">
      <c r="I125" s="233"/>
    </row>
    <row r="126" customFormat="false" ht="12.75" hidden="false" customHeight="false" outlineLevel="0" collapsed="false">
      <c r="I126" s="233"/>
    </row>
    <row r="127" customFormat="false" ht="12.75" hidden="false" customHeight="false" outlineLevel="0" collapsed="false">
      <c r="I127" s="233"/>
    </row>
    <row r="128" customFormat="false" ht="12.75" hidden="false" customHeight="false" outlineLevel="0" collapsed="false">
      <c r="I128" s="233"/>
    </row>
    <row r="129" customFormat="false" ht="12.75" hidden="false" customHeight="false" outlineLevel="0" collapsed="false">
      <c r="I129" s="233"/>
    </row>
    <row r="130" customFormat="false" ht="12.75" hidden="false" customHeight="false" outlineLevel="0" collapsed="false">
      <c r="I130" s="233"/>
    </row>
    <row r="131" customFormat="false" ht="12.75" hidden="false" customHeight="false" outlineLevel="0" collapsed="false">
      <c r="I131" s="233"/>
    </row>
    <row r="132" customFormat="false" ht="12.75" hidden="false" customHeight="false" outlineLevel="0" collapsed="false">
      <c r="I132" s="233"/>
    </row>
    <row r="133" customFormat="false" ht="12.75" hidden="false" customHeight="false" outlineLevel="0" collapsed="false">
      <c r="I133" s="233"/>
    </row>
  </sheetData>
  <mergeCells count="5">
    <mergeCell ref="A1:K1"/>
    <mergeCell ref="A2:K2"/>
    <mergeCell ref="A3:K3"/>
    <mergeCell ref="A4:K4"/>
    <mergeCell ref="I7:K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Hedge/Fixed2_Avista_1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14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0" min="10" style="233" width="13.41"/>
    <col collapsed="false" customWidth="true" hidden="false" outlineLevel="0" max="11" min="11" style="233" width="13.7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285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7" t="s">
        <v>284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135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36069</v>
      </c>
      <c r="B9" s="173"/>
      <c r="C9" s="174" t="s">
        <v>32</v>
      </c>
      <c r="D9" s="175" t="n">
        <f aca="false">2.005</f>
        <v>2.005</v>
      </c>
      <c r="E9" s="173"/>
      <c r="F9" s="176" t="n">
        <f aca="false">-2500*31</f>
        <v>-77500</v>
      </c>
      <c r="G9" s="175" t="n">
        <f aca="false">1.82</f>
        <v>1.82</v>
      </c>
      <c r="H9" s="173"/>
      <c r="I9" s="177" t="n">
        <f aca="false">SUM(D9-G9)*F9</f>
        <v>-14337.5</v>
      </c>
      <c r="J9" s="199" t="n">
        <f aca="false">+I9</f>
        <v>-14337.5</v>
      </c>
      <c r="K9" s="199"/>
    </row>
    <row r="10" customFormat="false" ht="12.75" hidden="false" customHeight="false" outlineLevel="0" collapsed="false">
      <c r="A10" s="172" t="n">
        <v>36100</v>
      </c>
      <c r="B10" s="173"/>
      <c r="C10" s="174" t="s">
        <v>32</v>
      </c>
      <c r="D10" s="175" t="n">
        <f aca="false">2.005</f>
        <v>2.005</v>
      </c>
      <c r="E10" s="173"/>
      <c r="F10" s="176" t="n">
        <f aca="false">-2500*30</f>
        <v>-75000</v>
      </c>
      <c r="G10" s="175" t="n">
        <v>1.92</v>
      </c>
      <c r="H10" s="175"/>
      <c r="I10" s="177" t="n">
        <f aca="false">SUM(D10-G10)*F10</f>
        <v>-6375</v>
      </c>
      <c r="J10" s="199" t="n">
        <f aca="false">+I10</f>
        <v>-6375</v>
      </c>
      <c r="K10" s="199"/>
    </row>
    <row r="11" customFormat="false" ht="12.75" hidden="false" customHeight="false" outlineLevel="0" collapsed="false">
      <c r="A11" s="172" t="n">
        <v>36130</v>
      </c>
      <c r="B11" s="173"/>
      <c r="C11" s="174" t="s">
        <v>32</v>
      </c>
      <c r="D11" s="175" t="n">
        <f aca="false">2.005</f>
        <v>2.005</v>
      </c>
      <c r="E11" s="173"/>
      <c r="F11" s="176" t="n">
        <f aca="false">-2500*31</f>
        <v>-77500</v>
      </c>
      <c r="G11" s="175" t="n">
        <v>1.99</v>
      </c>
      <c r="H11" s="175"/>
      <c r="I11" s="177" t="n">
        <f aca="false">SUM(D11-G11)*F11</f>
        <v>-1162.49999999999</v>
      </c>
      <c r="J11" s="199" t="n">
        <f aca="false">+I11</f>
        <v>-1162.49999999999</v>
      </c>
      <c r="K11" s="199"/>
    </row>
    <row r="12" customFormat="false" ht="12.75" hidden="false" customHeight="false" outlineLevel="0" collapsed="false">
      <c r="A12" s="172" t="n">
        <v>36161</v>
      </c>
      <c r="B12" s="173"/>
      <c r="C12" s="174" t="s">
        <v>32</v>
      </c>
      <c r="D12" s="175" t="n">
        <f aca="false">2.005</f>
        <v>2.005</v>
      </c>
      <c r="E12" s="173"/>
      <c r="F12" s="176" t="n">
        <f aca="false">-2500*31</f>
        <v>-77500</v>
      </c>
      <c r="G12" s="175" t="n">
        <v>1.73</v>
      </c>
      <c r="H12" s="175"/>
      <c r="I12" s="177" t="n">
        <f aca="false">SUM(D12-G12)*F12</f>
        <v>-21312.5</v>
      </c>
      <c r="J12" s="199" t="n">
        <f aca="false">+I12</f>
        <v>-21312.5</v>
      </c>
      <c r="K12" s="199"/>
    </row>
    <row r="13" customFormat="false" ht="12.75" hidden="false" customHeight="false" outlineLevel="0" collapsed="false">
      <c r="A13" s="172" t="n">
        <v>36192</v>
      </c>
      <c r="B13" s="173"/>
      <c r="C13" s="174" t="s">
        <v>32</v>
      </c>
      <c r="D13" s="175" t="n">
        <f aca="false">2.005</f>
        <v>2.005</v>
      </c>
      <c r="E13" s="173"/>
      <c r="F13" s="176" t="n">
        <f aca="false">-2500*28</f>
        <v>-70000</v>
      </c>
      <c r="G13" s="175" t="n">
        <v>1.66</v>
      </c>
      <c r="H13" s="175"/>
      <c r="I13" s="177" t="n">
        <f aca="false">SUM(D13-G13)*F13</f>
        <v>-24150</v>
      </c>
      <c r="J13" s="199" t="n">
        <f aca="false">+I13</f>
        <v>-24150</v>
      </c>
      <c r="K13" s="199"/>
    </row>
    <row r="14" customFormat="false" ht="12.75" hidden="false" customHeight="false" outlineLevel="0" collapsed="false">
      <c r="A14" s="172" t="n">
        <v>36220</v>
      </c>
      <c r="B14" s="173"/>
      <c r="C14" s="174" t="s">
        <v>32</v>
      </c>
      <c r="D14" s="175" t="n">
        <f aca="false">2.005</f>
        <v>2.005</v>
      </c>
      <c r="E14" s="173"/>
      <c r="F14" s="176" t="n">
        <f aca="false">-2500*31</f>
        <v>-77500</v>
      </c>
      <c r="G14" s="175" t="n">
        <v>1.54</v>
      </c>
      <c r="H14" s="175"/>
      <c r="I14" s="177" t="n">
        <f aca="false">SUM(D14-G14)*F14</f>
        <v>-36037.5</v>
      </c>
      <c r="J14" s="199" t="n">
        <f aca="false">+I14</f>
        <v>-36037.5</v>
      </c>
      <c r="K14" s="199"/>
    </row>
    <row r="15" customFormat="false" ht="12.75" hidden="false" customHeight="false" outlineLevel="0" collapsed="false">
      <c r="A15" s="172" t="n">
        <v>36251</v>
      </c>
      <c r="B15" s="173"/>
      <c r="C15" s="174" t="s">
        <v>32</v>
      </c>
      <c r="D15" s="175" t="n">
        <f aca="false">2.005</f>
        <v>2.005</v>
      </c>
      <c r="E15" s="173"/>
      <c r="F15" s="176" t="n">
        <f aca="false">-2500*30</f>
        <v>-75000</v>
      </c>
      <c r="G15" s="175" t="n">
        <v>1.66</v>
      </c>
      <c r="H15" s="175"/>
      <c r="I15" s="177" t="n">
        <f aca="false">SUM(D15-G15)*F15</f>
        <v>-25875</v>
      </c>
      <c r="J15" s="199" t="n">
        <f aca="false">+I15</f>
        <v>-25875</v>
      </c>
      <c r="K15" s="199"/>
    </row>
    <row r="16" customFormat="false" ht="12.75" hidden="false" customHeight="false" outlineLevel="0" collapsed="false">
      <c r="A16" s="172" t="n">
        <v>36281</v>
      </c>
      <c r="B16" s="173"/>
      <c r="C16" s="174" t="s">
        <v>32</v>
      </c>
      <c r="D16" s="175" t="n">
        <f aca="false">2.005</f>
        <v>2.005</v>
      </c>
      <c r="E16" s="173"/>
      <c r="F16" s="176" t="n">
        <f aca="false">-2500*31</f>
        <v>-77500</v>
      </c>
      <c r="G16" s="175" t="n">
        <v>2.16</v>
      </c>
      <c r="H16" s="175"/>
      <c r="I16" s="177" t="n">
        <f aca="false">SUM(D16-G16)*F16</f>
        <v>12012.5</v>
      </c>
      <c r="J16" s="199" t="n">
        <f aca="false">+I16</f>
        <v>12012.5</v>
      </c>
      <c r="K16" s="199"/>
    </row>
    <row r="17" customFormat="false" ht="12.75" hidden="false" customHeight="false" outlineLevel="0" collapsed="false">
      <c r="A17" s="172" t="n">
        <v>36312</v>
      </c>
      <c r="B17" s="173"/>
      <c r="C17" s="174" t="s">
        <v>32</v>
      </c>
      <c r="D17" s="175" t="n">
        <f aca="false">2.005</f>
        <v>2.005</v>
      </c>
      <c r="E17" s="173"/>
      <c r="F17" s="176" t="n">
        <f aca="false">-2500*30</f>
        <v>-75000</v>
      </c>
      <c r="G17" s="175" t="n">
        <v>2.08</v>
      </c>
      <c r="H17" s="175"/>
      <c r="I17" s="177" t="n">
        <f aca="false">SUM(D17-G17)*F17</f>
        <v>5625.00000000001</v>
      </c>
      <c r="J17" s="199" t="n">
        <f aca="false">+I17</f>
        <v>5625.00000000001</v>
      </c>
      <c r="K17" s="199"/>
    </row>
    <row r="18" customFormat="false" ht="12.75" hidden="false" customHeight="false" outlineLevel="0" collapsed="false">
      <c r="A18" s="172" t="n">
        <v>36342</v>
      </c>
      <c r="B18" s="173"/>
      <c r="C18" s="174" t="s">
        <v>32</v>
      </c>
      <c r="D18" s="175" t="n">
        <f aca="false">2.005</f>
        <v>2.005</v>
      </c>
      <c r="E18" s="173"/>
      <c r="F18" s="176" t="n">
        <f aca="false">-2500*31</f>
        <v>-77500</v>
      </c>
      <c r="G18" s="175" t="n">
        <v>2.17</v>
      </c>
      <c r="H18" s="175"/>
      <c r="I18" s="177" t="n">
        <f aca="false">SUM(D18-G18)*F18</f>
        <v>12787.5</v>
      </c>
      <c r="J18" s="199" t="n">
        <f aca="false">+I18</f>
        <v>12787.5</v>
      </c>
      <c r="K18" s="199"/>
    </row>
    <row r="19" customFormat="false" ht="12.75" hidden="false" customHeight="false" outlineLevel="0" collapsed="false">
      <c r="A19" s="172" t="n">
        <v>36373</v>
      </c>
      <c r="B19" s="173"/>
      <c r="C19" s="174" t="s">
        <v>32</v>
      </c>
      <c r="D19" s="175" t="n">
        <f aca="false">2.005</f>
        <v>2.005</v>
      </c>
      <c r="E19" s="173"/>
      <c r="F19" s="176" t="n">
        <f aca="false">-2500*31</f>
        <v>-77500</v>
      </c>
      <c r="G19" s="175" t="n">
        <v>2.46</v>
      </c>
      <c r="H19" s="175"/>
      <c r="I19" s="177" t="n">
        <f aca="false">SUM(D19-G19)*F19</f>
        <v>35262.5</v>
      </c>
      <c r="J19" s="199" t="n">
        <f aca="false">+I19</f>
        <v>35262.5</v>
      </c>
      <c r="K19" s="199"/>
    </row>
    <row r="20" customFormat="false" ht="12.75" hidden="false" customHeight="false" outlineLevel="0" collapsed="false">
      <c r="A20" s="172" t="n">
        <v>36404</v>
      </c>
      <c r="B20" s="173"/>
      <c r="C20" s="174" t="s">
        <v>32</v>
      </c>
      <c r="D20" s="175" t="n">
        <f aca="false">2.005</f>
        <v>2.005</v>
      </c>
      <c r="E20" s="173"/>
      <c r="F20" s="176" t="n">
        <f aca="false">-2500*30</f>
        <v>-75000</v>
      </c>
      <c r="G20" s="175" t="n">
        <v>2.78</v>
      </c>
      <c r="H20" s="175"/>
      <c r="I20" s="177" t="n">
        <f aca="false">SUM(D20-G20)*F20</f>
        <v>58125</v>
      </c>
      <c r="J20" s="199" t="n">
        <f aca="false">+I20</f>
        <v>58125</v>
      </c>
      <c r="K20" s="199"/>
    </row>
    <row r="21" customFormat="false" ht="12.75" hidden="false" customHeight="false" outlineLevel="0" collapsed="false">
      <c r="A21" s="172" t="n">
        <v>36434</v>
      </c>
      <c r="B21" s="173"/>
      <c r="C21" s="174" t="s">
        <v>32</v>
      </c>
      <c r="D21" s="175" t="n">
        <f aca="false">2.005</f>
        <v>2.005</v>
      </c>
      <c r="E21" s="173"/>
      <c r="F21" s="176" t="n">
        <f aca="false">-2500*31</f>
        <v>-77500</v>
      </c>
      <c r="G21" s="175" t="n">
        <v>2.42</v>
      </c>
      <c r="H21" s="175"/>
      <c r="I21" s="177" t="n">
        <f aca="false">SUM(D21-G21)*F21</f>
        <v>32162.5</v>
      </c>
      <c r="J21" s="199" t="n">
        <f aca="false">+I21</f>
        <v>32162.5</v>
      </c>
      <c r="K21" s="199"/>
    </row>
    <row r="22" customFormat="false" ht="12.75" hidden="false" customHeight="false" outlineLevel="0" collapsed="false">
      <c r="A22" s="172" t="n">
        <v>36465</v>
      </c>
      <c r="B22" s="173"/>
      <c r="C22" s="174" t="s">
        <v>32</v>
      </c>
      <c r="D22" s="175" t="n">
        <f aca="false">2.005</f>
        <v>2.005</v>
      </c>
      <c r="E22" s="173"/>
      <c r="F22" s="176" t="n">
        <f aca="false">-2500*30</f>
        <v>-75000</v>
      </c>
      <c r="G22" s="175" t="n">
        <v>2.87</v>
      </c>
      <c r="H22" s="175"/>
      <c r="I22" s="177" t="n">
        <f aca="false">SUM(D22-G22)*F22</f>
        <v>64875</v>
      </c>
      <c r="J22" s="199" t="n">
        <f aca="false">+I22</f>
        <v>64875</v>
      </c>
      <c r="K22" s="199"/>
    </row>
    <row r="23" customFormat="false" ht="12.75" hidden="false" customHeight="false" outlineLevel="0" collapsed="false">
      <c r="A23" s="172" t="n">
        <v>36495</v>
      </c>
      <c r="B23" s="173"/>
      <c r="C23" s="174" t="s">
        <v>32</v>
      </c>
      <c r="D23" s="175" t="n">
        <f aca="false">2.005</f>
        <v>2.005</v>
      </c>
      <c r="E23" s="173"/>
      <c r="F23" s="176" t="n">
        <f aca="false">-2500*31</f>
        <v>-77500</v>
      </c>
      <c r="G23" s="175" t="n">
        <v>2.08</v>
      </c>
      <c r="H23" s="175"/>
      <c r="I23" s="177" t="n">
        <f aca="false">SUM(D23-G23)*F23</f>
        <v>5812.50000000001</v>
      </c>
      <c r="J23" s="199" t="n">
        <f aca="false">+I23</f>
        <v>5812.50000000001</v>
      </c>
      <c r="K23" s="199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80" t="n">
        <f aca="false">SUM(F9:F23)</f>
        <v>-1142500</v>
      </c>
      <c r="G24" s="173"/>
      <c r="H24" s="173"/>
      <c r="I24" s="189" t="n">
        <f aca="false">SUM(I9:I23)</f>
        <v>97412.5000000001</v>
      </c>
      <c r="J24" s="189" t="n">
        <f aca="false">SUM(J9:J23)</f>
        <v>97412.5000000001</v>
      </c>
      <c r="K24" s="189" t="n">
        <f aca="false">SUM(K9:K23)</f>
        <v>0</v>
      </c>
      <c r="L24" s="217" t="n">
        <f aca="false">+J24+K24-I24</f>
        <v>0</v>
      </c>
    </row>
    <row r="25" customFormat="false" ht="12.75" hidden="false" customHeight="false" outlineLevel="0" collapsed="false">
      <c r="A25" s="173"/>
      <c r="B25" s="173"/>
      <c r="C25" s="173"/>
      <c r="D25" s="173"/>
      <c r="E25" s="173"/>
      <c r="F25" s="182"/>
      <c r="G25" s="173"/>
      <c r="H25" s="173"/>
      <c r="I25" s="296"/>
      <c r="J25" s="297"/>
      <c r="K25" s="297"/>
      <c r="L25" s="217"/>
    </row>
    <row r="26" customFormat="false" ht="12.75" hidden="false" customHeight="false" outlineLevel="0" collapsed="false">
      <c r="A26" s="173"/>
      <c r="B26" s="173"/>
      <c r="C26" s="173"/>
      <c r="D26" s="173"/>
      <c r="E26" s="173"/>
      <c r="F26" s="182"/>
      <c r="G26" s="185" t="s">
        <v>265</v>
      </c>
      <c r="H26" s="173"/>
      <c r="I26" s="296"/>
      <c r="J26" s="297"/>
      <c r="K26" s="297"/>
      <c r="L26" s="217"/>
    </row>
    <row r="27" customFormat="false" ht="12.75" hidden="false" customHeight="false" outlineLevel="0" collapsed="false">
      <c r="A27" s="173"/>
      <c r="B27" s="173"/>
      <c r="C27" s="173"/>
      <c r="D27" s="173"/>
      <c r="E27" s="173"/>
      <c r="F27" s="173"/>
      <c r="G27" s="173"/>
      <c r="H27" s="173"/>
      <c r="I27" s="173"/>
      <c r="J27" s="199"/>
      <c r="K27" s="199"/>
    </row>
    <row r="28" customFormat="false" ht="12.75" hidden="false" customHeight="false" outlineLevel="0" collapsed="false">
      <c r="A28" s="172" t="n">
        <v>36069</v>
      </c>
      <c r="B28" s="173"/>
      <c r="C28" s="174" t="s">
        <v>137</v>
      </c>
      <c r="D28" s="175" t="n">
        <f aca="false">2.005</f>
        <v>2.005</v>
      </c>
      <c r="E28" s="173"/>
      <c r="F28" s="176" t="n">
        <f aca="false">2500*31</f>
        <v>77500</v>
      </c>
      <c r="G28" s="175" t="n">
        <v>1.78</v>
      </c>
      <c r="H28" s="175"/>
      <c r="I28" s="177" t="n">
        <f aca="false">SUM(D28-G28)*F28</f>
        <v>17437.5</v>
      </c>
      <c r="J28" s="199" t="n">
        <f aca="false">+I28</f>
        <v>17437.5</v>
      </c>
      <c r="K28" s="199"/>
    </row>
    <row r="29" customFormat="false" ht="12.75" hidden="false" customHeight="false" outlineLevel="0" collapsed="false">
      <c r="A29" s="172" t="n">
        <v>36100</v>
      </c>
      <c r="B29" s="173"/>
      <c r="C29" s="174" t="s">
        <v>137</v>
      </c>
      <c r="D29" s="175" t="n">
        <f aca="false">2.005</f>
        <v>2.005</v>
      </c>
      <c r="E29" s="173"/>
      <c r="F29" s="176" t="n">
        <f aca="false">2500*30</f>
        <v>75000</v>
      </c>
      <c r="G29" s="175" t="n">
        <v>1.99</v>
      </c>
      <c r="H29" s="175"/>
      <c r="I29" s="177" t="n">
        <f aca="false">SUM(D29-G29)*F29</f>
        <v>1124.99999999999</v>
      </c>
      <c r="J29" s="199" t="n">
        <f aca="false">+I29</f>
        <v>1124.99999999999</v>
      </c>
      <c r="K29" s="199"/>
    </row>
    <row r="30" customFormat="false" ht="12.75" hidden="false" customHeight="false" outlineLevel="0" collapsed="false">
      <c r="A30" s="172" t="n">
        <v>36130</v>
      </c>
      <c r="B30" s="173"/>
      <c r="C30" s="174" t="s">
        <v>137</v>
      </c>
      <c r="D30" s="175" t="n">
        <f aca="false">2.005</f>
        <v>2.005</v>
      </c>
      <c r="E30" s="173"/>
      <c r="F30" s="176" t="n">
        <f aca="false">2500*31</f>
        <v>77500</v>
      </c>
      <c r="G30" s="175" t="n">
        <v>1.74</v>
      </c>
      <c r="H30" s="175"/>
      <c r="I30" s="177" t="n">
        <f aca="false">SUM(D30-G30)*F30</f>
        <v>20537.5</v>
      </c>
      <c r="J30" s="199" t="n">
        <f aca="false">+I30</f>
        <v>20537.5</v>
      </c>
      <c r="K30" s="199"/>
    </row>
    <row r="31" customFormat="false" ht="12.75" hidden="false" customHeight="false" outlineLevel="0" collapsed="false">
      <c r="A31" s="172" t="n">
        <v>36161</v>
      </c>
      <c r="B31" s="173"/>
      <c r="C31" s="174" t="s">
        <v>137</v>
      </c>
      <c r="D31" s="175" t="n">
        <f aca="false">2.005</f>
        <v>2.005</v>
      </c>
      <c r="E31" s="173"/>
      <c r="F31" s="176" t="n">
        <f aca="false">2500*31</f>
        <v>77500</v>
      </c>
      <c r="G31" s="175" t="n">
        <v>1.73</v>
      </c>
      <c r="H31" s="175"/>
      <c r="I31" s="177" t="n">
        <f aca="false">SUM(D31-G31)*F31</f>
        <v>21312.5</v>
      </c>
      <c r="J31" s="199" t="n">
        <f aca="false">+I31</f>
        <v>21312.5</v>
      </c>
      <c r="K31" s="199"/>
    </row>
    <row r="32" customFormat="false" ht="12.75" hidden="false" customHeight="false" outlineLevel="0" collapsed="false">
      <c r="A32" s="172" t="n">
        <v>36192</v>
      </c>
      <c r="B32" s="173"/>
      <c r="C32" s="174" t="s">
        <v>137</v>
      </c>
      <c r="D32" s="175" t="n">
        <f aca="false">2.005</f>
        <v>2.005</v>
      </c>
      <c r="E32" s="173"/>
      <c r="F32" s="176" t="n">
        <f aca="false">2500*28</f>
        <v>70000</v>
      </c>
      <c r="G32" s="175" t="n">
        <v>1.63</v>
      </c>
      <c r="H32" s="175"/>
      <c r="I32" s="177" t="n">
        <f aca="false">SUM(D32-G32)*F32</f>
        <v>26250</v>
      </c>
      <c r="J32" s="199" t="n">
        <f aca="false">+I32</f>
        <v>26250</v>
      </c>
      <c r="K32" s="199"/>
    </row>
    <row r="33" customFormat="false" ht="12.75" hidden="false" customHeight="false" outlineLevel="0" collapsed="false">
      <c r="A33" s="172" t="n">
        <v>36220</v>
      </c>
      <c r="B33" s="173"/>
      <c r="C33" s="174" t="s">
        <v>137</v>
      </c>
      <c r="D33" s="175" t="n">
        <f aca="false">2.005</f>
        <v>2.005</v>
      </c>
      <c r="E33" s="173"/>
      <c r="F33" s="176" t="n">
        <f aca="false">2500*31</f>
        <v>77500</v>
      </c>
      <c r="G33" s="175" t="n">
        <v>1.59</v>
      </c>
      <c r="H33" s="175"/>
      <c r="I33" s="177" t="n">
        <f aca="false">SUM(D33-G33)*F33</f>
        <v>32162.5</v>
      </c>
      <c r="J33" s="199" t="n">
        <f aca="false">+I33</f>
        <v>32162.5</v>
      </c>
      <c r="K33" s="199"/>
    </row>
    <row r="34" customFormat="false" ht="12.75" hidden="false" customHeight="false" outlineLevel="0" collapsed="false">
      <c r="A34" s="172" t="n">
        <v>36251</v>
      </c>
      <c r="B34" s="173"/>
      <c r="C34" s="174" t="s">
        <v>137</v>
      </c>
      <c r="D34" s="175" t="n">
        <f aca="false">2.005</f>
        <v>2.005</v>
      </c>
      <c r="E34" s="173"/>
      <c r="F34" s="176" t="n">
        <f aca="false">2500*30</f>
        <v>75000</v>
      </c>
      <c r="G34" s="175" t="n">
        <v>1.94</v>
      </c>
      <c r="H34" s="175"/>
      <c r="I34" s="177" t="n">
        <f aca="false">SUM(D34-G34)*F34</f>
        <v>4875</v>
      </c>
      <c r="J34" s="199" t="n">
        <f aca="false">+I34</f>
        <v>4875</v>
      </c>
      <c r="K34" s="199"/>
    </row>
    <row r="35" customFormat="false" ht="12.75" hidden="false" customHeight="false" outlineLevel="0" collapsed="false">
      <c r="A35" s="172" t="n">
        <v>36281</v>
      </c>
      <c r="B35" s="173"/>
      <c r="C35" s="174" t="s">
        <v>137</v>
      </c>
      <c r="D35" s="175" t="n">
        <f aca="false">2.005</f>
        <v>2.005</v>
      </c>
      <c r="E35" s="173"/>
      <c r="F35" s="176" t="n">
        <f aca="false">2500*31</f>
        <v>77500</v>
      </c>
      <c r="G35" s="175" t="n">
        <v>2.06</v>
      </c>
      <c r="H35" s="175"/>
      <c r="I35" s="177" t="n">
        <f aca="false">SUM(D35-G35)*F35</f>
        <v>-4262.50000000001</v>
      </c>
      <c r="J35" s="199" t="n">
        <f aca="false">+I35</f>
        <v>-4262.50000000001</v>
      </c>
      <c r="K35" s="199"/>
    </row>
    <row r="36" customFormat="false" ht="12.75" hidden="false" customHeight="false" outlineLevel="0" collapsed="false">
      <c r="A36" s="172" t="n">
        <v>36312</v>
      </c>
      <c r="B36" s="173"/>
      <c r="C36" s="174" t="s">
        <v>137</v>
      </c>
      <c r="D36" s="175" t="n">
        <f aca="false">2.005</f>
        <v>2.005</v>
      </c>
      <c r="E36" s="173"/>
      <c r="F36" s="176" t="n">
        <f aca="false">2500*30</f>
        <v>75000</v>
      </c>
      <c r="G36" s="175" t="n">
        <v>2.07</v>
      </c>
      <c r="H36" s="175"/>
      <c r="I36" s="177" t="n">
        <f aca="false">SUM(D36-G36)*F36</f>
        <v>-4875</v>
      </c>
      <c r="J36" s="199" t="n">
        <f aca="false">+I36</f>
        <v>-4875</v>
      </c>
      <c r="K36" s="199"/>
    </row>
    <row r="37" customFormat="false" ht="12.75" hidden="false" customHeight="false" outlineLevel="0" collapsed="false">
      <c r="A37" s="172" t="n">
        <v>36342</v>
      </c>
      <c r="B37" s="173"/>
      <c r="C37" s="174" t="s">
        <v>137</v>
      </c>
      <c r="D37" s="175" t="n">
        <f aca="false">2.005</f>
        <v>2.005</v>
      </c>
      <c r="E37" s="173"/>
      <c r="F37" s="176" t="n">
        <f aca="false">2500*31</f>
        <v>77500</v>
      </c>
      <c r="G37" s="175" t="n">
        <v>2.11</v>
      </c>
      <c r="H37" s="175"/>
      <c r="I37" s="177" t="n">
        <f aca="false">SUM(D37-G37)*F37</f>
        <v>-8137.5</v>
      </c>
      <c r="J37" s="199" t="n">
        <f aca="false">+I37</f>
        <v>-8137.5</v>
      </c>
      <c r="K37" s="199"/>
    </row>
    <row r="38" customFormat="false" ht="12.75" hidden="false" customHeight="false" outlineLevel="0" collapsed="false">
      <c r="A38" s="172" t="n">
        <v>36373</v>
      </c>
      <c r="B38" s="173"/>
      <c r="C38" s="174" t="s">
        <v>137</v>
      </c>
      <c r="D38" s="175" t="n">
        <f aca="false">2.005</f>
        <v>2.005</v>
      </c>
      <c r="E38" s="173"/>
      <c r="F38" s="176" t="n">
        <f aca="false">2500*31</f>
        <v>77500</v>
      </c>
      <c r="G38" s="175" t="n">
        <v>2.51</v>
      </c>
      <c r="H38" s="175"/>
      <c r="I38" s="177" t="n">
        <f aca="false">SUM(D38-G38)*F38</f>
        <v>-39137.5</v>
      </c>
      <c r="J38" s="199" t="n">
        <f aca="false">+I38</f>
        <v>-39137.5</v>
      </c>
      <c r="K38" s="199"/>
    </row>
    <row r="39" customFormat="false" ht="12.75" hidden="false" customHeight="false" outlineLevel="0" collapsed="false">
      <c r="A39" s="172" t="n">
        <v>36404</v>
      </c>
      <c r="B39" s="173"/>
      <c r="C39" s="174" t="s">
        <v>137</v>
      </c>
      <c r="D39" s="175" t="n">
        <f aca="false">2.005</f>
        <v>2.005</v>
      </c>
      <c r="E39" s="173"/>
      <c r="F39" s="176" t="n">
        <f aca="false">2500*30</f>
        <v>75000</v>
      </c>
      <c r="G39" s="175" t="n">
        <v>2.36</v>
      </c>
      <c r="H39" s="175"/>
      <c r="I39" s="177" t="n">
        <f aca="false">SUM(D39-G39)*F39</f>
        <v>-26625</v>
      </c>
      <c r="J39" s="199" t="n">
        <f aca="false">+I39</f>
        <v>-26625</v>
      </c>
      <c r="K39" s="199"/>
    </row>
    <row r="40" customFormat="false" ht="12.75" hidden="false" customHeight="false" outlineLevel="0" collapsed="false">
      <c r="A40" s="172" t="n">
        <v>36434</v>
      </c>
      <c r="B40" s="173"/>
      <c r="C40" s="174" t="s">
        <v>137</v>
      </c>
      <c r="D40" s="175" t="n">
        <f aca="false">2.005</f>
        <v>2.005</v>
      </c>
      <c r="E40" s="173"/>
      <c r="F40" s="176" t="n">
        <f aca="false">2500*31</f>
        <v>77500</v>
      </c>
      <c r="G40" s="175" t="n">
        <v>2.62</v>
      </c>
      <c r="H40" s="175"/>
      <c r="I40" s="177" t="n">
        <f aca="false">SUM(D40-G40)*F40</f>
        <v>-47662.5</v>
      </c>
      <c r="J40" s="199" t="n">
        <f aca="false">+I40</f>
        <v>-47662.5</v>
      </c>
      <c r="K40" s="199"/>
    </row>
    <row r="41" customFormat="false" ht="12.75" hidden="false" customHeight="false" outlineLevel="0" collapsed="false">
      <c r="A41" s="172" t="n">
        <v>36465</v>
      </c>
      <c r="B41" s="173"/>
      <c r="C41" s="174" t="s">
        <v>137</v>
      </c>
      <c r="D41" s="175" t="n">
        <f aca="false">2.005</f>
        <v>2.005</v>
      </c>
      <c r="E41" s="173"/>
      <c r="F41" s="176" t="n">
        <f aca="false">2500*30</f>
        <v>75000</v>
      </c>
      <c r="G41" s="175" t="n">
        <v>2.17</v>
      </c>
      <c r="H41" s="175"/>
      <c r="I41" s="177" t="n">
        <f aca="false">SUM(D41-G41)*F41</f>
        <v>-12375</v>
      </c>
      <c r="J41" s="199" t="n">
        <f aca="false">+I41</f>
        <v>-12375</v>
      </c>
      <c r="K41" s="199"/>
    </row>
    <row r="42" customFormat="false" ht="12.75" hidden="false" customHeight="false" outlineLevel="0" collapsed="false">
      <c r="A42" s="172" t="n">
        <v>36495</v>
      </c>
      <c r="B42" s="173"/>
      <c r="C42" s="174" t="s">
        <v>137</v>
      </c>
      <c r="D42" s="175" t="n">
        <f aca="false">2.005</f>
        <v>2.005</v>
      </c>
      <c r="E42" s="173"/>
      <c r="F42" s="176" t="n">
        <f aca="false">2500*31</f>
        <v>77500</v>
      </c>
      <c r="G42" s="175" t="n">
        <v>2.24</v>
      </c>
      <c r="H42" s="175"/>
      <c r="I42" s="177" t="n">
        <f aca="false">SUM(D42-G42)*F42</f>
        <v>-18212.5</v>
      </c>
      <c r="J42" s="199" t="n">
        <f aca="false">+I42</f>
        <v>-18212.5</v>
      </c>
      <c r="K42" s="199"/>
    </row>
    <row r="43" customFormat="false" ht="12.75" hidden="false" customHeight="false" outlineLevel="0" collapsed="false">
      <c r="A43" s="173"/>
      <c r="B43" s="173"/>
      <c r="C43" s="173"/>
      <c r="D43" s="173"/>
      <c r="E43" s="173"/>
      <c r="F43" s="180" t="n">
        <f aca="false">SUM(F28:F42)</f>
        <v>1142500</v>
      </c>
      <c r="G43" s="173"/>
      <c r="H43" s="173"/>
      <c r="I43" s="189" t="n">
        <f aca="false">SUM(I28:I42)</f>
        <v>-37587.5000000001</v>
      </c>
      <c r="J43" s="189" t="n">
        <f aca="false">SUM(J28:J42)</f>
        <v>-37587.5000000001</v>
      </c>
      <c r="K43" s="189" t="n">
        <f aca="false">SUM(K28:K42)</f>
        <v>0</v>
      </c>
      <c r="L43" s="217" t="n">
        <f aca="false">+J43+K43-I43</f>
        <v>0</v>
      </c>
    </row>
    <row r="44" customFormat="false" ht="12.75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99"/>
      <c r="K44" s="199"/>
    </row>
    <row r="45" customFormat="false" ht="13.5" hidden="false" customHeight="false" outlineLevel="0" collapsed="false">
      <c r="A45" s="173"/>
      <c r="B45" s="173"/>
      <c r="C45" s="173"/>
      <c r="D45" s="173"/>
      <c r="E45" s="173"/>
      <c r="F45" s="190" t="n">
        <f aca="false">+F43+F24</f>
        <v>0</v>
      </c>
      <c r="G45" s="173"/>
      <c r="H45" s="173"/>
      <c r="I45" s="191" t="n">
        <f aca="false">+I43+I24</f>
        <v>59825</v>
      </c>
      <c r="J45" s="191" t="n">
        <f aca="false">+J43+J24</f>
        <v>59825</v>
      </c>
      <c r="K45" s="191" t="n">
        <f aca="false">+K43+K24</f>
        <v>0</v>
      </c>
      <c r="L45" s="217" t="n">
        <f aca="false">+J45+K45-I45</f>
        <v>0</v>
      </c>
    </row>
    <row r="46" customFormat="false" ht="13.5" hidden="false" customHeight="false" outlineLevel="0" collapsed="false">
      <c r="A46" s="192"/>
      <c r="B46" s="192"/>
      <c r="C46" s="192"/>
      <c r="D46" s="192"/>
      <c r="E46" s="192"/>
      <c r="F46" s="192"/>
      <c r="G46" s="192"/>
      <c r="H46" s="192"/>
      <c r="I46" s="192"/>
      <c r="J46" s="291"/>
      <c r="K46" s="291"/>
    </row>
    <row r="48" customFormat="false" ht="12.75" hidden="false" customHeight="false" outlineLevel="0" collapsed="false">
      <c r="A48" s="5" t="s">
        <v>138</v>
      </c>
      <c r="J48" s="0"/>
      <c r="K48" s="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Hedge/Fixed2_Avista_2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I33" colorId="64" zoomScale="100" zoomScaleNormal="100" zoomScalePageLayoutView="100" workbookViewId="0">
      <pane xSplit="9165" ySplit="0" topLeftCell="I9" activePane="topLeft" state="split"/>
      <selection pane="topLeft" activeCell="A4" activeCellId="0" sqref="A4:IV4"/>
      <selection pane="topRigh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1" min="10" style="0" width="13.41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286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7" t="s">
        <v>284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135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36069</v>
      </c>
      <c r="B9" s="173"/>
      <c r="C9" s="174" t="s">
        <v>37</v>
      </c>
      <c r="D9" s="175" t="n">
        <f aca="false">2.1</f>
        <v>2.1</v>
      </c>
      <c r="E9" s="173"/>
      <c r="F9" s="176" t="n">
        <f aca="false">-2500*31</f>
        <v>-77500</v>
      </c>
      <c r="G9" s="175" t="n">
        <f aca="false">1.82</f>
        <v>1.82</v>
      </c>
      <c r="H9" s="173"/>
      <c r="I9" s="177" t="n">
        <f aca="false">SUM(D9-G9)*F9</f>
        <v>-21700</v>
      </c>
      <c r="J9" s="178" t="n">
        <f aca="false">+I9</f>
        <v>-21700</v>
      </c>
      <c r="K9" s="178"/>
    </row>
    <row r="10" customFormat="false" ht="12.75" hidden="false" customHeight="false" outlineLevel="0" collapsed="false">
      <c r="A10" s="172" t="n">
        <v>36100</v>
      </c>
      <c r="B10" s="173"/>
      <c r="C10" s="174" t="s">
        <v>37</v>
      </c>
      <c r="D10" s="175" t="n">
        <f aca="false">2.1</f>
        <v>2.1</v>
      </c>
      <c r="E10" s="173"/>
      <c r="F10" s="176" t="n">
        <f aca="false">-2500*30</f>
        <v>-75000</v>
      </c>
      <c r="G10" s="175" t="n">
        <v>1.92</v>
      </c>
      <c r="H10" s="175"/>
      <c r="I10" s="177" t="n">
        <f aca="false">SUM(D10-G10)*F10</f>
        <v>-13500</v>
      </c>
      <c r="J10" s="178" t="n">
        <f aca="false">+I10</f>
        <v>-13500</v>
      </c>
      <c r="K10" s="178"/>
    </row>
    <row r="11" customFormat="false" ht="12.75" hidden="false" customHeight="false" outlineLevel="0" collapsed="false">
      <c r="A11" s="172" t="n">
        <v>36130</v>
      </c>
      <c r="B11" s="173"/>
      <c r="C11" s="174" t="s">
        <v>37</v>
      </c>
      <c r="D11" s="175" t="n">
        <f aca="false">2.1</f>
        <v>2.1</v>
      </c>
      <c r="E11" s="173"/>
      <c r="F11" s="176" t="n">
        <f aca="false">-2500*31</f>
        <v>-77500</v>
      </c>
      <c r="G11" s="175" t="n">
        <v>1.99</v>
      </c>
      <c r="H11" s="175"/>
      <c r="I11" s="177" t="n">
        <f aca="false">SUM(D11-G11)*F11</f>
        <v>-8525.00000000001</v>
      </c>
      <c r="J11" s="178" t="n">
        <f aca="false">+I11</f>
        <v>-8525.00000000001</v>
      </c>
      <c r="K11" s="178"/>
    </row>
    <row r="12" customFormat="false" ht="12.75" hidden="false" customHeight="false" outlineLevel="0" collapsed="false">
      <c r="A12" s="172" t="n">
        <v>36161</v>
      </c>
      <c r="B12" s="173"/>
      <c r="C12" s="174" t="s">
        <v>37</v>
      </c>
      <c r="D12" s="175" t="n">
        <f aca="false">2.1</f>
        <v>2.1</v>
      </c>
      <c r="E12" s="173"/>
      <c r="F12" s="176" t="n">
        <f aca="false">-2500*31</f>
        <v>-77500</v>
      </c>
      <c r="G12" s="175" t="n">
        <v>1.73</v>
      </c>
      <c r="H12" s="175"/>
      <c r="I12" s="177" t="n">
        <f aca="false">SUM(D12-G12)*F12</f>
        <v>-28675</v>
      </c>
      <c r="J12" s="178" t="n">
        <f aca="false">+I12</f>
        <v>-28675</v>
      </c>
      <c r="K12" s="178"/>
    </row>
    <row r="13" customFormat="false" ht="12.75" hidden="false" customHeight="false" outlineLevel="0" collapsed="false">
      <c r="A13" s="172" t="n">
        <v>36192</v>
      </c>
      <c r="B13" s="173"/>
      <c r="C13" s="174" t="s">
        <v>37</v>
      </c>
      <c r="D13" s="175" t="n">
        <f aca="false">2.1</f>
        <v>2.1</v>
      </c>
      <c r="E13" s="173"/>
      <c r="F13" s="176" t="n">
        <f aca="false">-2500*28</f>
        <v>-70000</v>
      </c>
      <c r="G13" s="175" t="n">
        <v>1.66</v>
      </c>
      <c r="H13" s="175"/>
      <c r="I13" s="177" t="n">
        <f aca="false">SUM(D13-G13)*F13</f>
        <v>-30800</v>
      </c>
      <c r="J13" s="178" t="n">
        <f aca="false">+I13</f>
        <v>-30800</v>
      </c>
      <c r="K13" s="178"/>
    </row>
    <row r="14" customFormat="false" ht="12.75" hidden="false" customHeight="false" outlineLevel="0" collapsed="false">
      <c r="A14" s="172" t="n">
        <v>36220</v>
      </c>
      <c r="B14" s="173"/>
      <c r="C14" s="174" t="s">
        <v>37</v>
      </c>
      <c r="D14" s="175" t="n">
        <f aca="false">2.1</f>
        <v>2.1</v>
      </c>
      <c r="E14" s="173"/>
      <c r="F14" s="176" t="n">
        <f aca="false">-2500*31</f>
        <v>-77500</v>
      </c>
      <c r="G14" s="175" t="n">
        <v>1.54</v>
      </c>
      <c r="H14" s="175"/>
      <c r="I14" s="177" t="n">
        <f aca="false">SUM(D14-G14)*F14</f>
        <v>-43400</v>
      </c>
      <c r="J14" s="178" t="n">
        <f aca="false">+I14</f>
        <v>-43400</v>
      </c>
      <c r="K14" s="178"/>
    </row>
    <row r="15" customFormat="false" ht="12.75" hidden="false" customHeight="false" outlineLevel="0" collapsed="false">
      <c r="A15" s="172" t="n">
        <v>36251</v>
      </c>
      <c r="B15" s="173"/>
      <c r="C15" s="174" t="s">
        <v>37</v>
      </c>
      <c r="D15" s="175" t="n">
        <f aca="false">2.1</f>
        <v>2.1</v>
      </c>
      <c r="E15" s="173"/>
      <c r="F15" s="176" t="n">
        <f aca="false">-2500*30</f>
        <v>-75000</v>
      </c>
      <c r="G15" s="175" t="n">
        <v>1.66</v>
      </c>
      <c r="H15" s="175"/>
      <c r="I15" s="177" t="n">
        <f aca="false">SUM(D15-G15)*F15</f>
        <v>-33000</v>
      </c>
      <c r="J15" s="178" t="n">
        <f aca="false">+I15</f>
        <v>-33000</v>
      </c>
      <c r="K15" s="178"/>
    </row>
    <row r="16" customFormat="false" ht="12.75" hidden="false" customHeight="false" outlineLevel="0" collapsed="false">
      <c r="A16" s="172" t="n">
        <v>36281</v>
      </c>
      <c r="B16" s="173"/>
      <c r="C16" s="174" t="s">
        <v>37</v>
      </c>
      <c r="D16" s="175" t="n">
        <f aca="false">2.1</f>
        <v>2.1</v>
      </c>
      <c r="E16" s="173"/>
      <c r="F16" s="176" t="n">
        <f aca="false">-2500*31</f>
        <v>-77500</v>
      </c>
      <c r="G16" s="175" t="n">
        <v>2.16</v>
      </c>
      <c r="H16" s="175"/>
      <c r="I16" s="177" t="n">
        <f aca="false">SUM(D16-G16)*F16</f>
        <v>4650.00000000001</v>
      </c>
      <c r="J16" s="178" t="n">
        <f aca="false">+I16</f>
        <v>4650.00000000001</v>
      </c>
      <c r="K16" s="178"/>
    </row>
    <row r="17" customFormat="false" ht="12.75" hidden="false" customHeight="false" outlineLevel="0" collapsed="false">
      <c r="A17" s="172" t="n">
        <v>36312</v>
      </c>
      <c r="B17" s="173"/>
      <c r="C17" s="174" t="s">
        <v>37</v>
      </c>
      <c r="D17" s="175" t="n">
        <f aca="false">2.1</f>
        <v>2.1</v>
      </c>
      <c r="E17" s="173"/>
      <c r="F17" s="176" t="n">
        <f aca="false">-2500*30</f>
        <v>-75000</v>
      </c>
      <c r="G17" s="175" t="n">
        <v>2.08</v>
      </c>
      <c r="H17" s="175"/>
      <c r="I17" s="177" t="n">
        <f aca="false">SUM(D17-G17)*F17</f>
        <v>-1500</v>
      </c>
      <c r="J17" s="178" t="n">
        <f aca="false">+I17</f>
        <v>-1500</v>
      </c>
      <c r="K17" s="178"/>
    </row>
    <row r="18" customFormat="false" ht="12.75" hidden="false" customHeight="false" outlineLevel="0" collapsed="false">
      <c r="A18" s="172" t="n">
        <v>36342</v>
      </c>
      <c r="B18" s="173"/>
      <c r="C18" s="174" t="s">
        <v>37</v>
      </c>
      <c r="D18" s="175" t="n">
        <f aca="false">2.1</f>
        <v>2.1</v>
      </c>
      <c r="E18" s="173"/>
      <c r="F18" s="176" t="n">
        <f aca="false">-2500*31</f>
        <v>-77500</v>
      </c>
      <c r="G18" s="175" t="n">
        <v>2.17</v>
      </c>
      <c r="H18" s="175"/>
      <c r="I18" s="177" t="n">
        <f aca="false">SUM(D18-G18)*F18</f>
        <v>5424.99999999999</v>
      </c>
      <c r="J18" s="178" t="n">
        <f aca="false">+I18</f>
        <v>5424.99999999999</v>
      </c>
      <c r="K18" s="178"/>
    </row>
    <row r="19" customFormat="false" ht="12.75" hidden="false" customHeight="false" outlineLevel="0" collapsed="false">
      <c r="A19" s="172" t="n">
        <v>36373</v>
      </c>
      <c r="B19" s="173"/>
      <c r="C19" s="174" t="s">
        <v>37</v>
      </c>
      <c r="D19" s="175" t="n">
        <f aca="false">2.1</f>
        <v>2.1</v>
      </c>
      <c r="E19" s="173"/>
      <c r="F19" s="176" t="n">
        <f aca="false">-2500*31</f>
        <v>-77500</v>
      </c>
      <c r="G19" s="175" t="n">
        <v>2.46</v>
      </c>
      <c r="H19" s="175"/>
      <c r="I19" s="177" t="n">
        <f aca="false">SUM(D19-G19)*F19</f>
        <v>27900</v>
      </c>
      <c r="J19" s="178" t="n">
        <f aca="false">+I19</f>
        <v>27900</v>
      </c>
      <c r="K19" s="178"/>
    </row>
    <row r="20" customFormat="false" ht="12.75" hidden="false" customHeight="false" outlineLevel="0" collapsed="false">
      <c r="A20" s="172" t="n">
        <v>36404</v>
      </c>
      <c r="B20" s="173"/>
      <c r="C20" s="174" t="s">
        <v>37</v>
      </c>
      <c r="D20" s="175" t="n">
        <f aca="false">2.1</f>
        <v>2.1</v>
      </c>
      <c r="E20" s="173"/>
      <c r="F20" s="176" t="n">
        <f aca="false">-2500*30</f>
        <v>-75000</v>
      </c>
      <c r="G20" s="175" t="n">
        <v>2.78</v>
      </c>
      <c r="H20" s="175"/>
      <c r="I20" s="177" t="n">
        <f aca="false">SUM(D20-G20)*F20</f>
        <v>51000</v>
      </c>
      <c r="J20" s="178" t="n">
        <f aca="false">+I20</f>
        <v>51000</v>
      </c>
      <c r="K20" s="178"/>
    </row>
    <row r="21" customFormat="false" ht="12.75" hidden="false" customHeight="false" outlineLevel="0" collapsed="false">
      <c r="A21" s="172" t="n">
        <v>36434</v>
      </c>
      <c r="B21" s="173"/>
      <c r="C21" s="174" t="s">
        <v>37</v>
      </c>
      <c r="D21" s="175" t="n">
        <f aca="false">2.1</f>
        <v>2.1</v>
      </c>
      <c r="E21" s="173"/>
      <c r="F21" s="176" t="n">
        <f aca="false">-2500*31</f>
        <v>-77500</v>
      </c>
      <c r="G21" s="175" t="n">
        <v>2.42</v>
      </c>
      <c r="H21" s="175"/>
      <c r="I21" s="177" t="n">
        <f aca="false">SUM(D21-G21)*F21</f>
        <v>24800</v>
      </c>
      <c r="J21" s="178" t="n">
        <f aca="false">+I21</f>
        <v>24800</v>
      </c>
      <c r="K21" s="178"/>
    </row>
    <row r="22" customFormat="false" ht="12.75" hidden="false" customHeight="false" outlineLevel="0" collapsed="false">
      <c r="A22" s="172" t="n">
        <v>36465</v>
      </c>
      <c r="B22" s="173"/>
      <c r="C22" s="174" t="s">
        <v>37</v>
      </c>
      <c r="D22" s="175" t="n">
        <f aca="false">2.1</f>
        <v>2.1</v>
      </c>
      <c r="E22" s="173"/>
      <c r="F22" s="176" t="n">
        <f aca="false">-2500*30</f>
        <v>-75000</v>
      </c>
      <c r="G22" s="175" t="n">
        <v>2.87</v>
      </c>
      <c r="H22" s="175"/>
      <c r="I22" s="177" t="n">
        <f aca="false">SUM(D22-G22)*F22</f>
        <v>57750</v>
      </c>
      <c r="J22" s="178" t="n">
        <f aca="false">+I22</f>
        <v>57750</v>
      </c>
      <c r="K22" s="178"/>
    </row>
    <row r="23" customFormat="false" ht="12.75" hidden="false" customHeight="false" outlineLevel="0" collapsed="false">
      <c r="A23" s="172" t="n">
        <v>36495</v>
      </c>
      <c r="B23" s="173"/>
      <c r="C23" s="174" t="s">
        <v>37</v>
      </c>
      <c r="D23" s="175" t="n">
        <f aca="false">2.1</f>
        <v>2.1</v>
      </c>
      <c r="E23" s="173"/>
      <c r="F23" s="176" t="n">
        <f aca="false">-2500*31</f>
        <v>-77500</v>
      </c>
      <c r="G23" s="175" t="n">
        <v>2.08</v>
      </c>
      <c r="H23" s="175"/>
      <c r="I23" s="177" t="n">
        <f aca="false">SUM(D23-G23)*F23</f>
        <v>-1550</v>
      </c>
      <c r="J23" s="178" t="n">
        <f aca="false">+I23</f>
        <v>-1550</v>
      </c>
      <c r="K23" s="178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80" t="n">
        <f aca="false">SUM(F9:F23)</f>
        <v>-1142500</v>
      </c>
      <c r="G24" s="173"/>
      <c r="H24" s="173"/>
      <c r="I24" s="181" t="n">
        <f aca="false">SUM(I9:I23)</f>
        <v>-11125.0000000001</v>
      </c>
      <c r="J24" s="181" t="n">
        <f aca="false">SUM(J9:J23)</f>
        <v>-11125.0000000001</v>
      </c>
      <c r="K24" s="181" t="n">
        <f aca="false">SUM(K9:K23)</f>
        <v>0</v>
      </c>
    </row>
    <row r="25" customFormat="false" ht="12.75" hidden="false" customHeight="false" outlineLevel="0" collapsed="false">
      <c r="A25" s="173"/>
      <c r="B25" s="173"/>
      <c r="C25" s="173"/>
      <c r="D25" s="173"/>
      <c r="E25" s="173"/>
      <c r="F25" s="182"/>
      <c r="G25" s="173"/>
      <c r="H25" s="173"/>
      <c r="I25" s="183"/>
      <c r="J25" s="184"/>
      <c r="K25" s="184"/>
    </row>
    <row r="26" customFormat="false" ht="12.75" hidden="false" customHeight="false" outlineLevel="0" collapsed="false">
      <c r="A26" s="173"/>
      <c r="B26" s="173"/>
      <c r="C26" s="173"/>
      <c r="D26" s="173"/>
      <c r="E26" s="173"/>
      <c r="F26" s="173"/>
      <c r="G26" s="185" t="s">
        <v>265</v>
      </c>
      <c r="H26" s="186"/>
      <c r="I26" s="173"/>
      <c r="J26" s="179"/>
      <c r="K26" s="179"/>
    </row>
    <row r="27" customFormat="false" ht="12.75" hidden="false" customHeight="false" outlineLevel="0" collapsed="false">
      <c r="A27" s="173"/>
      <c r="B27" s="173"/>
      <c r="C27" s="173"/>
      <c r="D27" s="173"/>
      <c r="E27" s="173"/>
      <c r="F27" s="173"/>
      <c r="G27" s="187"/>
      <c r="H27" s="186"/>
      <c r="I27" s="173"/>
      <c r="J27" s="179"/>
      <c r="K27" s="179"/>
    </row>
    <row r="28" customFormat="false" ht="12.75" hidden="false" customHeight="false" outlineLevel="0" collapsed="false">
      <c r="A28" s="172" t="n">
        <v>36069</v>
      </c>
      <c r="B28" s="173"/>
      <c r="C28" s="174" t="s">
        <v>137</v>
      </c>
      <c r="D28" s="175" t="n">
        <f aca="false">2.1</f>
        <v>2.1</v>
      </c>
      <c r="E28" s="173"/>
      <c r="F28" s="176" t="n">
        <f aca="false">2500*31</f>
        <v>77500</v>
      </c>
      <c r="G28" s="175" t="n">
        <v>1.78</v>
      </c>
      <c r="H28" s="175"/>
      <c r="I28" s="177" t="n">
        <f aca="false">SUM(D28-G28)*F28</f>
        <v>24800</v>
      </c>
      <c r="J28" s="178" t="n">
        <f aca="false">+I28</f>
        <v>24800</v>
      </c>
      <c r="K28" s="178"/>
    </row>
    <row r="29" customFormat="false" ht="12.75" hidden="false" customHeight="false" outlineLevel="0" collapsed="false">
      <c r="A29" s="172" t="n">
        <v>36100</v>
      </c>
      <c r="B29" s="173"/>
      <c r="C29" s="174" t="s">
        <v>137</v>
      </c>
      <c r="D29" s="175" t="n">
        <f aca="false">2.1</f>
        <v>2.1</v>
      </c>
      <c r="E29" s="173"/>
      <c r="F29" s="176" t="n">
        <f aca="false">2500*30</f>
        <v>75000</v>
      </c>
      <c r="G29" s="175" t="n">
        <v>1.99</v>
      </c>
      <c r="H29" s="175"/>
      <c r="I29" s="177" t="n">
        <f aca="false">SUM(D29-G29)*F29</f>
        <v>8250.00000000001</v>
      </c>
      <c r="J29" s="178" t="n">
        <f aca="false">+I29</f>
        <v>8250.00000000001</v>
      </c>
      <c r="K29" s="178"/>
    </row>
    <row r="30" customFormat="false" ht="12.75" hidden="false" customHeight="false" outlineLevel="0" collapsed="false">
      <c r="A30" s="172" t="n">
        <v>36130</v>
      </c>
      <c r="B30" s="173"/>
      <c r="C30" s="174" t="s">
        <v>137</v>
      </c>
      <c r="D30" s="175" t="n">
        <f aca="false">2.1</f>
        <v>2.1</v>
      </c>
      <c r="E30" s="173"/>
      <c r="F30" s="176" t="n">
        <f aca="false">2500*31</f>
        <v>77500</v>
      </c>
      <c r="G30" s="175" t="n">
        <v>1.74</v>
      </c>
      <c r="H30" s="175"/>
      <c r="I30" s="177" t="n">
        <f aca="false">SUM(D30-G30)*F30</f>
        <v>27900</v>
      </c>
      <c r="J30" s="178" t="n">
        <f aca="false">+I30</f>
        <v>27900</v>
      </c>
      <c r="K30" s="178"/>
    </row>
    <row r="31" customFormat="false" ht="12.75" hidden="false" customHeight="false" outlineLevel="0" collapsed="false">
      <c r="A31" s="172" t="n">
        <v>36161</v>
      </c>
      <c r="B31" s="173"/>
      <c r="C31" s="174" t="s">
        <v>137</v>
      </c>
      <c r="D31" s="175" t="n">
        <f aca="false">2.1</f>
        <v>2.1</v>
      </c>
      <c r="E31" s="173"/>
      <c r="F31" s="176" t="n">
        <f aca="false">2500*31</f>
        <v>77500</v>
      </c>
      <c r="G31" s="175" t="n">
        <v>1.73</v>
      </c>
      <c r="H31" s="175"/>
      <c r="I31" s="177" t="n">
        <f aca="false">SUM(D31-G31)*F31</f>
        <v>28675</v>
      </c>
      <c r="J31" s="178" t="n">
        <f aca="false">+I31</f>
        <v>28675</v>
      </c>
      <c r="K31" s="178"/>
    </row>
    <row r="32" customFormat="false" ht="12.75" hidden="false" customHeight="false" outlineLevel="0" collapsed="false">
      <c r="A32" s="172" t="n">
        <v>36192</v>
      </c>
      <c r="B32" s="173"/>
      <c r="C32" s="174" t="s">
        <v>137</v>
      </c>
      <c r="D32" s="175" t="n">
        <f aca="false">2.1</f>
        <v>2.1</v>
      </c>
      <c r="E32" s="173"/>
      <c r="F32" s="176" t="n">
        <f aca="false">2500*28</f>
        <v>70000</v>
      </c>
      <c r="G32" s="175" t="n">
        <v>1.63</v>
      </c>
      <c r="H32" s="175"/>
      <c r="I32" s="177" t="n">
        <f aca="false">SUM(D32-G32)*F32</f>
        <v>32900</v>
      </c>
      <c r="J32" s="178" t="n">
        <f aca="false">+I32</f>
        <v>32900</v>
      </c>
      <c r="K32" s="178"/>
    </row>
    <row r="33" customFormat="false" ht="12.75" hidden="false" customHeight="false" outlineLevel="0" collapsed="false">
      <c r="A33" s="172" t="n">
        <v>36220</v>
      </c>
      <c r="B33" s="173"/>
      <c r="C33" s="174" t="s">
        <v>137</v>
      </c>
      <c r="D33" s="175" t="n">
        <f aca="false">2.1</f>
        <v>2.1</v>
      </c>
      <c r="E33" s="173"/>
      <c r="F33" s="176" t="n">
        <f aca="false">2500*31</f>
        <v>77500</v>
      </c>
      <c r="G33" s="175" t="n">
        <v>1.59</v>
      </c>
      <c r="H33" s="175"/>
      <c r="I33" s="177" t="n">
        <f aca="false">SUM(D33-G33)*F33</f>
        <v>39525</v>
      </c>
      <c r="J33" s="178" t="n">
        <f aca="false">+I33</f>
        <v>39525</v>
      </c>
      <c r="K33" s="178"/>
    </row>
    <row r="34" customFormat="false" ht="12.75" hidden="false" customHeight="false" outlineLevel="0" collapsed="false">
      <c r="A34" s="172" t="n">
        <v>36251</v>
      </c>
      <c r="B34" s="173"/>
      <c r="C34" s="174" t="s">
        <v>137</v>
      </c>
      <c r="D34" s="175" t="n">
        <f aca="false">2.1</f>
        <v>2.1</v>
      </c>
      <c r="E34" s="173"/>
      <c r="F34" s="176" t="n">
        <f aca="false">2500*30</f>
        <v>75000</v>
      </c>
      <c r="G34" s="175" t="n">
        <v>1.94</v>
      </c>
      <c r="H34" s="175"/>
      <c r="I34" s="177" t="n">
        <f aca="false">SUM(D34-G34)*F34</f>
        <v>12000</v>
      </c>
      <c r="J34" s="178" t="n">
        <f aca="false">+I34</f>
        <v>12000</v>
      </c>
      <c r="K34" s="178"/>
    </row>
    <row r="35" customFormat="false" ht="12.75" hidden="false" customHeight="false" outlineLevel="0" collapsed="false">
      <c r="A35" s="172" t="n">
        <v>36281</v>
      </c>
      <c r="B35" s="173"/>
      <c r="C35" s="174" t="s">
        <v>137</v>
      </c>
      <c r="D35" s="175" t="n">
        <f aca="false">2.1</f>
        <v>2.1</v>
      </c>
      <c r="E35" s="173"/>
      <c r="F35" s="176" t="n">
        <f aca="false">2500*31</f>
        <v>77500</v>
      </c>
      <c r="G35" s="175" t="n">
        <v>2.06</v>
      </c>
      <c r="H35" s="175"/>
      <c r="I35" s="177" t="n">
        <f aca="false">SUM(D35-G35)*F35</f>
        <v>3100</v>
      </c>
      <c r="J35" s="178" t="n">
        <f aca="false">+I35</f>
        <v>3100</v>
      </c>
      <c r="K35" s="178"/>
    </row>
    <row r="36" customFormat="false" ht="12.75" hidden="false" customHeight="false" outlineLevel="0" collapsed="false">
      <c r="A36" s="172" t="n">
        <v>36312</v>
      </c>
      <c r="B36" s="173"/>
      <c r="C36" s="174" t="s">
        <v>137</v>
      </c>
      <c r="D36" s="175" t="n">
        <f aca="false">2.1</f>
        <v>2.1</v>
      </c>
      <c r="E36" s="173"/>
      <c r="F36" s="176" t="n">
        <f aca="false">2500*30</f>
        <v>75000</v>
      </c>
      <c r="G36" s="175" t="n">
        <v>2.07</v>
      </c>
      <c r="H36" s="175"/>
      <c r="I36" s="177" t="n">
        <f aca="false">SUM(D36-G36)*F36</f>
        <v>2250.00000000002</v>
      </c>
      <c r="J36" s="178" t="n">
        <f aca="false">+I36</f>
        <v>2250.00000000002</v>
      </c>
      <c r="K36" s="178"/>
    </row>
    <row r="37" customFormat="false" ht="12.75" hidden="false" customHeight="false" outlineLevel="0" collapsed="false">
      <c r="A37" s="172" t="n">
        <v>36342</v>
      </c>
      <c r="B37" s="173"/>
      <c r="C37" s="174" t="s">
        <v>137</v>
      </c>
      <c r="D37" s="175" t="n">
        <f aca="false">2.1</f>
        <v>2.1</v>
      </c>
      <c r="E37" s="173"/>
      <c r="F37" s="176" t="n">
        <f aca="false">2500*31</f>
        <v>77500</v>
      </c>
      <c r="G37" s="175" t="n">
        <v>2.11</v>
      </c>
      <c r="H37" s="175"/>
      <c r="I37" s="177" t="n">
        <f aca="false">SUM(D37-G37)*F37</f>
        <v>-774.999999999984</v>
      </c>
      <c r="J37" s="178" t="n">
        <f aca="false">+I37</f>
        <v>-774.999999999984</v>
      </c>
      <c r="K37" s="178"/>
    </row>
    <row r="38" customFormat="false" ht="12.75" hidden="false" customHeight="false" outlineLevel="0" collapsed="false">
      <c r="A38" s="172" t="n">
        <v>36373</v>
      </c>
      <c r="B38" s="173"/>
      <c r="C38" s="174" t="s">
        <v>137</v>
      </c>
      <c r="D38" s="175" t="n">
        <f aca="false">2.1</f>
        <v>2.1</v>
      </c>
      <c r="E38" s="173"/>
      <c r="F38" s="176" t="n">
        <f aca="false">2500*31</f>
        <v>77500</v>
      </c>
      <c r="G38" s="175" t="n">
        <v>2.51</v>
      </c>
      <c r="H38" s="175"/>
      <c r="I38" s="177" t="n">
        <f aca="false">SUM(D38-G38)*F38</f>
        <v>-31775</v>
      </c>
      <c r="J38" s="178" t="n">
        <f aca="false">+I38</f>
        <v>-31775</v>
      </c>
      <c r="K38" s="178"/>
    </row>
    <row r="39" customFormat="false" ht="12.75" hidden="false" customHeight="false" outlineLevel="0" collapsed="false">
      <c r="A39" s="172" t="n">
        <v>36404</v>
      </c>
      <c r="B39" s="173"/>
      <c r="C39" s="174" t="s">
        <v>137</v>
      </c>
      <c r="D39" s="175" t="n">
        <f aca="false">2.1</f>
        <v>2.1</v>
      </c>
      <c r="E39" s="173"/>
      <c r="F39" s="176" t="n">
        <f aca="false">2500*30</f>
        <v>75000</v>
      </c>
      <c r="G39" s="175" t="n">
        <v>2.36</v>
      </c>
      <c r="H39" s="175"/>
      <c r="I39" s="177" t="n">
        <f aca="false">SUM(D39-G39)*F39</f>
        <v>-19500</v>
      </c>
      <c r="J39" s="178" t="n">
        <f aca="false">+I39</f>
        <v>-19500</v>
      </c>
      <c r="K39" s="178"/>
    </row>
    <row r="40" customFormat="false" ht="12.75" hidden="false" customHeight="false" outlineLevel="0" collapsed="false">
      <c r="A40" s="172" t="n">
        <v>36434</v>
      </c>
      <c r="B40" s="173"/>
      <c r="C40" s="174" t="s">
        <v>137</v>
      </c>
      <c r="D40" s="175" t="n">
        <f aca="false">2.1</f>
        <v>2.1</v>
      </c>
      <c r="E40" s="173"/>
      <c r="F40" s="176" t="n">
        <f aca="false">2500*31</f>
        <v>77500</v>
      </c>
      <c r="G40" s="175" t="n">
        <v>2.62</v>
      </c>
      <c r="H40" s="175"/>
      <c r="I40" s="177" t="n">
        <f aca="false">SUM(D40-G40)*F40</f>
        <v>-40300</v>
      </c>
      <c r="J40" s="178" t="n">
        <f aca="false">+I40</f>
        <v>-40300</v>
      </c>
      <c r="K40" s="178"/>
    </row>
    <row r="41" customFormat="false" ht="12.75" hidden="false" customHeight="false" outlineLevel="0" collapsed="false">
      <c r="A41" s="172" t="n">
        <v>36465</v>
      </c>
      <c r="B41" s="173"/>
      <c r="C41" s="174" t="s">
        <v>137</v>
      </c>
      <c r="D41" s="175" t="n">
        <f aca="false">2.1</f>
        <v>2.1</v>
      </c>
      <c r="E41" s="173"/>
      <c r="F41" s="176" t="n">
        <f aca="false">2500*30</f>
        <v>75000</v>
      </c>
      <c r="G41" s="175" t="n">
        <v>2.17</v>
      </c>
      <c r="H41" s="175"/>
      <c r="I41" s="177" t="n">
        <f aca="false">SUM(D41-G41)*F41</f>
        <v>-5249.99999999999</v>
      </c>
      <c r="J41" s="178" t="n">
        <f aca="false">+I41</f>
        <v>-5249.99999999999</v>
      </c>
      <c r="K41" s="178"/>
    </row>
    <row r="42" customFormat="false" ht="12.75" hidden="false" customHeight="false" outlineLevel="0" collapsed="false">
      <c r="A42" s="172" t="n">
        <v>36495</v>
      </c>
      <c r="B42" s="173"/>
      <c r="C42" s="174" t="s">
        <v>137</v>
      </c>
      <c r="D42" s="175" t="n">
        <f aca="false">2.1</f>
        <v>2.1</v>
      </c>
      <c r="E42" s="173"/>
      <c r="F42" s="176" t="n">
        <f aca="false">2500*31</f>
        <v>77500</v>
      </c>
      <c r="G42" s="175" t="n">
        <v>2.24</v>
      </c>
      <c r="H42" s="175"/>
      <c r="I42" s="177" t="n">
        <f aca="false">SUM(D42-G42)*F42</f>
        <v>-10850</v>
      </c>
      <c r="J42" s="178" t="n">
        <f aca="false">+I42</f>
        <v>-10850</v>
      </c>
      <c r="K42" s="178"/>
    </row>
    <row r="43" customFormat="false" ht="12.75" hidden="false" customHeight="false" outlineLevel="0" collapsed="false">
      <c r="A43" s="173"/>
      <c r="B43" s="173"/>
      <c r="C43" s="173"/>
      <c r="D43" s="173"/>
      <c r="E43" s="173"/>
      <c r="F43" s="180" t="n">
        <f aca="false">SUM(F28:F42)</f>
        <v>1142500</v>
      </c>
      <c r="G43" s="173"/>
      <c r="H43" s="173"/>
      <c r="I43" s="189" t="n">
        <f aca="false">SUM(I28:I42)</f>
        <v>70950.0000000001</v>
      </c>
      <c r="J43" s="189" t="n">
        <f aca="false">SUM(J28:J42)</f>
        <v>70950.0000000001</v>
      </c>
      <c r="K43" s="189" t="n">
        <f aca="false">SUM(K28:K42)</f>
        <v>0</v>
      </c>
    </row>
    <row r="44" customFormat="false" ht="12.75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79"/>
      <c r="K44" s="179"/>
    </row>
    <row r="45" customFormat="false" ht="13.5" hidden="false" customHeight="false" outlineLevel="0" collapsed="false">
      <c r="A45" s="173"/>
      <c r="B45" s="173"/>
      <c r="C45" s="173"/>
      <c r="D45" s="173"/>
      <c r="E45" s="173"/>
      <c r="F45" s="190" t="n">
        <f aca="false">+F43+F24</f>
        <v>0</v>
      </c>
      <c r="G45" s="173"/>
      <c r="H45" s="173"/>
      <c r="I45" s="191" t="n">
        <f aca="false">+I43+I24</f>
        <v>59825</v>
      </c>
      <c r="J45" s="191" t="n">
        <f aca="false">+J43+J24</f>
        <v>59825</v>
      </c>
      <c r="K45" s="191" t="n">
        <f aca="false">+K43+K24</f>
        <v>0</v>
      </c>
    </row>
    <row r="46" customFormat="false" ht="13.5" hidden="false" customHeight="false" outlineLevel="0" collapsed="false">
      <c r="A46" s="192"/>
      <c r="B46" s="192"/>
      <c r="C46" s="192"/>
      <c r="D46" s="192"/>
      <c r="E46" s="192"/>
      <c r="F46" s="192"/>
      <c r="G46" s="192"/>
      <c r="H46" s="192"/>
      <c r="I46" s="192"/>
      <c r="J46" s="193"/>
      <c r="K46" s="193"/>
    </row>
    <row r="48" customFormat="false" ht="12.75" hidden="false" customHeight="false" outlineLevel="0" collapsed="false">
      <c r="A4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Hedge/Fixed2_Sempra_2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287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7" t="s">
        <v>284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135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36281</v>
      </c>
      <c r="B9" s="173"/>
      <c r="C9" s="174" t="s">
        <v>37</v>
      </c>
      <c r="D9" s="175" t="n">
        <v>2.01</v>
      </c>
      <c r="E9" s="173"/>
      <c r="F9" s="176" t="n">
        <f aca="false">-10000*31</f>
        <v>-310000</v>
      </c>
      <c r="G9" s="175" t="n">
        <v>2.16</v>
      </c>
      <c r="H9" s="175"/>
      <c r="I9" s="177" t="n">
        <f aca="false">SUM(D9-G9)*F9</f>
        <v>46500.0000000001</v>
      </c>
      <c r="J9" s="178" t="n">
        <f aca="false">+I9</f>
        <v>46500.0000000001</v>
      </c>
      <c r="K9" s="178"/>
    </row>
    <row r="10" customFormat="false" ht="12.75" hidden="false" customHeight="false" outlineLevel="0" collapsed="false">
      <c r="A10" s="172" t="n">
        <v>36312</v>
      </c>
      <c r="B10" s="173"/>
      <c r="C10" s="174" t="s">
        <v>37</v>
      </c>
      <c r="D10" s="175" t="n">
        <v>2.01</v>
      </c>
      <c r="E10" s="173"/>
      <c r="F10" s="176" t="n">
        <f aca="false">-10000*30</f>
        <v>-300000</v>
      </c>
      <c r="G10" s="175" t="n">
        <v>2.08</v>
      </c>
      <c r="H10" s="175"/>
      <c r="I10" s="177" t="n">
        <f aca="false">SUM(D10-G10)*F10</f>
        <v>21000.0000000001</v>
      </c>
      <c r="J10" s="178" t="n">
        <f aca="false">+I10</f>
        <v>21000.0000000001</v>
      </c>
      <c r="K10" s="178"/>
    </row>
    <row r="11" customFormat="false" ht="12.75" hidden="false" customHeight="false" outlineLevel="0" collapsed="false">
      <c r="A11" s="172" t="n">
        <v>36342</v>
      </c>
      <c r="B11" s="173"/>
      <c r="C11" s="174" t="s">
        <v>37</v>
      </c>
      <c r="D11" s="175" t="n">
        <v>2.01</v>
      </c>
      <c r="E11" s="173"/>
      <c r="F11" s="176" t="n">
        <f aca="false">-10000*31</f>
        <v>-310000</v>
      </c>
      <c r="G11" s="175" t="n">
        <v>2.17</v>
      </c>
      <c r="H11" s="175"/>
      <c r="I11" s="177" t="n">
        <f aca="false">SUM(D11-G11)*F11</f>
        <v>49600</v>
      </c>
      <c r="J11" s="178" t="n">
        <f aca="false">+I11</f>
        <v>49600</v>
      </c>
      <c r="K11" s="178"/>
    </row>
    <row r="12" customFormat="false" ht="12.75" hidden="false" customHeight="false" outlineLevel="0" collapsed="false">
      <c r="A12" s="172" t="n">
        <v>36373</v>
      </c>
      <c r="B12" s="173"/>
      <c r="C12" s="174" t="s">
        <v>37</v>
      </c>
      <c r="D12" s="175" t="n">
        <v>2.01</v>
      </c>
      <c r="E12" s="173"/>
      <c r="F12" s="176" t="n">
        <f aca="false">-10000*31</f>
        <v>-310000</v>
      </c>
      <c r="G12" s="175" t="n">
        <v>2.46</v>
      </c>
      <c r="H12" s="175"/>
      <c r="I12" s="177" t="n">
        <f aca="false">SUM(D12-G12)*F12</f>
        <v>139500</v>
      </c>
      <c r="J12" s="178" t="n">
        <f aca="false">+I12</f>
        <v>139500</v>
      </c>
      <c r="K12" s="178"/>
    </row>
    <row r="13" customFormat="false" ht="12.75" hidden="false" customHeight="false" outlineLevel="0" collapsed="false">
      <c r="A13" s="172" t="n">
        <v>36404</v>
      </c>
      <c r="B13" s="173"/>
      <c r="C13" s="174" t="s">
        <v>37</v>
      </c>
      <c r="D13" s="175" t="n">
        <v>2.01</v>
      </c>
      <c r="E13" s="173"/>
      <c r="F13" s="176" t="n">
        <f aca="false">-10000*30</f>
        <v>-300000</v>
      </c>
      <c r="G13" s="175" t="n">
        <v>2.78</v>
      </c>
      <c r="H13" s="175"/>
      <c r="I13" s="177" t="n">
        <f aca="false">SUM(D13-G13)*F13</f>
        <v>231000</v>
      </c>
      <c r="J13" s="178" t="n">
        <f aca="false">+I13</f>
        <v>231000</v>
      </c>
      <c r="K13" s="178"/>
    </row>
    <row r="14" customFormat="false" ht="12.75" hidden="false" customHeight="false" outlineLevel="0" collapsed="false">
      <c r="A14" s="172" t="n">
        <v>36434</v>
      </c>
      <c r="B14" s="173"/>
      <c r="C14" s="174" t="s">
        <v>37</v>
      </c>
      <c r="D14" s="175" t="n">
        <v>2.01</v>
      </c>
      <c r="E14" s="173"/>
      <c r="F14" s="176" t="n">
        <f aca="false">-10000*31</f>
        <v>-310000</v>
      </c>
      <c r="G14" s="175" t="n">
        <v>2.42</v>
      </c>
      <c r="H14" s="175"/>
      <c r="I14" s="177" t="n">
        <f aca="false">SUM(D14-G14)*F14</f>
        <v>127100</v>
      </c>
      <c r="J14" s="178" t="n">
        <f aca="false">+I14</f>
        <v>127100</v>
      </c>
      <c r="K14" s="178"/>
    </row>
    <row r="15" customFormat="false" ht="12.75" hidden="false" customHeight="false" outlineLevel="0" collapsed="false">
      <c r="A15" s="172" t="n">
        <v>36465</v>
      </c>
      <c r="B15" s="173"/>
      <c r="C15" s="174" t="s">
        <v>37</v>
      </c>
      <c r="D15" s="175" t="n">
        <v>2.01</v>
      </c>
      <c r="E15" s="173"/>
      <c r="F15" s="176" t="n">
        <f aca="false">-10000*30</f>
        <v>-300000</v>
      </c>
      <c r="G15" s="175" t="n">
        <v>2.87</v>
      </c>
      <c r="H15" s="175"/>
      <c r="I15" s="177" t="n">
        <f aca="false">SUM(D15-G15)*F15</f>
        <v>258000</v>
      </c>
      <c r="J15" s="178" t="n">
        <f aca="false">+I15</f>
        <v>258000</v>
      </c>
      <c r="K15" s="178"/>
    </row>
    <row r="16" customFormat="false" ht="12.75" hidden="false" customHeight="false" outlineLevel="0" collapsed="false">
      <c r="A16" s="172" t="n">
        <v>36495</v>
      </c>
      <c r="B16" s="173"/>
      <c r="C16" s="174" t="s">
        <v>37</v>
      </c>
      <c r="D16" s="175" t="n">
        <v>2.01</v>
      </c>
      <c r="E16" s="173"/>
      <c r="F16" s="176" t="n">
        <f aca="false">-10000*31</f>
        <v>-310000</v>
      </c>
      <c r="G16" s="175" t="n">
        <v>2.08</v>
      </c>
      <c r="H16" s="175"/>
      <c r="I16" s="177" t="n">
        <f aca="false">SUM(D16-G16)*F16</f>
        <v>21700.0000000001</v>
      </c>
      <c r="J16" s="178" t="n">
        <f aca="false">+I16</f>
        <v>21700.0000000001</v>
      </c>
      <c r="K16" s="178"/>
    </row>
    <row r="17" customFormat="false" ht="12.75" hidden="false" customHeight="false" outlineLevel="0" collapsed="false">
      <c r="A17" s="173"/>
      <c r="B17" s="173"/>
      <c r="C17" s="173"/>
      <c r="D17" s="173"/>
      <c r="E17" s="173"/>
      <c r="F17" s="180" t="n">
        <f aca="false">SUM(F9:F16)</f>
        <v>-2450000</v>
      </c>
      <c r="G17" s="173"/>
      <c r="H17" s="173"/>
      <c r="I17" s="181" t="n">
        <f aca="false">SUM(I9:I16)</f>
        <v>894400.000000001</v>
      </c>
      <c r="J17" s="181" t="n">
        <f aca="false">SUM(J9:J16)</f>
        <v>894400.000000001</v>
      </c>
      <c r="K17" s="181" t="n">
        <f aca="false">SUM(K9:K16)</f>
        <v>0</v>
      </c>
    </row>
    <row r="18" customFormat="false" ht="12.75" hidden="false" customHeight="false" outlineLevel="0" collapsed="false">
      <c r="A18" s="173"/>
      <c r="B18" s="173"/>
      <c r="C18" s="173"/>
      <c r="D18" s="173"/>
      <c r="E18" s="173"/>
      <c r="F18" s="182"/>
      <c r="G18" s="173"/>
      <c r="H18" s="173"/>
      <c r="I18" s="183"/>
      <c r="J18" s="184"/>
      <c r="K18" s="184"/>
    </row>
    <row r="19" customFormat="false" ht="12.75" hidden="false" customHeight="false" outlineLevel="0" collapsed="false">
      <c r="A19" s="173"/>
      <c r="B19" s="173"/>
      <c r="C19" s="173"/>
      <c r="D19" s="173"/>
      <c r="E19" s="173"/>
      <c r="F19" s="173"/>
      <c r="G19" s="185" t="s">
        <v>265</v>
      </c>
      <c r="H19" s="186"/>
      <c r="I19" s="173"/>
      <c r="J19" s="179"/>
      <c r="K19" s="179"/>
    </row>
    <row r="20" customFormat="false" ht="12.75" hidden="false" customHeight="false" outlineLevel="0" collapsed="false">
      <c r="A20" s="173"/>
      <c r="B20" s="173"/>
      <c r="C20" s="173"/>
      <c r="D20" s="175"/>
      <c r="E20" s="173"/>
      <c r="F20" s="173"/>
      <c r="G20" s="187"/>
      <c r="H20" s="186"/>
      <c r="I20" s="173"/>
      <c r="J20" s="179"/>
      <c r="K20" s="179"/>
    </row>
    <row r="21" customFormat="false" ht="12.75" hidden="false" customHeight="false" outlineLevel="0" collapsed="false">
      <c r="A21" s="172" t="n">
        <v>36281</v>
      </c>
      <c r="B21" s="173"/>
      <c r="C21" s="174" t="s">
        <v>137</v>
      </c>
      <c r="D21" s="175" t="n">
        <v>2.01</v>
      </c>
      <c r="E21" s="173"/>
      <c r="F21" s="176" t="n">
        <f aca="false">10000*31</f>
        <v>310000</v>
      </c>
      <c r="G21" s="175" t="n">
        <v>2.06</v>
      </c>
      <c r="H21" s="175"/>
      <c r="I21" s="177" t="n">
        <f aca="false">SUM(D21-G21)*F21</f>
        <v>-15500.0000000001</v>
      </c>
      <c r="J21" s="178" t="n">
        <f aca="false">+I21</f>
        <v>-15500.0000000001</v>
      </c>
      <c r="K21" s="178"/>
    </row>
    <row r="22" customFormat="false" ht="12.75" hidden="false" customHeight="false" outlineLevel="0" collapsed="false">
      <c r="A22" s="172" t="n">
        <v>36312</v>
      </c>
      <c r="B22" s="173"/>
      <c r="C22" s="174" t="s">
        <v>137</v>
      </c>
      <c r="D22" s="175" t="n">
        <v>2.01</v>
      </c>
      <c r="E22" s="173"/>
      <c r="F22" s="176" t="n">
        <f aca="false">10000*30</f>
        <v>300000</v>
      </c>
      <c r="G22" s="175" t="n">
        <v>2.07</v>
      </c>
      <c r="H22" s="175"/>
      <c r="I22" s="177" t="n">
        <f aca="false">SUM(D22-G22)*F22</f>
        <v>-18000</v>
      </c>
      <c r="J22" s="178" t="n">
        <f aca="false">+I22</f>
        <v>-18000</v>
      </c>
      <c r="K22" s="178"/>
    </row>
    <row r="23" customFormat="false" ht="12.75" hidden="false" customHeight="false" outlineLevel="0" collapsed="false">
      <c r="A23" s="172" t="n">
        <v>36342</v>
      </c>
      <c r="B23" s="173"/>
      <c r="C23" s="174" t="s">
        <v>137</v>
      </c>
      <c r="D23" s="175" t="n">
        <v>2.01</v>
      </c>
      <c r="E23" s="173"/>
      <c r="F23" s="176" t="n">
        <f aca="false">10000*31</f>
        <v>310000</v>
      </c>
      <c r="G23" s="175" t="n">
        <v>2.11</v>
      </c>
      <c r="H23" s="175"/>
      <c r="I23" s="177" t="n">
        <f aca="false">SUM(D23-G23)*F23</f>
        <v>-31000</v>
      </c>
      <c r="J23" s="178" t="n">
        <f aca="false">+I23</f>
        <v>-31000</v>
      </c>
      <c r="K23" s="178"/>
    </row>
    <row r="24" customFormat="false" ht="12.75" hidden="false" customHeight="false" outlineLevel="0" collapsed="false">
      <c r="A24" s="172" t="n">
        <v>36373</v>
      </c>
      <c r="B24" s="173"/>
      <c r="C24" s="174" t="s">
        <v>137</v>
      </c>
      <c r="D24" s="175" t="n">
        <v>2.01</v>
      </c>
      <c r="E24" s="173"/>
      <c r="F24" s="176" t="n">
        <f aca="false">10000*31</f>
        <v>310000</v>
      </c>
      <c r="G24" s="175" t="n">
        <v>2.51</v>
      </c>
      <c r="H24" s="175"/>
      <c r="I24" s="177" t="n">
        <f aca="false">SUM(D24-G24)*F24</f>
        <v>-155000</v>
      </c>
      <c r="J24" s="178" t="n">
        <f aca="false">+I24</f>
        <v>-155000</v>
      </c>
      <c r="K24" s="178"/>
    </row>
    <row r="25" customFormat="false" ht="12.75" hidden="false" customHeight="false" outlineLevel="0" collapsed="false">
      <c r="A25" s="172" t="n">
        <v>36404</v>
      </c>
      <c r="B25" s="173"/>
      <c r="C25" s="174" t="s">
        <v>137</v>
      </c>
      <c r="D25" s="175" t="n">
        <v>2.01</v>
      </c>
      <c r="E25" s="173"/>
      <c r="F25" s="176" t="n">
        <f aca="false">10000*30</f>
        <v>300000</v>
      </c>
      <c r="G25" s="175" t="n">
        <v>2.36</v>
      </c>
      <c r="H25" s="175"/>
      <c r="I25" s="177" t="n">
        <f aca="false">SUM(D25-G25)*F25</f>
        <v>-105000</v>
      </c>
      <c r="J25" s="178" t="n">
        <f aca="false">+I25</f>
        <v>-105000</v>
      </c>
      <c r="K25" s="178"/>
    </row>
    <row r="26" customFormat="false" ht="12.75" hidden="false" customHeight="false" outlineLevel="0" collapsed="false">
      <c r="A26" s="172" t="n">
        <v>36434</v>
      </c>
      <c r="B26" s="173"/>
      <c r="C26" s="174" t="s">
        <v>137</v>
      </c>
      <c r="D26" s="175" t="n">
        <v>2.01</v>
      </c>
      <c r="E26" s="173"/>
      <c r="F26" s="176" t="n">
        <f aca="false">10000*31</f>
        <v>310000</v>
      </c>
      <c r="G26" s="175" t="n">
        <v>2.62</v>
      </c>
      <c r="H26" s="175"/>
      <c r="I26" s="177" t="n">
        <f aca="false">SUM(D26-G26)*F26</f>
        <v>-189100</v>
      </c>
      <c r="J26" s="178" t="n">
        <f aca="false">+I26</f>
        <v>-189100</v>
      </c>
      <c r="K26" s="178"/>
    </row>
    <row r="27" customFormat="false" ht="12.75" hidden="false" customHeight="false" outlineLevel="0" collapsed="false">
      <c r="A27" s="172" t="n">
        <v>36465</v>
      </c>
      <c r="B27" s="173"/>
      <c r="C27" s="174" t="s">
        <v>137</v>
      </c>
      <c r="D27" s="175" t="n">
        <v>2.01</v>
      </c>
      <c r="E27" s="173"/>
      <c r="F27" s="176" t="n">
        <f aca="false">10000*30</f>
        <v>300000</v>
      </c>
      <c r="G27" s="175" t="n">
        <v>2.17</v>
      </c>
      <c r="H27" s="175"/>
      <c r="I27" s="177" t="n">
        <f aca="false">SUM(D27-G27)*F27</f>
        <v>-48000</v>
      </c>
      <c r="J27" s="178" t="n">
        <f aca="false">+I27</f>
        <v>-48000</v>
      </c>
      <c r="K27" s="178"/>
    </row>
    <row r="28" customFormat="false" ht="12.75" hidden="false" customHeight="false" outlineLevel="0" collapsed="false">
      <c r="A28" s="172" t="n">
        <v>36495</v>
      </c>
      <c r="B28" s="173"/>
      <c r="C28" s="174" t="s">
        <v>137</v>
      </c>
      <c r="D28" s="175" t="n">
        <v>2.01</v>
      </c>
      <c r="E28" s="173"/>
      <c r="F28" s="176" t="n">
        <f aca="false">10000*31</f>
        <v>310000</v>
      </c>
      <c r="G28" s="175" t="n">
        <v>2.24</v>
      </c>
      <c r="H28" s="175"/>
      <c r="I28" s="177" t="n">
        <f aca="false">SUM(D28-G28)*F28</f>
        <v>-71300.0000000001</v>
      </c>
      <c r="J28" s="178" t="n">
        <f aca="false">+I28</f>
        <v>-71300.0000000001</v>
      </c>
      <c r="K28" s="178"/>
    </row>
    <row r="29" customFormat="false" ht="12.75" hidden="false" customHeight="false" outlineLevel="0" collapsed="false">
      <c r="A29" s="173"/>
      <c r="B29" s="173"/>
      <c r="C29" s="173"/>
      <c r="D29" s="173"/>
      <c r="E29" s="173"/>
      <c r="F29" s="180" t="n">
        <f aca="false">SUM(F21:F28)</f>
        <v>2450000</v>
      </c>
      <c r="G29" s="173"/>
      <c r="H29" s="173"/>
      <c r="I29" s="189" t="n">
        <f aca="false">SUM(I21:I28)</f>
        <v>-632900</v>
      </c>
      <c r="J29" s="189" t="n">
        <f aca="false">SUM(J21:J28)</f>
        <v>-632900</v>
      </c>
      <c r="K29" s="189" t="n">
        <f aca="false">SUM(K21:K28)</f>
        <v>0</v>
      </c>
    </row>
    <row r="30" customFormat="false" ht="12.75" hidden="false" customHeight="false" outlineLevel="0" collapsed="false">
      <c r="A30" s="173"/>
      <c r="B30" s="173"/>
      <c r="C30" s="173"/>
      <c r="D30" s="173"/>
      <c r="E30" s="173"/>
      <c r="F30" s="173"/>
      <c r="G30" s="173"/>
      <c r="H30" s="173"/>
      <c r="I30" s="173"/>
      <c r="J30" s="179"/>
      <c r="K30" s="179"/>
    </row>
    <row r="31" customFormat="false" ht="13.5" hidden="false" customHeight="false" outlineLevel="0" collapsed="false">
      <c r="A31" s="173"/>
      <c r="B31" s="173"/>
      <c r="C31" s="173"/>
      <c r="D31" s="173"/>
      <c r="E31" s="173"/>
      <c r="F31" s="190" t="n">
        <f aca="false">+F29+F17</f>
        <v>0</v>
      </c>
      <c r="G31" s="173"/>
      <c r="H31" s="173"/>
      <c r="I31" s="191" t="n">
        <f aca="false">+I29+I17</f>
        <v>261500</v>
      </c>
      <c r="J31" s="191" t="n">
        <f aca="false">+J29+J17</f>
        <v>261500</v>
      </c>
      <c r="K31" s="191" t="n">
        <f aca="false">+K29+K17</f>
        <v>0</v>
      </c>
    </row>
    <row r="32" customFormat="false" ht="13.5" hidden="false" customHeight="false" outlineLevel="0" collapsed="false">
      <c r="A32" s="192"/>
      <c r="B32" s="192"/>
      <c r="C32" s="192"/>
      <c r="D32" s="192"/>
      <c r="E32" s="192"/>
      <c r="F32" s="192"/>
      <c r="G32" s="192"/>
      <c r="H32" s="192"/>
      <c r="I32" s="192"/>
      <c r="J32" s="193"/>
      <c r="K32" s="193"/>
    </row>
    <row r="34" customFormat="false" ht="12.75" hidden="false" customHeight="false" outlineLevel="0" collapsed="false">
      <c r="A34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157" t="s">
        <v>126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143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58"/>
      <c r="B4" s="158"/>
      <c r="C4" s="158"/>
      <c r="D4" s="158"/>
      <c r="E4" s="158"/>
      <c r="F4" s="158"/>
      <c r="G4" s="158"/>
      <c r="H4" s="158"/>
      <c r="I4" s="158"/>
      <c r="J4" s="159"/>
      <c r="K4" s="159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140</v>
      </c>
      <c r="E6" s="161"/>
      <c r="F6" s="161" t="s">
        <v>130</v>
      </c>
      <c r="G6" s="161" t="s">
        <v>97</v>
      </c>
      <c r="H6" s="161" t="s">
        <v>31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132</v>
      </c>
      <c r="E7" s="164"/>
      <c r="F7" s="164" t="s">
        <v>133</v>
      </c>
      <c r="G7" s="164" t="s">
        <v>17</v>
      </c>
      <c r="H7" s="164" t="s">
        <v>141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8" t="s">
        <v>17</v>
      </c>
      <c r="E8" s="167"/>
      <c r="F8" s="167"/>
      <c r="G8" s="169" t="s">
        <v>135</v>
      </c>
      <c r="H8" s="170" t="s">
        <v>17</v>
      </c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36892</v>
      </c>
      <c r="B9" s="173"/>
      <c r="C9" s="174" t="s">
        <v>50</v>
      </c>
      <c r="D9" s="175" t="n">
        <v>3.585</v>
      </c>
      <c r="E9" s="173"/>
      <c r="F9" s="176" t="n">
        <f aca="false">-5000*31</f>
        <v>-155000</v>
      </c>
      <c r="G9" s="175"/>
      <c r="H9" s="175" t="n">
        <v>9.81</v>
      </c>
      <c r="I9" s="177" t="n">
        <f aca="false">SUM(D9-H9)*F9</f>
        <v>964875</v>
      </c>
      <c r="J9" s="178" t="n">
        <f aca="false">+I9</f>
        <v>964875</v>
      </c>
      <c r="K9" s="178"/>
    </row>
    <row r="10" customFormat="false" ht="12.75" hidden="false" customHeight="false" outlineLevel="0" collapsed="false">
      <c r="A10" s="172" t="n">
        <v>36923</v>
      </c>
      <c r="B10" s="173"/>
      <c r="C10" s="174" t="s">
        <v>50</v>
      </c>
      <c r="D10" s="175" t="n">
        <v>3.585</v>
      </c>
      <c r="E10" s="173"/>
      <c r="F10" s="176" t="n">
        <f aca="false">-5000*28</f>
        <v>-140000</v>
      </c>
      <c r="G10" s="175"/>
      <c r="H10" s="175" t="n">
        <f aca="false">+'[5]ELpaso SJ &amp; Prm'!$F49</f>
        <v>6.605</v>
      </c>
      <c r="I10" s="177" t="n">
        <f aca="false">SUM(D10-H10)*F10</f>
        <v>422800</v>
      </c>
      <c r="J10" s="178"/>
      <c r="K10" s="178" t="n">
        <f aca="false">+I10</f>
        <v>422800</v>
      </c>
    </row>
    <row r="11" customFormat="false" ht="12.75" hidden="false" customHeight="false" outlineLevel="0" collapsed="false">
      <c r="A11" s="172" t="n">
        <v>36951</v>
      </c>
      <c r="B11" s="173"/>
      <c r="C11" s="174" t="s">
        <v>50</v>
      </c>
      <c r="D11" s="175" t="n">
        <v>3.585</v>
      </c>
      <c r="E11" s="173"/>
      <c r="F11" s="176" t="n">
        <f aca="false">-5000*31</f>
        <v>-155000</v>
      </c>
      <c r="G11" s="175"/>
      <c r="H11" s="175" t="n">
        <f aca="false">+'[5]ELpaso SJ &amp; Prm'!$F50</f>
        <v>5.832</v>
      </c>
      <c r="I11" s="177" t="n">
        <f aca="false">SUM(D11-H11)*F11</f>
        <v>348285</v>
      </c>
      <c r="J11" s="178"/>
      <c r="K11" s="178" t="n">
        <f aca="false">+I11</f>
        <v>348285</v>
      </c>
    </row>
    <row r="12" customFormat="false" ht="12.75" hidden="false" customHeight="false" outlineLevel="0" collapsed="false">
      <c r="A12" s="172" t="n">
        <v>36982</v>
      </c>
      <c r="B12" s="173"/>
      <c r="C12" s="174" t="s">
        <v>50</v>
      </c>
      <c r="D12" s="175" t="n">
        <v>3.585</v>
      </c>
      <c r="E12" s="173"/>
      <c r="F12" s="176" t="n">
        <f aca="false">-5000*30</f>
        <v>-150000</v>
      </c>
      <c r="G12" s="175"/>
      <c r="H12" s="175" t="n">
        <f aca="false">+'[5]ELpaso SJ &amp; Prm'!$F51</f>
        <v>5.3</v>
      </c>
      <c r="I12" s="177" t="n">
        <f aca="false">SUM(D12-H12)*F12</f>
        <v>257250</v>
      </c>
      <c r="J12" s="178"/>
      <c r="K12" s="178" t="n">
        <f aca="false">+I12</f>
        <v>257250</v>
      </c>
    </row>
    <row r="13" customFormat="false" ht="12.75" hidden="false" customHeight="false" outlineLevel="0" collapsed="false">
      <c r="A13" s="172" t="n">
        <v>37012</v>
      </c>
      <c r="B13" s="173"/>
      <c r="C13" s="174" t="s">
        <v>50</v>
      </c>
      <c r="D13" s="175" t="n">
        <v>3.585</v>
      </c>
      <c r="E13" s="173"/>
      <c r="F13" s="176" t="n">
        <f aca="false">-5000*31</f>
        <v>-155000</v>
      </c>
      <c r="G13" s="173"/>
      <c r="H13" s="175" t="n">
        <f aca="false">+'[5]ELpaso SJ &amp; Prm'!$F52</f>
        <v>5.16</v>
      </c>
      <c r="I13" s="177" t="n">
        <f aca="false">SUM(D13-H13)*F13</f>
        <v>244125</v>
      </c>
      <c r="J13" s="179"/>
      <c r="K13" s="178" t="n">
        <f aca="false">+I13</f>
        <v>244125</v>
      </c>
    </row>
    <row r="14" customFormat="false" ht="12.75" hidden="false" customHeight="false" outlineLevel="0" collapsed="false">
      <c r="A14" s="172" t="n">
        <v>37043</v>
      </c>
      <c r="B14" s="173"/>
      <c r="C14" s="174" t="s">
        <v>50</v>
      </c>
      <c r="D14" s="175" t="n">
        <v>3.585</v>
      </c>
      <c r="E14" s="173"/>
      <c r="F14" s="176" t="n">
        <f aca="false">-5000*30</f>
        <v>-150000</v>
      </c>
      <c r="G14" s="173"/>
      <c r="H14" s="175" t="n">
        <f aca="false">+'[5]ELpaso SJ &amp; Prm'!$F53</f>
        <v>5.18</v>
      </c>
      <c r="I14" s="177" t="n">
        <f aca="false">SUM(D14-H14)*F14</f>
        <v>239250</v>
      </c>
      <c r="J14" s="179"/>
      <c r="K14" s="178" t="n">
        <f aca="false">+I14</f>
        <v>239250</v>
      </c>
    </row>
    <row r="15" customFormat="false" ht="12.75" hidden="false" customHeight="false" outlineLevel="0" collapsed="false">
      <c r="A15" s="172" t="n">
        <v>37073</v>
      </c>
      <c r="B15" s="173"/>
      <c r="C15" s="174" t="s">
        <v>50</v>
      </c>
      <c r="D15" s="175" t="n">
        <v>3.585</v>
      </c>
      <c r="E15" s="173"/>
      <c r="F15" s="176" t="n">
        <f aca="false">-5000*31</f>
        <v>-155000</v>
      </c>
      <c r="G15" s="173"/>
      <c r="H15" s="175" t="n">
        <f aca="false">+'[5]ELpaso SJ &amp; Prm'!$F54</f>
        <v>5.37</v>
      </c>
      <c r="I15" s="177" t="n">
        <f aca="false">SUM(D15-H15)*F15</f>
        <v>276675</v>
      </c>
      <c r="J15" s="179"/>
      <c r="K15" s="178" t="n">
        <f aca="false">+I15</f>
        <v>276675</v>
      </c>
    </row>
    <row r="16" customFormat="false" ht="12.75" hidden="false" customHeight="false" outlineLevel="0" collapsed="false">
      <c r="A16" s="172" t="n">
        <v>37104</v>
      </c>
      <c r="B16" s="173"/>
      <c r="C16" s="174" t="s">
        <v>50</v>
      </c>
      <c r="D16" s="175" t="n">
        <v>3.585</v>
      </c>
      <c r="E16" s="173"/>
      <c r="F16" s="176" t="n">
        <f aca="false">-5000*31</f>
        <v>-155000</v>
      </c>
      <c r="G16" s="173"/>
      <c r="H16" s="175" t="n">
        <f aca="false">+'[5]ELpaso SJ &amp; Prm'!$F55</f>
        <v>5.38</v>
      </c>
      <c r="I16" s="177" t="n">
        <f aca="false">SUM(D16-H16)*F16</f>
        <v>278225</v>
      </c>
      <c r="J16" s="179"/>
      <c r="K16" s="178" t="n">
        <f aca="false">+I16</f>
        <v>278225</v>
      </c>
    </row>
    <row r="17" customFormat="false" ht="12.75" hidden="false" customHeight="false" outlineLevel="0" collapsed="false">
      <c r="A17" s="172" t="n">
        <v>37135</v>
      </c>
      <c r="B17" s="173"/>
      <c r="C17" s="174" t="s">
        <v>50</v>
      </c>
      <c r="D17" s="175" t="n">
        <v>3.585</v>
      </c>
      <c r="E17" s="173"/>
      <c r="F17" s="176" t="n">
        <f aca="false">-5000*30</f>
        <v>-150000</v>
      </c>
      <c r="G17" s="173"/>
      <c r="H17" s="175" t="n">
        <f aca="false">+'[5]ELpaso SJ &amp; Prm'!$F56</f>
        <v>5.35</v>
      </c>
      <c r="I17" s="177" t="n">
        <f aca="false">SUM(D17-H17)*F17</f>
        <v>264750</v>
      </c>
      <c r="J17" s="179"/>
      <c r="K17" s="178" t="n">
        <f aca="false">+I17</f>
        <v>264750</v>
      </c>
    </row>
    <row r="18" customFormat="false" ht="12.75" hidden="false" customHeight="false" outlineLevel="0" collapsed="false">
      <c r="A18" s="172" t="n">
        <v>37165</v>
      </c>
      <c r="B18" s="173"/>
      <c r="C18" s="174" t="s">
        <v>50</v>
      </c>
      <c r="D18" s="175" t="n">
        <v>3.585</v>
      </c>
      <c r="E18" s="173"/>
      <c r="F18" s="176" t="n">
        <f aca="false">-5000*31</f>
        <v>-155000</v>
      </c>
      <c r="G18" s="173"/>
      <c r="H18" s="175" t="n">
        <f aca="false">+'[5]ELpaso SJ &amp; Prm'!$F57</f>
        <v>5.325</v>
      </c>
      <c r="I18" s="177" t="n">
        <f aca="false">SUM(D18-H18)*F18</f>
        <v>269700</v>
      </c>
      <c r="J18" s="179"/>
      <c r="K18" s="178" t="n">
        <f aca="false">+I18</f>
        <v>269700</v>
      </c>
    </row>
    <row r="19" customFormat="false" ht="12.75" hidden="false" customHeight="false" outlineLevel="0" collapsed="false">
      <c r="A19" s="172" t="n">
        <v>37196</v>
      </c>
      <c r="B19" s="173"/>
      <c r="C19" s="174" t="s">
        <v>50</v>
      </c>
      <c r="D19" s="175" t="n">
        <v>3.585</v>
      </c>
      <c r="E19" s="173"/>
      <c r="F19" s="176" t="n">
        <f aca="false">-5000*30</f>
        <v>-150000</v>
      </c>
      <c r="G19" s="173"/>
      <c r="H19" s="175" t="n">
        <f aca="false">+'[5]ELpaso SJ &amp; Prm'!$F58</f>
        <v>5.375</v>
      </c>
      <c r="I19" s="177" t="n">
        <f aca="false">SUM(D19-H19)*F19</f>
        <v>268500</v>
      </c>
      <c r="J19" s="179"/>
      <c r="K19" s="178" t="n">
        <f aca="false">+I19</f>
        <v>268500</v>
      </c>
    </row>
    <row r="20" customFormat="false" ht="12.75" hidden="false" customHeight="false" outlineLevel="0" collapsed="false">
      <c r="A20" s="172" t="n">
        <v>37226</v>
      </c>
      <c r="B20" s="173"/>
      <c r="C20" s="174" t="s">
        <v>50</v>
      </c>
      <c r="D20" s="175" t="n">
        <v>3.585</v>
      </c>
      <c r="E20" s="173"/>
      <c r="F20" s="176" t="n">
        <f aca="false">-5000*31</f>
        <v>-155000</v>
      </c>
      <c r="G20" s="173"/>
      <c r="H20" s="175" t="n">
        <f aca="false">+'[5]ELpaso SJ &amp; Prm'!$F59</f>
        <v>5.51</v>
      </c>
      <c r="I20" s="177" t="n">
        <f aca="false">SUM(D20-H20)*F20</f>
        <v>298375</v>
      </c>
      <c r="J20" s="179"/>
      <c r="K20" s="178" t="n">
        <f aca="false">+I20</f>
        <v>298375</v>
      </c>
    </row>
    <row r="21" customFormat="false" ht="12.75" hidden="false" customHeight="false" outlineLevel="0" collapsed="false">
      <c r="A21" s="172"/>
      <c r="B21" s="173"/>
      <c r="C21" s="174"/>
      <c r="D21" s="175"/>
      <c r="E21" s="173"/>
      <c r="F21" s="176"/>
      <c r="G21" s="173"/>
      <c r="H21" s="175"/>
      <c r="I21" s="177"/>
      <c r="J21" s="179"/>
      <c r="K21" s="178"/>
    </row>
    <row r="22" customFormat="false" ht="12.75" hidden="false" customHeight="false" outlineLevel="0" collapsed="false">
      <c r="A22" s="173"/>
      <c r="B22" s="173"/>
      <c r="C22" s="173"/>
      <c r="D22" s="173"/>
      <c r="E22" s="173"/>
      <c r="F22" s="180" t="n">
        <f aca="false">SUM(F9:F20)</f>
        <v>-1825000</v>
      </c>
      <c r="G22" s="173"/>
      <c r="H22" s="173"/>
      <c r="I22" s="181" t="n">
        <f aca="false">SUM(I9:I20)</f>
        <v>4132810</v>
      </c>
      <c r="J22" s="181" t="n">
        <f aca="false">SUM(J9:J20)</f>
        <v>964875</v>
      </c>
      <c r="K22" s="181" t="n">
        <f aca="false">SUM(K9:K20)</f>
        <v>3167935</v>
      </c>
    </row>
    <row r="23" customFormat="false" ht="12.75" hidden="false" customHeight="false" outlineLevel="0" collapsed="false">
      <c r="A23" s="173"/>
      <c r="B23" s="173"/>
      <c r="C23" s="173"/>
      <c r="D23" s="173"/>
      <c r="E23" s="173"/>
      <c r="F23" s="182"/>
      <c r="G23" s="173"/>
      <c r="H23" s="173"/>
      <c r="I23" s="183"/>
      <c r="J23" s="184"/>
      <c r="K23" s="184"/>
    </row>
    <row r="24" customFormat="false" ht="12.75" hidden="false" customHeight="false" outlineLevel="0" collapsed="false">
      <c r="A24" s="173"/>
      <c r="B24" s="173"/>
      <c r="C24" s="173"/>
      <c r="D24" s="173"/>
      <c r="E24" s="173"/>
      <c r="F24" s="173"/>
      <c r="G24" s="185" t="s">
        <v>135</v>
      </c>
      <c r="H24" s="186"/>
      <c r="I24" s="173"/>
      <c r="J24" s="179"/>
      <c r="K24" s="179"/>
    </row>
    <row r="25" customFormat="false" ht="12.75" hidden="false" customHeight="false" outlineLevel="0" collapsed="false">
      <c r="A25" s="173"/>
      <c r="B25" s="173"/>
      <c r="C25" s="173"/>
      <c r="D25" s="175"/>
      <c r="E25" s="173"/>
      <c r="F25" s="173"/>
      <c r="G25" s="187"/>
      <c r="H25" s="186"/>
      <c r="I25" s="173"/>
      <c r="J25" s="179"/>
      <c r="K25" s="179"/>
    </row>
    <row r="26" customFormat="false" ht="12.75" hidden="false" customHeight="false" outlineLevel="0" collapsed="false">
      <c r="A26" s="172" t="n">
        <v>36892</v>
      </c>
      <c r="B26" s="173"/>
      <c r="C26" s="174" t="s">
        <v>137</v>
      </c>
      <c r="D26" s="175" t="n">
        <v>3.585</v>
      </c>
      <c r="E26" s="173"/>
      <c r="F26" s="176" t="n">
        <f aca="false">5000*31</f>
        <v>155000</v>
      </c>
      <c r="G26" s="175"/>
      <c r="H26" s="175" t="n">
        <v>9.81</v>
      </c>
      <c r="I26" s="177" t="n">
        <f aca="false">(+D26-H26)*F26</f>
        <v>-964875</v>
      </c>
      <c r="J26" s="178" t="n">
        <f aca="false">+I26</f>
        <v>-964875</v>
      </c>
      <c r="K26" s="178"/>
    </row>
    <row r="27" customFormat="false" ht="12.75" hidden="false" customHeight="false" outlineLevel="0" collapsed="false">
      <c r="A27" s="172" t="n">
        <v>36923</v>
      </c>
      <c r="B27" s="173"/>
      <c r="C27" s="174" t="s">
        <v>137</v>
      </c>
      <c r="D27" s="175" t="n">
        <v>3.585</v>
      </c>
      <c r="E27" s="173"/>
      <c r="F27" s="176" t="n">
        <f aca="false">5000*28</f>
        <v>140000</v>
      </c>
      <c r="G27" s="175"/>
      <c r="H27" s="175" t="n">
        <f aca="false">+'[5]ELpaso SJ &amp; Prm'!$F49</f>
        <v>6.605</v>
      </c>
      <c r="I27" s="177" t="n">
        <f aca="false">(+D27-H27)*F27</f>
        <v>-422800</v>
      </c>
      <c r="J27" s="178"/>
      <c r="K27" s="178" t="n">
        <f aca="false">+I27</f>
        <v>-422800</v>
      </c>
    </row>
    <row r="28" customFormat="false" ht="12.75" hidden="false" customHeight="false" outlineLevel="0" collapsed="false">
      <c r="A28" s="172" t="n">
        <v>36951</v>
      </c>
      <c r="B28" s="173"/>
      <c r="C28" s="174" t="s">
        <v>137</v>
      </c>
      <c r="D28" s="175" t="n">
        <v>3.585</v>
      </c>
      <c r="E28" s="173"/>
      <c r="F28" s="176" t="n">
        <f aca="false">5000*31</f>
        <v>155000</v>
      </c>
      <c r="G28" s="175"/>
      <c r="H28" s="175" t="n">
        <f aca="false">+'[5]ELpaso SJ &amp; Prm'!$F50</f>
        <v>5.832</v>
      </c>
      <c r="I28" s="177" t="n">
        <f aca="false">(+D28-H28)*F28</f>
        <v>-348285</v>
      </c>
      <c r="J28" s="178"/>
      <c r="K28" s="178" t="n">
        <f aca="false">+I28</f>
        <v>-348285</v>
      </c>
    </row>
    <row r="29" customFormat="false" ht="12.75" hidden="false" customHeight="false" outlineLevel="0" collapsed="false">
      <c r="A29" s="172" t="n">
        <v>36982</v>
      </c>
      <c r="B29" s="173"/>
      <c r="C29" s="174" t="s">
        <v>137</v>
      </c>
      <c r="D29" s="175" t="n">
        <v>3.585</v>
      </c>
      <c r="E29" s="173"/>
      <c r="F29" s="176" t="n">
        <f aca="false">5000*30</f>
        <v>150000</v>
      </c>
      <c r="G29" s="175"/>
      <c r="H29" s="175" t="n">
        <f aca="false">+'[5]ELpaso SJ &amp; Prm'!$F51</f>
        <v>5.3</v>
      </c>
      <c r="I29" s="177" t="n">
        <f aca="false">(+D29-H29)*F29</f>
        <v>-257250</v>
      </c>
      <c r="J29" s="178"/>
      <c r="K29" s="178" t="n">
        <f aca="false">+I29</f>
        <v>-257250</v>
      </c>
    </row>
    <row r="30" customFormat="false" ht="12.75" hidden="false" customHeight="false" outlineLevel="0" collapsed="false">
      <c r="A30" s="172" t="n">
        <v>37012</v>
      </c>
      <c r="B30" s="173"/>
      <c r="C30" s="174" t="s">
        <v>137</v>
      </c>
      <c r="D30" s="175" t="n">
        <v>3.585</v>
      </c>
      <c r="E30" s="173"/>
      <c r="F30" s="176" t="n">
        <f aca="false">5000*31</f>
        <v>155000</v>
      </c>
      <c r="G30" s="173"/>
      <c r="H30" s="175" t="n">
        <f aca="false">+'[5]ELpaso SJ &amp; Prm'!$F52</f>
        <v>5.16</v>
      </c>
      <c r="I30" s="177" t="n">
        <f aca="false">(+D30-H30)*F30</f>
        <v>-244125</v>
      </c>
      <c r="J30" s="179"/>
      <c r="K30" s="178" t="n">
        <f aca="false">+I30</f>
        <v>-244125</v>
      </c>
    </row>
    <row r="31" customFormat="false" ht="12.75" hidden="false" customHeight="false" outlineLevel="0" collapsed="false">
      <c r="A31" s="172" t="n">
        <v>37043</v>
      </c>
      <c r="B31" s="173"/>
      <c r="C31" s="174" t="s">
        <v>137</v>
      </c>
      <c r="D31" s="175" t="n">
        <v>3.585</v>
      </c>
      <c r="E31" s="173"/>
      <c r="F31" s="176" t="n">
        <f aca="false">5000*30</f>
        <v>150000</v>
      </c>
      <c r="G31" s="173"/>
      <c r="H31" s="175" t="n">
        <f aca="false">+'[5]ELpaso SJ &amp; Prm'!$F53</f>
        <v>5.18</v>
      </c>
      <c r="I31" s="177" t="n">
        <f aca="false">(+D31-H31)*F31</f>
        <v>-239250</v>
      </c>
      <c r="J31" s="179"/>
      <c r="K31" s="178" t="n">
        <f aca="false">+I31</f>
        <v>-239250</v>
      </c>
    </row>
    <row r="32" customFormat="false" ht="12.75" hidden="false" customHeight="false" outlineLevel="0" collapsed="false">
      <c r="A32" s="172" t="n">
        <v>37073</v>
      </c>
      <c r="B32" s="173"/>
      <c r="C32" s="174" t="s">
        <v>137</v>
      </c>
      <c r="D32" s="175" t="n">
        <v>3.585</v>
      </c>
      <c r="E32" s="173"/>
      <c r="F32" s="176" t="n">
        <f aca="false">5000*31</f>
        <v>155000</v>
      </c>
      <c r="G32" s="173"/>
      <c r="H32" s="175" t="n">
        <f aca="false">+'[5]ELpaso SJ &amp; Prm'!$F54</f>
        <v>5.37</v>
      </c>
      <c r="I32" s="177" t="n">
        <f aca="false">(+D32-H32)*F32</f>
        <v>-276675</v>
      </c>
      <c r="J32" s="179"/>
      <c r="K32" s="178" t="n">
        <f aca="false">+I32</f>
        <v>-276675</v>
      </c>
    </row>
    <row r="33" customFormat="false" ht="12.75" hidden="false" customHeight="false" outlineLevel="0" collapsed="false">
      <c r="A33" s="172" t="n">
        <v>37104</v>
      </c>
      <c r="B33" s="173"/>
      <c r="C33" s="174" t="s">
        <v>137</v>
      </c>
      <c r="D33" s="175" t="n">
        <v>3.585</v>
      </c>
      <c r="E33" s="173"/>
      <c r="F33" s="176" t="n">
        <f aca="false">5000*31</f>
        <v>155000</v>
      </c>
      <c r="G33" s="173"/>
      <c r="H33" s="175" t="n">
        <f aca="false">+'[5]ELpaso SJ &amp; Prm'!$F55</f>
        <v>5.38</v>
      </c>
      <c r="I33" s="177" t="n">
        <f aca="false">(+D33-H33)*F33</f>
        <v>-278225</v>
      </c>
      <c r="J33" s="179"/>
      <c r="K33" s="178" t="n">
        <f aca="false">+I33</f>
        <v>-278225</v>
      </c>
    </row>
    <row r="34" customFormat="false" ht="12.75" hidden="false" customHeight="false" outlineLevel="0" collapsed="false">
      <c r="A34" s="172" t="n">
        <v>37135</v>
      </c>
      <c r="B34" s="173"/>
      <c r="C34" s="174" t="s">
        <v>137</v>
      </c>
      <c r="D34" s="175" t="n">
        <v>3.585</v>
      </c>
      <c r="E34" s="173"/>
      <c r="F34" s="176" t="n">
        <f aca="false">5000*30</f>
        <v>150000</v>
      </c>
      <c r="G34" s="173"/>
      <c r="H34" s="175" t="n">
        <f aca="false">+'[5]ELpaso SJ &amp; Prm'!$F56</f>
        <v>5.35</v>
      </c>
      <c r="I34" s="177" t="n">
        <f aca="false">(+D34-H34)*F34</f>
        <v>-264750</v>
      </c>
      <c r="J34" s="179"/>
      <c r="K34" s="178" t="n">
        <f aca="false">+I34</f>
        <v>-264750</v>
      </c>
    </row>
    <row r="35" customFormat="false" ht="12.75" hidden="false" customHeight="false" outlineLevel="0" collapsed="false">
      <c r="A35" s="172" t="n">
        <v>37165</v>
      </c>
      <c r="B35" s="173"/>
      <c r="C35" s="174" t="s">
        <v>137</v>
      </c>
      <c r="D35" s="175" t="n">
        <v>3.585</v>
      </c>
      <c r="E35" s="173"/>
      <c r="F35" s="176" t="n">
        <f aca="false">5000*31</f>
        <v>155000</v>
      </c>
      <c r="G35" s="173"/>
      <c r="H35" s="175" t="n">
        <f aca="false">+'[5]ELpaso SJ &amp; Prm'!$F57</f>
        <v>5.325</v>
      </c>
      <c r="I35" s="177" t="n">
        <f aca="false">(+D35-H35)*F35</f>
        <v>-269700</v>
      </c>
      <c r="J35" s="179"/>
      <c r="K35" s="178" t="n">
        <f aca="false">+I35</f>
        <v>-269700</v>
      </c>
    </row>
    <row r="36" customFormat="false" ht="12.75" hidden="false" customHeight="false" outlineLevel="0" collapsed="false">
      <c r="A36" s="172" t="n">
        <v>37196</v>
      </c>
      <c r="B36" s="173"/>
      <c r="C36" s="174" t="s">
        <v>137</v>
      </c>
      <c r="D36" s="175" t="n">
        <v>3.585</v>
      </c>
      <c r="E36" s="173"/>
      <c r="F36" s="176" t="n">
        <f aca="false">5000*30</f>
        <v>150000</v>
      </c>
      <c r="G36" s="173"/>
      <c r="H36" s="175" t="n">
        <f aca="false">+'[5]ELpaso SJ &amp; Prm'!$F58</f>
        <v>5.375</v>
      </c>
      <c r="I36" s="177" t="n">
        <f aca="false">(+D36-H36)*F36</f>
        <v>-268500</v>
      </c>
      <c r="J36" s="179"/>
      <c r="K36" s="178" t="n">
        <f aca="false">+I36</f>
        <v>-268500</v>
      </c>
    </row>
    <row r="37" customFormat="false" ht="12.75" hidden="false" customHeight="false" outlineLevel="0" collapsed="false">
      <c r="A37" s="172" t="n">
        <v>37226</v>
      </c>
      <c r="B37" s="173"/>
      <c r="C37" s="174" t="s">
        <v>137</v>
      </c>
      <c r="D37" s="175" t="n">
        <v>3.585</v>
      </c>
      <c r="E37" s="173"/>
      <c r="F37" s="176" t="n">
        <f aca="false">5000*31</f>
        <v>155000</v>
      </c>
      <c r="G37" s="173"/>
      <c r="H37" s="175" t="n">
        <f aca="false">+'[5]ELpaso SJ &amp; Prm'!$F59</f>
        <v>5.51</v>
      </c>
      <c r="I37" s="177" t="n">
        <f aca="false">(+D37-H37)*F37</f>
        <v>-298375</v>
      </c>
      <c r="J37" s="179"/>
      <c r="K37" s="178" t="n">
        <f aca="false">+I37</f>
        <v>-298375</v>
      </c>
    </row>
    <row r="38" customFormat="false" ht="12.75" hidden="false" customHeight="false" outlineLevel="0" collapsed="false">
      <c r="A38" s="172"/>
      <c r="B38" s="173"/>
      <c r="C38" s="174"/>
      <c r="D38" s="175"/>
      <c r="E38" s="173"/>
      <c r="F38" s="176"/>
      <c r="G38" s="173"/>
      <c r="H38" s="175"/>
      <c r="I38" s="188"/>
      <c r="J38" s="179"/>
      <c r="K38" s="178"/>
    </row>
    <row r="39" customFormat="false" ht="12.75" hidden="false" customHeight="false" outlineLevel="0" collapsed="false">
      <c r="A39" s="173"/>
      <c r="B39" s="173"/>
      <c r="C39" s="173"/>
      <c r="D39" s="173"/>
      <c r="E39" s="173"/>
      <c r="F39" s="180" t="n">
        <f aca="false">SUM(F26:F38)</f>
        <v>1825000</v>
      </c>
      <c r="G39" s="173"/>
      <c r="H39" s="173"/>
      <c r="I39" s="189" t="n">
        <f aca="false">SUM(I26:I38)</f>
        <v>-4132810</v>
      </c>
      <c r="J39" s="189" t="n">
        <f aca="false">SUM(J26:J38)</f>
        <v>-964875</v>
      </c>
      <c r="K39" s="189" t="n">
        <f aca="false">SUM(K26:K38)</f>
        <v>-3167935</v>
      </c>
    </row>
    <row r="40" customFormat="false" ht="12.75" hidden="false" customHeight="false" outlineLevel="0" collapsed="false">
      <c r="A40" s="173"/>
      <c r="B40" s="173"/>
      <c r="C40" s="173"/>
      <c r="D40" s="173"/>
      <c r="E40" s="173"/>
      <c r="F40" s="173"/>
      <c r="G40" s="173"/>
      <c r="H40" s="173"/>
      <c r="I40" s="173"/>
      <c r="J40" s="179"/>
      <c r="K40" s="179"/>
    </row>
    <row r="41" customFormat="false" ht="13.5" hidden="false" customHeight="false" outlineLevel="0" collapsed="false">
      <c r="A41" s="173"/>
      <c r="B41" s="173"/>
      <c r="C41" s="173"/>
      <c r="D41" s="173"/>
      <c r="E41" s="173"/>
      <c r="F41" s="190" t="n">
        <f aca="false">+F39+F22</f>
        <v>0</v>
      </c>
      <c r="G41" s="173"/>
      <c r="H41" s="173"/>
      <c r="I41" s="191" t="n">
        <f aca="false">+I39+I22</f>
        <v>0</v>
      </c>
      <c r="J41" s="191" t="n">
        <f aca="false">+J39+J22</f>
        <v>0</v>
      </c>
      <c r="K41" s="191" t="n">
        <f aca="false">+K39+K22</f>
        <v>0</v>
      </c>
    </row>
    <row r="42" customFormat="false" ht="13.5" hidden="false" customHeight="false" outlineLevel="0" collapsed="false">
      <c r="A42" s="192"/>
      <c r="B42" s="192"/>
      <c r="C42" s="192"/>
      <c r="D42" s="192"/>
      <c r="E42" s="192"/>
      <c r="F42" s="192"/>
      <c r="G42" s="192"/>
      <c r="H42" s="192"/>
      <c r="I42" s="192"/>
      <c r="J42" s="193"/>
      <c r="K42" s="193"/>
    </row>
    <row r="44" customFormat="false" ht="12.75" hidden="false" customHeight="false" outlineLevel="0" collapsed="false">
      <c r="A44" s="5" t="s">
        <v>138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5.7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0.71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127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145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0" t="s">
        <v>129</v>
      </c>
      <c r="B6" s="161" t="s">
        <v>6</v>
      </c>
      <c r="C6" s="161" t="s">
        <v>6</v>
      </c>
      <c r="D6" s="161" t="s">
        <v>132</v>
      </c>
      <c r="E6" s="161"/>
      <c r="F6" s="161" t="s">
        <v>130</v>
      </c>
      <c r="G6" s="161" t="s">
        <v>97</v>
      </c>
      <c r="H6" s="161" t="s">
        <v>21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17</v>
      </c>
      <c r="E7" s="164"/>
      <c r="F7" s="164" t="s">
        <v>133</v>
      </c>
      <c r="G7" s="164" t="s">
        <v>17</v>
      </c>
      <c r="H7" s="164" t="s">
        <v>17</v>
      </c>
      <c r="I7" s="164" t="s">
        <v>23</v>
      </c>
      <c r="J7" s="164" t="s">
        <v>24</v>
      </c>
      <c r="K7" s="165" t="s">
        <v>25</v>
      </c>
    </row>
    <row r="8" customFormat="false" ht="12.75" hidden="false" customHeight="false" outlineLevel="0" collapsed="false">
      <c r="A8" s="166"/>
      <c r="B8" s="167"/>
      <c r="C8" s="167"/>
      <c r="D8" s="167"/>
      <c r="E8" s="167"/>
      <c r="F8" s="167"/>
      <c r="G8" s="169" t="s">
        <v>146</v>
      </c>
      <c r="H8" s="170"/>
      <c r="I8" s="170" t="s">
        <v>136</v>
      </c>
      <c r="J8" s="170" t="s">
        <v>136</v>
      </c>
      <c r="K8" s="171" t="s">
        <v>136</v>
      </c>
    </row>
    <row r="9" customFormat="false" ht="12.75" hidden="false" customHeight="false" outlineLevel="0" collapsed="false">
      <c r="A9" s="172" t="n">
        <v>37408</v>
      </c>
      <c r="B9" s="173"/>
      <c r="C9" s="174" t="s">
        <v>50</v>
      </c>
      <c r="D9" s="175" t="n">
        <v>3.3</v>
      </c>
      <c r="E9" s="173"/>
      <c r="F9" s="176" t="n">
        <v>-2000000</v>
      </c>
      <c r="G9" s="175"/>
      <c r="H9" s="175" t="n">
        <f aca="false">+[5]Elpaso!$F9</f>
        <v>4.455</v>
      </c>
      <c r="I9" s="177" t="n">
        <f aca="false">(-H9+D9)*F9</f>
        <v>2310000</v>
      </c>
      <c r="J9" s="178"/>
      <c r="K9" s="178" t="n">
        <f aca="false">+I9</f>
        <v>2310000</v>
      </c>
    </row>
    <row r="10" customFormat="false" ht="12.75" hidden="false" customHeight="false" outlineLevel="0" collapsed="false">
      <c r="A10" s="172" t="n">
        <v>37438</v>
      </c>
      <c r="B10" s="173"/>
      <c r="C10" s="174" t="s">
        <v>50</v>
      </c>
      <c r="D10" s="175" t="n">
        <v>3.3</v>
      </c>
      <c r="E10" s="173"/>
      <c r="F10" s="176" t="n">
        <v>-3000000</v>
      </c>
      <c r="G10" s="175"/>
      <c r="H10" s="175" t="n">
        <f aca="false">+[5]Elpaso!$F10</f>
        <v>4.47</v>
      </c>
      <c r="I10" s="177" t="n">
        <f aca="false">(-H10+D10)*F10</f>
        <v>3510000</v>
      </c>
      <c r="J10" s="178"/>
      <c r="K10" s="178" t="n">
        <f aca="false">+I10</f>
        <v>3510000</v>
      </c>
    </row>
    <row r="11" customFormat="false" ht="12.75" hidden="false" customHeight="false" outlineLevel="0" collapsed="false">
      <c r="A11" s="172" t="n">
        <v>37469</v>
      </c>
      <c r="B11" s="173"/>
      <c r="C11" s="174" t="s">
        <v>50</v>
      </c>
      <c r="D11" s="175" t="n">
        <v>3.3</v>
      </c>
      <c r="E11" s="173"/>
      <c r="F11" s="176" t="n">
        <v>-3000000</v>
      </c>
      <c r="G11" s="173"/>
      <c r="H11" s="175" t="n">
        <f aca="false">+[5]Elpaso!$F11</f>
        <v>4.47</v>
      </c>
      <c r="I11" s="177" t="n">
        <f aca="false">(-H11+D11)*F11</f>
        <v>3510000</v>
      </c>
      <c r="J11" s="179"/>
      <c r="K11" s="178" t="n">
        <f aca="false">+I11</f>
        <v>3510000</v>
      </c>
    </row>
    <row r="12" customFormat="false" ht="12.75" hidden="false" customHeight="false" outlineLevel="0" collapsed="false">
      <c r="A12" s="172" t="n">
        <v>37500</v>
      </c>
      <c r="B12" s="173"/>
      <c r="C12" s="174" t="s">
        <v>50</v>
      </c>
      <c r="D12" s="175" t="n">
        <v>3.3</v>
      </c>
      <c r="E12" s="173"/>
      <c r="F12" s="176" t="n">
        <v>-3000000</v>
      </c>
      <c r="G12" s="173"/>
      <c r="H12" s="175" t="n">
        <f aca="false">+[5]Elpaso!$F12</f>
        <v>4.47</v>
      </c>
      <c r="I12" s="177" t="n">
        <f aca="false">(-H12+D12)*F12</f>
        <v>3510000</v>
      </c>
      <c r="J12" s="179"/>
      <c r="K12" s="178" t="n">
        <f aca="false">+I12</f>
        <v>3510000</v>
      </c>
    </row>
    <row r="13" customFormat="false" ht="12.75" hidden="false" customHeight="false" outlineLevel="0" collapsed="false">
      <c r="A13" s="172" t="n">
        <v>37530</v>
      </c>
      <c r="B13" s="173"/>
      <c r="C13" s="174" t="s">
        <v>50</v>
      </c>
      <c r="D13" s="175" t="n">
        <v>3.3</v>
      </c>
      <c r="E13" s="173"/>
      <c r="F13" s="176" t="n">
        <v>-4000000</v>
      </c>
      <c r="G13" s="173"/>
      <c r="H13" s="175" t="n">
        <f aca="false">+[5]Elpaso!$F13</f>
        <v>4.485</v>
      </c>
      <c r="I13" s="177" t="n">
        <f aca="false">(-H13+D13)*F13</f>
        <v>4740000</v>
      </c>
      <c r="J13" s="179"/>
      <c r="K13" s="178" t="n">
        <f aca="false">+I13</f>
        <v>4740000</v>
      </c>
    </row>
    <row r="14" customFormat="false" ht="12.75" hidden="false" customHeight="false" outlineLevel="0" collapsed="false">
      <c r="A14" s="172"/>
      <c r="B14" s="173"/>
      <c r="C14" s="174"/>
      <c r="D14" s="175"/>
      <c r="E14" s="173"/>
      <c r="F14" s="196"/>
      <c r="G14" s="173"/>
      <c r="H14" s="175"/>
      <c r="I14" s="197"/>
      <c r="J14" s="179"/>
      <c r="K14" s="198"/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 t="n">
        <f aca="false">SUM(F9:F14)</f>
        <v>-15000000</v>
      </c>
      <c r="G15" s="173"/>
      <c r="H15" s="175"/>
      <c r="I15" s="177" t="n">
        <f aca="false">SUM(I9:I14)</f>
        <v>17580000</v>
      </c>
      <c r="J15" s="179"/>
      <c r="K15" s="177" t="n">
        <f aca="false">SUM(K9:K14)</f>
        <v>17580000</v>
      </c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173"/>
      <c r="H16" s="175"/>
      <c r="I16" s="177"/>
      <c r="J16" s="179"/>
      <c r="K16" s="199"/>
    </row>
    <row r="17" customFormat="false" ht="12.75" hidden="false" customHeight="false" outlineLevel="0" collapsed="false">
      <c r="A17" s="172" t="n">
        <v>37408</v>
      </c>
      <c r="B17" s="173"/>
      <c r="C17" s="174" t="s">
        <v>147</v>
      </c>
      <c r="D17" s="175" t="n">
        <v>2.32</v>
      </c>
      <c r="E17" s="173"/>
      <c r="F17" s="176" t="n">
        <v>-2000000</v>
      </c>
      <c r="G17" s="173"/>
      <c r="H17" s="175" t="n">
        <f aca="false">+[5]Elpaso!$F9</f>
        <v>4.455</v>
      </c>
      <c r="I17" s="177" t="n">
        <f aca="false">(+H17-D17)*F17</f>
        <v>-4270000</v>
      </c>
      <c r="J17" s="179"/>
      <c r="K17" s="178" t="n">
        <f aca="false">+I17</f>
        <v>-4270000</v>
      </c>
    </row>
    <row r="18" customFormat="false" ht="12.75" hidden="false" customHeight="false" outlineLevel="0" collapsed="false">
      <c r="A18" s="172" t="n">
        <v>37438</v>
      </c>
      <c r="B18" s="173"/>
      <c r="C18" s="174" t="s">
        <v>147</v>
      </c>
      <c r="D18" s="175" t="n">
        <v>2.32</v>
      </c>
      <c r="E18" s="173"/>
      <c r="F18" s="176" t="n">
        <v>-3000000</v>
      </c>
      <c r="G18" s="173"/>
      <c r="H18" s="175" t="n">
        <f aca="false">+[5]Elpaso!$F10</f>
        <v>4.47</v>
      </c>
      <c r="I18" s="177" t="n">
        <f aca="false">(+H18-D18)*F18</f>
        <v>-6450000</v>
      </c>
      <c r="J18" s="179"/>
      <c r="K18" s="178" t="n">
        <f aca="false">+I18</f>
        <v>-6450000</v>
      </c>
    </row>
    <row r="19" customFormat="false" ht="12.75" hidden="false" customHeight="false" outlineLevel="0" collapsed="false">
      <c r="A19" s="172" t="n">
        <v>37469</v>
      </c>
      <c r="B19" s="173"/>
      <c r="C19" s="174" t="s">
        <v>147</v>
      </c>
      <c r="D19" s="175" t="n">
        <v>2.32</v>
      </c>
      <c r="E19" s="173"/>
      <c r="F19" s="176" t="n">
        <v>-3000000</v>
      </c>
      <c r="G19" s="173"/>
      <c r="H19" s="175" t="n">
        <f aca="false">+[5]Elpaso!$F11</f>
        <v>4.47</v>
      </c>
      <c r="I19" s="177" t="n">
        <f aca="false">(+H19-D19)*F19</f>
        <v>-6450000</v>
      </c>
      <c r="J19" s="179"/>
      <c r="K19" s="178" t="n">
        <f aca="false">+I19</f>
        <v>-6450000</v>
      </c>
    </row>
    <row r="20" customFormat="false" ht="12.75" hidden="false" customHeight="false" outlineLevel="0" collapsed="false">
      <c r="A20" s="172" t="n">
        <v>37500</v>
      </c>
      <c r="B20" s="173"/>
      <c r="C20" s="174" t="s">
        <v>147</v>
      </c>
      <c r="D20" s="175" t="n">
        <v>2.32</v>
      </c>
      <c r="E20" s="173"/>
      <c r="F20" s="176" t="n">
        <v>-3000000</v>
      </c>
      <c r="G20" s="173"/>
      <c r="H20" s="175" t="n">
        <f aca="false">+[5]Elpaso!$F12</f>
        <v>4.47</v>
      </c>
      <c r="I20" s="177" t="n">
        <f aca="false">(+H20-D20)*F20</f>
        <v>-6450000</v>
      </c>
      <c r="J20" s="179"/>
      <c r="K20" s="178" t="n">
        <f aca="false">+I20</f>
        <v>-6450000</v>
      </c>
    </row>
    <row r="21" customFormat="false" ht="12.75" hidden="false" customHeight="false" outlineLevel="0" collapsed="false">
      <c r="A21" s="172" t="n">
        <v>37530</v>
      </c>
      <c r="B21" s="173"/>
      <c r="C21" s="174" t="s">
        <v>147</v>
      </c>
      <c r="D21" s="175" t="n">
        <v>2.32</v>
      </c>
      <c r="E21" s="173"/>
      <c r="F21" s="176" t="n">
        <v>-4000000</v>
      </c>
      <c r="G21" s="173"/>
      <c r="H21" s="175" t="n">
        <f aca="false">+[5]Elpaso!$F13</f>
        <v>4.485</v>
      </c>
      <c r="I21" s="177" t="n">
        <f aca="false">(+H21-D21)*F21</f>
        <v>-8660000</v>
      </c>
      <c r="J21" s="179"/>
      <c r="K21" s="178" t="n">
        <f aca="false">+I21</f>
        <v>-8660000</v>
      </c>
    </row>
    <row r="22" customFormat="false" ht="12.75" hidden="false" customHeight="false" outlineLevel="0" collapsed="false">
      <c r="A22" s="172"/>
      <c r="B22" s="173"/>
      <c r="C22" s="174"/>
      <c r="D22" s="175"/>
      <c r="E22" s="173"/>
      <c r="F22" s="196"/>
      <c r="G22" s="173"/>
      <c r="H22" s="175"/>
      <c r="I22" s="197"/>
      <c r="J22" s="179"/>
      <c r="K22" s="198"/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 t="n">
        <f aca="false">SUM(F17:F22)</f>
        <v>-15000000</v>
      </c>
      <c r="G23" s="173"/>
      <c r="H23" s="175"/>
      <c r="I23" s="177" t="n">
        <f aca="false">SUM(I17:I22)</f>
        <v>-32280000</v>
      </c>
      <c r="J23" s="179"/>
      <c r="K23" s="177" t="n">
        <f aca="false">SUM(K17:K22)</f>
        <v>-32280000</v>
      </c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173"/>
      <c r="H24" s="175"/>
      <c r="I24" s="177"/>
      <c r="J24" s="179"/>
      <c r="K24" s="199"/>
    </row>
    <row r="25" customFormat="false" ht="13.5" hidden="false" customHeight="false" outlineLevel="0" collapsed="false">
      <c r="A25" s="172"/>
      <c r="B25" s="173"/>
      <c r="C25" s="174"/>
      <c r="D25" s="175"/>
      <c r="E25" s="173"/>
      <c r="F25" s="200"/>
      <c r="G25" s="173"/>
      <c r="H25" s="175"/>
      <c r="I25" s="201" t="n">
        <f aca="false">+I23+I15</f>
        <v>-14700000</v>
      </c>
      <c r="J25" s="179"/>
      <c r="K25" s="201" t="n">
        <f aca="false">+K23+K15</f>
        <v>-14700000</v>
      </c>
    </row>
    <row r="26" customFormat="false" ht="13.5" hidden="false" customHeight="false" outlineLevel="0" collapsed="false">
      <c r="A26" s="192"/>
      <c r="B26" s="192"/>
      <c r="C26" s="192"/>
      <c r="D26" s="192"/>
      <c r="E26" s="192"/>
      <c r="F26" s="192"/>
      <c r="G26" s="192"/>
      <c r="H26" s="192"/>
      <c r="I26" s="192"/>
      <c r="J26" s="193"/>
      <c r="K26" s="193"/>
    </row>
    <row r="28" customFormat="false" ht="12.75" hidden="false" customHeight="false" outlineLevel="0" collapsed="false">
      <c r="A28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F6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149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150</v>
      </c>
      <c r="E6" s="161"/>
      <c r="F6" s="161"/>
      <c r="G6" s="161"/>
      <c r="H6" s="161" t="s">
        <v>151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155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0.15</v>
      </c>
      <c r="E9" s="167"/>
      <c r="F9" s="167"/>
      <c r="G9" s="169"/>
      <c r="H9" s="170" t="s">
        <v>156</v>
      </c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36892</v>
      </c>
      <c r="B10" s="173"/>
      <c r="C10" s="174" t="s">
        <v>58</v>
      </c>
      <c r="D10" s="175" t="n">
        <f aca="false">9.98+D9</f>
        <v>10.13</v>
      </c>
      <c r="E10" s="173"/>
      <c r="F10" s="176" t="n">
        <f aca="false">5000*31</f>
        <v>155000</v>
      </c>
      <c r="G10" s="175" t="n">
        <f aca="false">+D10-H10</f>
        <v>0.210000000000001</v>
      </c>
      <c r="H10" s="175" t="n">
        <v>9.92</v>
      </c>
      <c r="I10" s="177" t="n">
        <f aca="false">(-H10+D10)*F10</f>
        <v>32550.0000000001</v>
      </c>
      <c r="J10" s="178" t="n">
        <f aca="false">+I10</f>
        <v>32550.0000000001</v>
      </c>
      <c r="K10" s="178"/>
    </row>
    <row r="11" customFormat="false" ht="12.75" hidden="false" customHeight="false" outlineLevel="0" collapsed="false">
      <c r="A11" s="172" t="n">
        <v>36923</v>
      </c>
      <c r="B11" s="173"/>
      <c r="C11" s="174" t="s">
        <v>58</v>
      </c>
      <c r="D11" s="175" t="n">
        <f aca="false">+D9+'[5]Henry Hub'!$E$12</f>
        <v>6.443</v>
      </c>
      <c r="E11" s="173"/>
      <c r="F11" s="176" t="n">
        <f aca="false">5000*28</f>
        <v>140000</v>
      </c>
      <c r="G11" s="175" t="n">
        <f aca="false">+D11-H11</f>
        <v>0.25</v>
      </c>
      <c r="H11" s="175" t="n">
        <f aca="false">+'[5]PEPL Tx, Ok'!$E12</f>
        <v>6.193</v>
      </c>
      <c r="I11" s="177" t="n">
        <f aca="false">(-H11+D11)*F11</f>
        <v>35000</v>
      </c>
      <c r="J11" s="178"/>
      <c r="K11" s="178" t="n">
        <f aca="false">+I11</f>
        <v>35000</v>
      </c>
    </row>
    <row r="12" customFormat="false" ht="12.75" hidden="false" customHeight="false" outlineLevel="0" collapsed="false">
      <c r="A12" s="172" t="n">
        <v>36951</v>
      </c>
      <c r="B12" s="173"/>
      <c r="C12" s="174" t="s">
        <v>58</v>
      </c>
      <c r="D12" s="175" t="n">
        <f aca="false">+D9+'[5]Henry Hub'!$E$13</f>
        <v>5.857</v>
      </c>
      <c r="E12" s="173"/>
      <c r="F12" s="176" t="n">
        <f aca="false">5000*31</f>
        <v>155000</v>
      </c>
      <c r="G12" s="209" t="n">
        <f aca="false">+D12-H12</f>
        <v>0.220000000000001</v>
      </c>
      <c r="H12" s="175" t="n">
        <f aca="false">+'[5]PEPL Tx, Ok'!$E13</f>
        <v>5.637</v>
      </c>
      <c r="I12" s="177" t="n">
        <f aca="false">(-H12+D12)*F12</f>
        <v>34100.0000000001</v>
      </c>
      <c r="J12" s="179"/>
      <c r="K12" s="178" t="n">
        <f aca="false">+I12</f>
        <v>34100.0000000001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96"/>
      <c r="G13" s="173"/>
      <c r="H13" s="175"/>
      <c r="I13" s="197"/>
      <c r="J13" s="192"/>
      <c r="K13" s="198"/>
    </row>
    <row r="14" customFormat="false" ht="12.75" hidden="false" customHeight="false" outlineLevel="0" collapsed="false">
      <c r="A14" s="172"/>
      <c r="B14" s="173"/>
      <c r="C14" s="174"/>
      <c r="D14" s="175" t="n">
        <f aca="false">SUM(D10:D12)/3</f>
        <v>7.47666666666667</v>
      </c>
      <c r="E14" s="173"/>
      <c r="F14" s="176" t="n">
        <f aca="false">SUM(F10:F13)</f>
        <v>450000</v>
      </c>
      <c r="G14" s="173"/>
      <c r="H14" s="175" t="n">
        <f aca="false">SUM(H10:H12)/3</f>
        <v>7.25</v>
      </c>
      <c r="I14" s="177" t="n">
        <f aca="false">SUM(I10:I13)</f>
        <v>101650</v>
      </c>
      <c r="J14" s="177" t="n">
        <f aca="false">SUM(J10:J13)</f>
        <v>32550.0000000001</v>
      </c>
      <c r="K14" s="177" t="n">
        <f aca="false">SUM(K10:K13)</f>
        <v>69100.0000000001</v>
      </c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210" t="s">
        <v>157</v>
      </c>
      <c r="H16" s="210"/>
      <c r="I16" s="177"/>
      <c r="J16" s="179"/>
      <c r="K16" s="199"/>
    </row>
    <row r="17" customFormat="false" ht="12.75" hidden="false" customHeight="false" outlineLevel="0" collapsed="false">
      <c r="A17" s="172"/>
      <c r="B17" s="173"/>
      <c r="C17" s="174"/>
      <c r="D17" s="175"/>
      <c r="E17" s="173"/>
      <c r="F17" s="176"/>
      <c r="G17" s="211" t="s">
        <v>158</v>
      </c>
      <c r="H17" s="211"/>
      <c r="I17" s="177"/>
      <c r="J17" s="179"/>
      <c r="K17" s="199"/>
    </row>
    <row r="18" customFormat="false" ht="12.75" hidden="false" customHeight="false" outlineLevel="0" collapsed="false">
      <c r="A18" s="172"/>
      <c r="B18" s="173"/>
      <c r="C18" s="174"/>
      <c r="D18" s="175"/>
      <c r="E18" s="173"/>
      <c r="F18" s="176"/>
      <c r="G18" s="210" t="s">
        <v>159</v>
      </c>
      <c r="H18" s="210"/>
      <c r="I18" s="177"/>
      <c r="J18" s="179"/>
      <c r="K18" s="199"/>
    </row>
    <row r="19" customFormat="false" ht="12.75" hidden="false" customHeight="false" outlineLevel="0" collapsed="false">
      <c r="A19" s="172"/>
      <c r="B19" s="173"/>
      <c r="C19" s="174"/>
      <c r="D19" s="175"/>
      <c r="E19" s="173"/>
      <c r="F19" s="176"/>
      <c r="G19" s="212" t="s">
        <v>160</v>
      </c>
      <c r="H19" s="213" t="s">
        <v>161</v>
      </c>
      <c r="I19" s="177"/>
      <c r="J19" s="179"/>
      <c r="K19" s="199"/>
    </row>
    <row r="20" customFormat="false" ht="12.75" hidden="false" customHeight="false" outlineLevel="0" collapsed="false">
      <c r="A20" s="172" t="n">
        <v>36892</v>
      </c>
      <c r="B20" s="173"/>
      <c r="C20" s="174" t="s">
        <v>162</v>
      </c>
      <c r="D20" s="175"/>
      <c r="E20" s="173"/>
      <c r="F20" s="176" t="n">
        <f aca="false">-5000*31</f>
        <v>-155000</v>
      </c>
      <c r="G20" s="175" t="n">
        <v>10.52</v>
      </c>
      <c r="H20" s="214" t="n">
        <f aca="false">9.92+0.228</f>
        <v>10.148</v>
      </c>
      <c r="I20" s="177" t="n">
        <f aca="false">(+G20-H20)*F20</f>
        <v>-57660</v>
      </c>
      <c r="J20" s="178" t="n">
        <f aca="false">+I20</f>
        <v>-57660</v>
      </c>
      <c r="K20" s="178"/>
    </row>
    <row r="21" customFormat="false" ht="12.75" hidden="false" customHeight="false" outlineLevel="0" collapsed="false">
      <c r="A21" s="172" t="n">
        <v>36923</v>
      </c>
      <c r="B21" s="173"/>
      <c r="C21" s="174" t="s">
        <v>162</v>
      </c>
      <c r="D21" s="175"/>
      <c r="E21" s="173"/>
      <c r="F21" s="176" t="n">
        <f aca="false">-5000*28</f>
        <v>-140000</v>
      </c>
      <c r="G21" s="175" t="n">
        <f aca="false">+[5]Demarc!$E12</f>
        <v>6.423</v>
      </c>
      <c r="H21" s="175" t="n">
        <f aca="false">+'[5]PEPL Tx, Ok'!$E$12+0.228</f>
        <v>6.421</v>
      </c>
      <c r="I21" s="177" t="n">
        <f aca="false">(+G21-H21)*F21</f>
        <v>-279.999999999969</v>
      </c>
      <c r="J21" s="179"/>
      <c r="K21" s="178" t="n">
        <f aca="false">+I21</f>
        <v>-279.999999999969</v>
      </c>
    </row>
    <row r="22" customFormat="false" ht="12.75" hidden="false" customHeight="false" outlineLevel="0" collapsed="false">
      <c r="A22" s="172" t="n">
        <v>36951</v>
      </c>
      <c r="B22" s="173"/>
      <c r="C22" s="174" t="s">
        <v>162</v>
      </c>
      <c r="D22" s="175"/>
      <c r="E22" s="173"/>
      <c r="F22" s="176" t="n">
        <f aca="false">-5000*31</f>
        <v>-155000</v>
      </c>
      <c r="G22" s="175" t="n">
        <f aca="false">+[5]Demarc!$E13</f>
        <v>5.837</v>
      </c>
      <c r="H22" s="175" t="n">
        <f aca="false">+'[5]PEPL Tx, Ok'!$E$13+0.228</f>
        <v>5.865</v>
      </c>
      <c r="I22" s="177" t="n">
        <f aca="false">(+G22-H22)*F22</f>
        <v>4339.99999999994</v>
      </c>
      <c r="J22" s="179"/>
      <c r="K22" s="178" t="n">
        <f aca="false">+I22</f>
        <v>4339.99999999994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173"/>
      <c r="H23" s="175"/>
      <c r="I23" s="177"/>
      <c r="J23" s="179"/>
      <c r="K23" s="178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215"/>
      <c r="H24" s="175"/>
      <c r="I24" s="177"/>
      <c r="J24" s="179"/>
      <c r="K24" s="178"/>
    </row>
    <row r="25" customFormat="false" ht="12.75" hidden="false" customHeight="false" outlineLevel="0" collapsed="false">
      <c r="A25" s="172"/>
      <c r="B25" s="173"/>
      <c r="C25" s="174"/>
      <c r="D25" s="175"/>
      <c r="E25" s="173"/>
      <c r="F25" s="196"/>
      <c r="G25" s="173"/>
      <c r="H25" s="175"/>
      <c r="I25" s="197"/>
      <c r="J25" s="192"/>
      <c r="K25" s="198"/>
    </row>
    <row r="26" customFormat="false" ht="12.75" hidden="false" customHeight="false" outlineLevel="0" collapsed="false">
      <c r="A26" s="172"/>
      <c r="B26" s="173"/>
      <c r="C26" s="174"/>
      <c r="D26" s="175"/>
      <c r="E26" s="173"/>
      <c r="F26" s="176" t="n">
        <f aca="false">SUM(F20:F25)</f>
        <v>-450000</v>
      </c>
      <c r="G26" s="173"/>
      <c r="H26" s="175"/>
      <c r="I26" s="177" t="n">
        <f aca="false">SUM(I20:I25)</f>
        <v>-53600</v>
      </c>
      <c r="J26" s="177" t="n">
        <f aca="false">SUM(J20:J25)</f>
        <v>-57660</v>
      </c>
      <c r="K26" s="177" t="n">
        <f aca="false">SUM(K20:K25)</f>
        <v>4059.99999999997</v>
      </c>
    </row>
    <row r="27" customFormat="false" ht="12.75" hidden="false" customHeight="false" outlineLevel="0" collapsed="false">
      <c r="A27" s="172"/>
      <c r="B27" s="173"/>
      <c r="C27" s="174"/>
      <c r="D27" s="175"/>
      <c r="E27" s="173"/>
      <c r="F27" s="176"/>
      <c r="G27" s="173"/>
      <c r="H27" s="175"/>
      <c r="I27" s="177"/>
      <c r="J27" s="179"/>
      <c r="K27" s="199"/>
    </row>
    <row r="28" customFormat="false" ht="13.5" hidden="false" customHeight="false" outlineLevel="0" collapsed="false">
      <c r="A28" s="172"/>
      <c r="B28" s="173"/>
      <c r="C28" s="174"/>
      <c r="D28" s="175"/>
      <c r="E28" s="173"/>
      <c r="F28" s="200" t="n">
        <f aca="false">+F14+F26</f>
        <v>0</v>
      </c>
      <c r="G28" s="173"/>
      <c r="H28" s="175"/>
      <c r="I28" s="201" t="n">
        <f aca="false">+I26+I14</f>
        <v>48050.0000000002</v>
      </c>
      <c r="J28" s="201" t="n">
        <f aca="false">+J26+J14</f>
        <v>-25109.9999999999</v>
      </c>
      <c r="K28" s="201" t="n">
        <f aca="false">+K26+K14</f>
        <v>73160.0000000001</v>
      </c>
    </row>
    <row r="29" customFormat="false" ht="13.5" hidden="false" customHeight="false" outlineLevel="0" collapsed="false">
      <c r="A29" s="192"/>
      <c r="B29" s="192"/>
      <c r="C29" s="192"/>
      <c r="D29" s="192"/>
      <c r="E29" s="192"/>
      <c r="F29" s="192"/>
      <c r="G29" s="192"/>
      <c r="H29" s="192"/>
      <c r="I29" s="192"/>
      <c r="J29" s="193"/>
      <c r="K29" s="193"/>
    </row>
    <row r="31" customFormat="false" ht="12.75" hidden="false" customHeight="false" outlineLevel="0" collapsed="false">
      <c r="A31" s="5" t="s">
        <v>138</v>
      </c>
    </row>
  </sheetData>
  <mergeCells count="8">
    <mergeCell ref="A1:K1"/>
    <mergeCell ref="A2:K2"/>
    <mergeCell ref="A3:K3"/>
    <mergeCell ref="A4:K4"/>
    <mergeCell ref="I6:K6"/>
    <mergeCell ref="G16:H16"/>
    <mergeCell ref="G17:H17"/>
    <mergeCell ref="G18:H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0"/>
  <sheetViews>
    <sheetView showFormulas="false" showGridLines="true" showRowColHeaders="true" showZeros="true" rightToLeft="false" tabSelected="false" showOutlineSymbols="true" defaultGridColor="true" view="normal" topLeftCell="D6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163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150</v>
      </c>
      <c r="E6" s="161"/>
      <c r="F6" s="161"/>
      <c r="G6" s="161"/>
      <c r="H6" s="161" t="s">
        <v>151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155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0.15</v>
      </c>
      <c r="E9" s="167"/>
      <c r="F9" s="167"/>
      <c r="G9" s="169"/>
      <c r="H9" s="170" t="s">
        <v>156</v>
      </c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36892</v>
      </c>
      <c r="B10" s="173"/>
      <c r="C10" s="174" t="s">
        <v>58</v>
      </c>
      <c r="D10" s="175" t="n">
        <f aca="false">9.98+D9</f>
        <v>10.13</v>
      </c>
      <c r="E10" s="173"/>
      <c r="F10" s="176" t="n">
        <f aca="false">5000*31</f>
        <v>155000</v>
      </c>
      <c r="G10" s="175"/>
      <c r="H10" s="175" t="n">
        <v>9.92</v>
      </c>
      <c r="I10" s="177" t="n">
        <f aca="false">(-H10+D10)*F10</f>
        <v>32550.0000000001</v>
      </c>
      <c r="J10" s="178" t="n">
        <f aca="false">+I10</f>
        <v>32550.0000000001</v>
      </c>
      <c r="K10" s="178"/>
    </row>
    <row r="11" customFormat="false" ht="12.75" hidden="false" customHeight="false" outlineLevel="0" collapsed="false">
      <c r="A11" s="172" t="n">
        <v>36923</v>
      </c>
      <c r="B11" s="173"/>
      <c r="C11" s="174" t="s">
        <v>58</v>
      </c>
      <c r="D11" s="175" t="n">
        <f aca="false">+D9+'[5]Henry Hub'!$E$12</f>
        <v>6.443</v>
      </c>
      <c r="E11" s="173"/>
      <c r="F11" s="176" t="n">
        <f aca="false">5000*28</f>
        <v>140000</v>
      </c>
      <c r="G11" s="175"/>
      <c r="H11" s="175" t="n">
        <f aca="false">+'[5]PEPL Tx, Ok'!$E12</f>
        <v>6.193</v>
      </c>
      <c r="I11" s="177" t="n">
        <f aca="false">(-H11+D11)*F11</f>
        <v>35000</v>
      </c>
      <c r="J11" s="178"/>
      <c r="K11" s="178" t="n">
        <f aca="false">+I11</f>
        <v>35000</v>
      </c>
    </row>
    <row r="12" customFormat="false" ht="12.75" hidden="false" customHeight="false" outlineLevel="0" collapsed="false">
      <c r="A12" s="172" t="n">
        <v>36951</v>
      </c>
      <c r="B12" s="173"/>
      <c r="C12" s="174" t="s">
        <v>58</v>
      </c>
      <c r="D12" s="175" t="n">
        <f aca="false">+D9+'[5]Henry Hub'!$E$13</f>
        <v>5.857</v>
      </c>
      <c r="E12" s="173"/>
      <c r="F12" s="176" t="n">
        <f aca="false">5000*31</f>
        <v>155000</v>
      </c>
      <c r="G12" s="173"/>
      <c r="H12" s="175" t="n">
        <f aca="false">+'[5]PEPL Tx, Ok'!$E13</f>
        <v>5.637</v>
      </c>
      <c r="I12" s="177" t="n">
        <f aca="false">(-H12+D12)*F12</f>
        <v>34100.0000000001</v>
      </c>
      <c r="J12" s="179"/>
      <c r="K12" s="178" t="n">
        <f aca="false">+I12</f>
        <v>34100.0000000001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96"/>
      <c r="G13" s="173"/>
      <c r="H13" s="175"/>
      <c r="I13" s="197"/>
      <c r="J13" s="192"/>
      <c r="K13" s="198"/>
    </row>
    <row r="14" customFormat="false" ht="12.75" hidden="false" customHeight="false" outlineLevel="0" collapsed="false">
      <c r="A14" s="172"/>
      <c r="B14" s="173"/>
      <c r="C14" s="174"/>
      <c r="D14" s="175" t="n">
        <f aca="false">SUM(D10:D12)/3</f>
        <v>7.47666666666667</v>
      </c>
      <c r="E14" s="173"/>
      <c r="F14" s="176" t="n">
        <f aca="false">SUM(F10:F13)</f>
        <v>450000</v>
      </c>
      <c r="G14" s="173"/>
      <c r="H14" s="175" t="n">
        <f aca="false">SUM(H10:H12)/3</f>
        <v>7.25</v>
      </c>
      <c r="I14" s="177" t="n">
        <f aca="false">SUM(I10:I13)</f>
        <v>101650</v>
      </c>
      <c r="J14" s="177" t="n">
        <f aca="false">SUM(J10:J13)</f>
        <v>32550.0000000001</v>
      </c>
      <c r="K14" s="177" t="n">
        <f aca="false">SUM(K10:K13)</f>
        <v>69100.0000000001</v>
      </c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173"/>
      <c r="H16" s="175"/>
      <c r="I16" s="177"/>
      <c r="J16" s="179"/>
      <c r="K16" s="199"/>
    </row>
    <row r="17" customFormat="false" ht="13.5" hidden="false" customHeight="false" outlineLevel="0" collapsed="false">
      <c r="A17" s="172"/>
      <c r="B17" s="173"/>
      <c r="C17" s="174"/>
      <c r="D17" s="175"/>
      <c r="E17" s="173"/>
      <c r="F17" s="200" t="n">
        <f aca="false">+F14</f>
        <v>450000</v>
      </c>
      <c r="G17" s="173"/>
      <c r="H17" s="175"/>
      <c r="I17" s="201" t="n">
        <f aca="false">+I14</f>
        <v>101650</v>
      </c>
      <c r="J17" s="201" t="n">
        <f aca="false">+J14</f>
        <v>32550.0000000001</v>
      </c>
      <c r="K17" s="201" t="n">
        <f aca="false">+K14</f>
        <v>69100.0000000001</v>
      </c>
    </row>
    <row r="18" customFormat="false" ht="13.5" hidden="false" customHeight="false" outlineLevel="0" collapsed="false">
      <c r="A18" s="192"/>
      <c r="B18" s="192"/>
      <c r="C18" s="192"/>
      <c r="D18" s="192"/>
      <c r="E18" s="192"/>
      <c r="F18" s="192"/>
      <c r="G18" s="192"/>
      <c r="H18" s="192"/>
      <c r="I18" s="192"/>
      <c r="J18" s="193"/>
      <c r="K18" s="193"/>
    </row>
    <row r="20" customFormat="false" ht="12.75" hidden="false" customHeight="false" outlineLevel="0" collapsed="false">
      <c r="A20" s="5" t="s">
        <v>138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8.56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6.7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157" t="s">
        <v>144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customFormat="false" ht="15" hidden="false" customHeight="false" outlineLevel="0" collapsed="false">
      <c r="A2" s="157" t="s">
        <v>148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customFormat="false" ht="15.75" hidden="false" customHeight="false" outlineLevel="0" collapsed="false">
      <c r="A3" s="157" t="s">
        <v>164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customFormat="false" ht="15.75" hidden="false" customHeight="false" outlineLevel="0" collapsed="false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12.75" hidden="false" customHeight="false" outlineLevel="0" collapsed="false">
      <c r="G5" s="195"/>
      <c r="H5" s="195"/>
    </row>
    <row r="6" customFormat="false" ht="12.75" hidden="false" customHeight="false" outlineLevel="0" collapsed="false">
      <c r="A6" s="163" t="s">
        <v>129</v>
      </c>
      <c r="B6" s="161" t="s">
        <v>6</v>
      </c>
      <c r="C6" s="161" t="s">
        <v>6</v>
      </c>
      <c r="D6" s="161" t="s">
        <v>50</v>
      </c>
      <c r="E6" s="161"/>
      <c r="F6" s="161"/>
      <c r="G6" s="161"/>
      <c r="H6" s="161" t="s">
        <v>30</v>
      </c>
      <c r="I6" s="162" t="s">
        <v>131</v>
      </c>
      <c r="J6" s="162"/>
      <c r="K6" s="162"/>
    </row>
    <row r="7" customFormat="false" ht="12.75" hidden="false" customHeight="false" outlineLevel="0" collapsed="false">
      <c r="A7" s="163" t="s">
        <v>16</v>
      </c>
      <c r="B7" s="164" t="s">
        <v>13</v>
      </c>
      <c r="C7" s="164" t="s">
        <v>12</v>
      </c>
      <c r="D7" s="164" t="s">
        <v>152</v>
      </c>
      <c r="E7" s="164"/>
      <c r="F7" s="164"/>
      <c r="G7" s="164"/>
      <c r="H7" s="164" t="s">
        <v>153</v>
      </c>
      <c r="I7" s="164" t="s">
        <v>23</v>
      </c>
      <c r="J7" s="164" t="s">
        <v>24</v>
      </c>
      <c r="K7" s="164" t="s">
        <v>25</v>
      </c>
      <c r="L7" s="202"/>
    </row>
    <row r="8" customFormat="false" ht="12.75" hidden="false" customHeight="false" outlineLevel="0" collapsed="false">
      <c r="A8" s="203"/>
      <c r="B8" s="204"/>
      <c r="C8" s="204"/>
      <c r="D8" s="205" t="s">
        <v>154</v>
      </c>
      <c r="E8" s="204"/>
      <c r="F8" s="204"/>
      <c r="G8" s="206"/>
      <c r="H8" s="164" t="s">
        <v>165</v>
      </c>
      <c r="I8" s="164" t="s">
        <v>136</v>
      </c>
      <c r="J8" s="164" t="s">
        <v>136</v>
      </c>
      <c r="K8" s="164" t="s">
        <v>136</v>
      </c>
      <c r="L8" s="207"/>
    </row>
    <row r="9" customFormat="false" ht="12.75" hidden="false" customHeight="false" outlineLevel="0" collapsed="false">
      <c r="A9" s="166"/>
      <c r="B9" s="167"/>
      <c r="C9" s="167"/>
      <c r="D9" s="208" t="n">
        <v>0.9</v>
      </c>
      <c r="E9" s="167"/>
      <c r="F9" s="167"/>
      <c r="G9" s="169"/>
      <c r="H9" s="170"/>
      <c r="I9" s="170"/>
      <c r="J9" s="170"/>
      <c r="K9" s="170"/>
      <c r="L9" s="207"/>
    </row>
    <row r="10" customFormat="false" ht="12.75" hidden="false" customHeight="false" outlineLevel="0" collapsed="false">
      <c r="A10" s="172" t="n">
        <v>36892</v>
      </c>
      <c r="B10" s="173"/>
      <c r="C10" s="174" t="s">
        <v>50</v>
      </c>
      <c r="D10" s="175" t="n">
        <f aca="false">9.98+D9</f>
        <v>10.88</v>
      </c>
      <c r="E10" s="173"/>
      <c r="F10" s="176" t="n">
        <f aca="false">-5000*31</f>
        <v>-155000</v>
      </c>
      <c r="G10" s="175" t="n">
        <f aca="false">+D10-H10</f>
        <v>0.360000000000001</v>
      </c>
      <c r="H10" s="175" t="n">
        <v>10.52</v>
      </c>
      <c r="I10" s="177" t="n">
        <f aca="false">(-H10+D10)*F10</f>
        <v>-55800.0000000002</v>
      </c>
      <c r="J10" s="178" t="n">
        <f aca="false">+I10</f>
        <v>-55800.0000000002</v>
      </c>
      <c r="K10" s="178"/>
    </row>
    <row r="11" customFormat="false" ht="12.75" hidden="false" customHeight="false" outlineLevel="0" collapsed="false">
      <c r="A11" s="172" t="n">
        <v>36923</v>
      </c>
      <c r="B11" s="173"/>
      <c r="C11" s="174" t="s">
        <v>50</v>
      </c>
      <c r="D11" s="175" t="n">
        <f aca="false">+D9+'[5]Henry Hub'!$E$12</f>
        <v>7.193</v>
      </c>
      <c r="E11" s="173"/>
      <c r="F11" s="176" t="n">
        <f aca="false">-5000*28</f>
        <v>-140000</v>
      </c>
      <c r="G11" s="175" t="n">
        <f aca="false">+D11-H11</f>
        <v>0.770000000000001</v>
      </c>
      <c r="H11" s="175" t="n">
        <f aca="false">+[5]Demarc!$E12</f>
        <v>6.423</v>
      </c>
      <c r="I11" s="177" t="n">
        <f aca="false">(-H11+D11)*F11</f>
        <v>-107800</v>
      </c>
      <c r="J11" s="178"/>
      <c r="K11" s="178" t="n">
        <f aca="false">+I11</f>
        <v>-107800</v>
      </c>
    </row>
    <row r="12" customFormat="false" ht="12.75" hidden="false" customHeight="false" outlineLevel="0" collapsed="false">
      <c r="A12" s="172" t="n">
        <v>36951</v>
      </c>
      <c r="B12" s="173"/>
      <c r="C12" s="174" t="s">
        <v>50</v>
      </c>
      <c r="D12" s="175" t="n">
        <f aca="false">+D9+'[5]Henry Hub'!$E$13</f>
        <v>6.607</v>
      </c>
      <c r="E12" s="173"/>
      <c r="F12" s="176" t="n">
        <f aca="false">-5000*31</f>
        <v>-155000</v>
      </c>
      <c r="G12" s="175" t="n">
        <f aca="false">+D12-H12</f>
        <v>0.770000000000001</v>
      </c>
      <c r="H12" s="175" t="n">
        <f aca="false">+[5]Demarc!$E13</f>
        <v>5.837</v>
      </c>
      <c r="I12" s="177" t="n">
        <f aca="false">(-H12+D12)*F12</f>
        <v>-119350</v>
      </c>
      <c r="J12" s="179"/>
      <c r="K12" s="178" t="n">
        <f aca="false">+I12</f>
        <v>-119350</v>
      </c>
    </row>
    <row r="13" customFormat="false" ht="12.75" hidden="false" customHeight="false" outlineLevel="0" collapsed="false">
      <c r="A13" s="172"/>
      <c r="B13" s="173"/>
      <c r="C13" s="174"/>
      <c r="D13" s="175"/>
      <c r="E13" s="173"/>
      <c r="F13" s="196"/>
      <c r="G13" s="186" t="n">
        <f aca="false">SUM(G10:G12)/3</f>
        <v>0.633333333333334</v>
      </c>
      <c r="H13" s="175"/>
      <c r="I13" s="197"/>
      <c r="J13" s="192"/>
      <c r="K13" s="198"/>
    </row>
    <row r="14" customFormat="false" ht="12.75" hidden="false" customHeight="false" outlineLevel="0" collapsed="false">
      <c r="A14" s="172"/>
      <c r="B14" s="173"/>
      <c r="C14" s="174"/>
      <c r="D14" s="175" t="n">
        <f aca="false">SUM(D10:D12)/3</f>
        <v>8.22666666666667</v>
      </c>
      <c r="E14" s="173"/>
      <c r="F14" s="176" t="n">
        <f aca="false">SUM(F10:F13)</f>
        <v>-450000</v>
      </c>
      <c r="G14" s="173"/>
      <c r="H14" s="175" t="n">
        <f aca="false">SUM(H10:H12)/3</f>
        <v>7.59333333333333</v>
      </c>
      <c r="I14" s="177" t="n">
        <f aca="false">SUM(I10:I13)</f>
        <v>-282950</v>
      </c>
      <c r="J14" s="177" t="n">
        <f aca="false">SUM(J10:J13)</f>
        <v>-55800.0000000002</v>
      </c>
      <c r="K14" s="177" t="n">
        <f aca="false">SUM(K10:K13)</f>
        <v>-227150</v>
      </c>
    </row>
    <row r="15" customFormat="false" ht="12.75" hidden="false" customHeight="false" outlineLevel="0" collapsed="false">
      <c r="A15" s="172"/>
      <c r="B15" s="173"/>
      <c r="C15" s="174"/>
      <c r="D15" s="175"/>
      <c r="E15" s="173"/>
      <c r="F15" s="176"/>
      <c r="G15" s="173"/>
      <c r="H15" s="175"/>
      <c r="I15" s="177"/>
      <c r="J15" s="179"/>
      <c r="K15" s="199"/>
    </row>
    <row r="16" customFormat="false" ht="12.75" hidden="false" customHeight="false" outlineLevel="0" collapsed="false">
      <c r="A16" s="172"/>
      <c r="B16" s="173"/>
      <c r="C16" s="174"/>
      <c r="D16" s="175"/>
      <c r="E16" s="173"/>
      <c r="F16" s="176"/>
      <c r="G16" s="210" t="s">
        <v>157</v>
      </c>
      <c r="H16" s="210"/>
      <c r="I16" s="177"/>
      <c r="J16" s="179"/>
      <c r="K16" s="199"/>
    </row>
    <row r="17" customFormat="false" ht="12.75" hidden="false" customHeight="false" outlineLevel="0" collapsed="false">
      <c r="A17" s="172"/>
      <c r="B17" s="173"/>
      <c r="C17" s="174"/>
      <c r="D17" s="175"/>
      <c r="E17" s="173"/>
      <c r="F17" s="176"/>
      <c r="G17" s="211" t="s">
        <v>158</v>
      </c>
      <c r="H17" s="211"/>
      <c r="I17" s="177"/>
      <c r="J17" s="179"/>
      <c r="K17" s="199"/>
    </row>
    <row r="18" customFormat="false" ht="12.75" hidden="false" customHeight="false" outlineLevel="0" collapsed="false">
      <c r="A18" s="172"/>
      <c r="B18" s="173"/>
      <c r="C18" s="174"/>
      <c r="D18" s="175"/>
      <c r="E18" s="173"/>
      <c r="F18" s="176"/>
      <c r="G18" s="210" t="s">
        <v>159</v>
      </c>
      <c r="H18" s="210"/>
      <c r="I18" s="177"/>
      <c r="J18" s="179"/>
      <c r="K18" s="199"/>
    </row>
    <row r="19" customFormat="false" ht="12.75" hidden="false" customHeight="false" outlineLevel="0" collapsed="false">
      <c r="A19" s="172"/>
      <c r="B19" s="173"/>
      <c r="C19" s="174"/>
      <c r="D19" s="175"/>
      <c r="E19" s="173"/>
      <c r="F19" s="176"/>
      <c r="G19" s="212" t="s">
        <v>160</v>
      </c>
      <c r="H19" s="216" t="s">
        <v>166</v>
      </c>
      <c r="I19" s="177"/>
      <c r="J19" s="179"/>
      <c r="K19" s="199"/>
    </row>
    <row r="20" customFormat="false" ht="12.75" hidden="false" customHeight="false" outlineLevel="0" collapsed="false">
      <c r="A20" s="172" t="n">
        <v>36892</v>
      </c>
      <c r="B20" s="173"/>
      <c r="C20" s="174" t="s">
        <v>167</v>
      </c>
      <c r="D20" s="175"/>
      <c r="E20" s="173"/>
      <c r="F20" s="176" t="n">
        <f aca="false">5000*31</f>
        <v>155000</v>
      </c>
      <c r="G20" s="175" t="n">
        <v>10.52</v>
      </c>
      <c r="H20" s="214" t="n">
        <f aca="false">9.92+0.228</f>
        <v>10.148</v>
      </c>
      <c r="I20" s="177" t="n">
        <f aca="false">(-G20+H20)*F20</f>
        <v>-57660</v>
      </c>
      <c r="J20" s="178" t="n">
        <f aca="false">+I20</f>
        <v>-57660</v>
      </c>
      <c r="K20" s="178"/>
    </row>
    <row r="21" customFormat="false" ht="12.75" hidden="false" customHeight="false" outlineLevel="0" collapsed="false">
      <c r="A21" s="172" t="n">
        <v>36923</v>
      </c>
      <c r="B21" s="173"/>
      <c r="C21" s="174" t="s">
        <v>167</v>
      </c>
      <c r="D21" s="175"/>
      <c r="E21" s="173"/>
      <c r="F21" s="176" t="n">
        <f aca="false">5000*28</f>
        <v>140000</v>
      </c>
      <c r="G21" s="175" t="n">
        <f aca="false">+[5]Demarc!$E12</f>
        <v>6.423</v>
      </c>
      <c r="H21" s="214" t="n">
        <f aca="false">+'[5]PEPL Tx, Ok'!$E12+0.228</f>
        <v>6.421</v>
      </c>
      <c r="I21" s="177" t="n">
        <f aca="false">(-G21+H21)*F21</f>
        <v>-279.999999999969</v>
      </c>
      <c r="J21" s="179"/>
      <c r="K21" s="178" t="n">
        <f aca="false">+I21</f>
        <v>-279.999999999969</v>
      </c>
    </row>
    <row r="22" customFormat="false" ht="12.75" hidden="false" customHeight="false" outlineLevel="0" collapsed="false">
      <c r="A22" s="172" t="n">
        <v>36951</v>
      </c>
      <c r="B22" s="173"/>
      <c r="C22" s="174" t="s">
        <v>167</v>
      </c>
      <c r="D22" s="175"/>
      <c r="E22" s="173"/>
      <c r="F22" s="176" t="n">
        <f aca="false">5000*31</f>
        <v>155000</v>
      </c>
      <c r="G22" s="175" t="n">
        <f aca="false">+[5]Demarc!$E13</f>
        <v>5.837</v>
      </c>
      <c r="H22" s="214" t="n">
        <f aca="false">+'[5]PEPL Tx, Ok'!$E13+0.228</f>
        <v>5.865</v>
      </c>
      <c r="I22" s="177" t="n">
        <f aca="false">(-G22+H22)*F22</f>
        <v>4339.99999999994</v>
      </c>
      <c r="J22" s="179"/>
      <c r="K22" s="178" t="n">
        <f aca="false">+I22</f>
        <v>4339.99999999994</v>
      </c>
    </row>
    <row r="23" customFormat="false" ht="12.75" hidden="false" customHeight="false" outlineLevel="0" collapsed="false">
      <c r="A23" s="172"/>
      <c r="B23" s="173"/>
      <c r="C23" s="174"/>
      <c r="D23" s="175"/>
      <c r="E23" s="173"/>
      <c r="F23" s="176"/>
      <c r="G23" s="173"/>
      <c r="H23" s="175"/>
      <c r="I23" s="177"/>
      <c r="J23" s="179"/>
      <c r="K23" s="178"/>
    </row>
    <row r="24" customFormat="false" ht="12.75" hidden="false" customHeight="false" outlineLevel="0" collapsed="false">
      <c r="A24" s="172"/>
      <c r="B24" s="173"/>
      <c r="C24" s="174"/>
      <c r="D24" s="175"/>
      <c r="E24" s="173"/>
      <c r="F24" s="176"/>
      <c r="G24" s="215"/>
      <c r="H24" s="175"/>
      <c r="I24" s="175"/>
      <c r="J24" s="179"/>
      <c r="K24" s="178"/>
    </row>
    <row r="25" customFormat="false" ht="12.75" hidden="false" customHeight="false" outlineLevel="0" collapsed="false">
      <c r="A25" s="172"/>
      <c r="B25" s="173"/>
      <c r="C25" s="174"/>
      <c r="D25" s="175"/>
      <c r="E25" s="173"/>
      <c r="F25" s="196"/>
      <c r="G25" s="173"/>
      <c r="H25" s="175"/>
      <c r="I25" s="197"/>
      <c r="J25" s="192"/>
      <c r="K25" s="198"/>
    </row>
    <row r="26" customFormat="false" ht="12.75" hidden="false" customHeight="false" outlineLevel="0" collapsed="false">
      <c r="A26" s="172"/>
      <c r="B26" s="173"/>
      <c r="C26" s="174"/>
      <c r="D26" s="175"/>
      <c r="E26" s="173"/>
      <c r="F26" s="176" t="n">
        <f aca="false">SUM(F20:F25)</f>
        <v>450000</v>
      </c>
      <c r="G26" s="173"/>
      <c r="H26" s="175"/>
      <c r="I26" s="177" t="n">
        <f aca="false">SUM(I20:I25)</f>
        <v>-53600</v>
      </c>
      <c r="J26" s="177" t="n">
        <f aca="false">SUM(J20:J25)</f>
        <v>-57660</v>
      </c>
      <c r="K26" s="177" t="n">
        <f aca="false">SUM(K20:K25)</f>
        <v>4059.99999999997</v>
      </c>
    </row>
    <row r="27" customFormat="false" ht="12.75" hidden="false" customHeight="false" outlineLevel="0" collapsed="false">
      <c r="A27" s="172"/>
      <c r="B27" s="173"/>
      <c r="C27" s="174"/>
      <c r="D27" s="175"/>
      <c r="E27" s="173"/>
      <c r="F27" s="176"/>
      <c r="G27" s="173"/>
      <c r="H27" s="175"/>
      <c r="I27" s="177"/>
      <c r="J27" s="179"/>
      <c r="K27" s="199"/>
    </row>
    <row r="28" customFormat="false" ht="13.5" hidden="false" customHeight="false" outlineLevel="0" collapsed="false">
      <c r="A28" s="172"/>
      <c r="B28" s="173"/>
      <c r="C28" s="174"/>
      <c r="D28" s="175"/>
      <c r="E28" s="173"/>
      <c r="F28" s="200" t="n">
        <f aca="false">+F14+F26</f>
        <v>0</v>
      </c>
      <c r="G28" s="173"/>
      <c r="H28" s="175"/>
      <c r="I28" s="201" t="n">
        <f aca="false">+I26+I14</f>
        <v>-336550</v>
      </c>
      <c r="J28" s="201" t="n">
        <f aca="false">+J26+J14</f>
        <v>-113460</v>
      </c>
      <c r="K28" s="201" t="n">
        <f aca="false">+K26+K14</f>
        <v>-223090</v>
      </c>
    </row>
    <row r="29" customFormat="false" ht="13.5" hidden="false" customHeight="false" outlineLevel="0" collapsed="false">
      <c r="A29" s="192"/>
      <c r="B29" s="192"/>
      <c r="C29" s="192"/>
      <c r="D29" s="192"/>
      <c r="E29" s="192"/>
      <c r="F29" s="192"/>
      <c r="G29" s="192"/>
      <c r="H29" s="192"/>
      <c r="I29" s="192"/>
      <c r="J29" s="193"/>
      <c r="K29" s="193"/>
    </row>
    <row r="31" customFormat="false" ht="12.75" hidden="false" customHeight="false" outlineLevel="0" collapsed="false">
      <c r="A31" s="5" t="s">
        <v>138</v>
      </c>
    </row>
  </sheetData>
  <mergeCells count="8">
    <mergeCell ref="A1:K1"/>
    <mergeCell ref="A2:K2"/>
    <mergeCell ref="A3:K3"/>
    <mergeCell ref="A4:K4"/>
    <mergeCell ref="I6:K6"/>
    <mergeCell ref="G16:H16"/>
    <mergeCell ref="G17:H17"/>
    <mergeCell ref="G18:H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ET&amp;S</cp:lastModifiedBy>
  <cp:lastPrinted>2001-02-09T17:13:52Z</cp:lastPrinted>
  <cp:revision>0</cp:revision>
  <dc:subject/>
  <dc:title/>
</cp:coreProperties>
</file>