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RMTC_2" sheetId="2" state="visible" r:id="rId4"/>
    <sheet name="Elpaso_6" sheetId="3" state="visible" r:id="rId5"/>
    <sheet name="ENA_9" sheetId="4" state="visible" r:id="rId6"/>
    <sheet name="ENA_11" sheetId="5" state="visible" r:id="rId7"/>
    <sheet name="ENA_12" sheetId="6" state="visible" r:id="rId8"/>
    <sheet name="ENA_13" sheetId="7" state="visible" r:id="rId9"/>
    <sheet name="El Paso_18" sheetId="8" state="visible" r:id="rId10"/>
    <sheet name="ENA_19" sheetId="9" state="visible" r:id="rId11"/>
    <sheet name="ENA_10-Expired" sheetId="10" state="visible" r:id="rId12"/>
    <sheet name="Sempra_1_Expired" sheetId="11" state="visible" r:id="rId13"/>
    <sheet name="MEC_8_Expired" sheetId="12" state="visible" r:id="rId14"/>
    <sheet name="Avista_1_Expired" sheetId="13" state="visible" r:id="rId15"/>
    <sheet name="Avista_2_Expired" sheetId="14" state="visible" r:id="rId16"/>
    <sheet name="Sempra_2_Expired" sheetId="15" state="visible" r:id="rId17"/>
    <sheet name="Sempra_2.1_Expired" sheetId="16" state="visible" r:id="rId18"/>
  </sheets>
  <externalReferences>
    <externalReference r:id="rId19"/>
  </externalReferences>
  <definedNames>
    <definedName function="false" hidden="false" localSheetId="12" name="_xlnm.Print_Area" vbProcedure="false">Avista_1_Expired!$A$1:$K$41</definedName>
    <definedName function="false" hidden="false" localSheetId="13" name="_xlnm.Print_Area" vbProcedure="false">Avista_2_Expired!$A$1:$K$46</definedName>
    <definedName function="false" hidden="false" localSheetId="10" name="_xlnm.Print_Area" vbProcedure="false">Sempra_1_Expired!$A$1:$K$44</definedName>
    <definedName function="false" hidden="false" localSheetId="0" name="_xlnm.Print_Area" vbProcedure="false">Summary!$A$1:$Q$108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<sst xmlns="http://schemas.openxmlformats.org/spreadsheetml/2006/main" count="995" uniqueCount="135">
  <si>
    <t xml:space="preserve">ENRON TRANSPORTATION &amp; STORAGE</t>
  </si>
  <si>
    <t xml:space="preserve">FUEL HEDGING BOOK</t>
  </si>
  <si>
    <t xml:space="preserve">SUMMARY</t>
  </si>
  <si>
    <t xml:space="preserve">AS OF September 30, 2000</t>
  </si>
  <si>
    <t xml:space="preserve"> </t>
  </si>
  <si>
    <t xml:space="preserve">Related</t>
  </si>
  <si>
    <t xml:space="preserve">Company</t>
  </si>
  <si>
    <t xml:space="preserve">Contract</t>
  </si>
  <si>
    <t xml:space="preserve">Hedged</t>
  </si>
  <si>
    <t xml:space="preserve">Offsetting</t>
  </si>
  <si>
    <t xml:space="preserve">Hedge</t>
  </si>
  <si>
    <t xml:space="preserve">Trade</t>
  </si>
  <si>
    <t xml:space="preserve">Avg.</t>
  </si>
  <si>
    <t xml:space="preserve">Spread</t>
  </si>
  <si>
    <t xml:space="preserve">Fuel</t>
  </si>
  <si>
    <t xml:space="preserve">Trans.</t>
  </si>
  <si>
    <t xml:space="preserve">Name</t>
  </si>
  <si>
    <t xml:space="preserve">Number</t>
  </si>
  <si>
    <t xml:space="preserve">Type</t>
  </si>
  <si>
    <t xml:space="preserve">Counter-</t>
  </si>
  <si>
    <t xml:space="preserve">Term</t>
  </si>
  <si>
    <t xml:space="preserve">Date</t>
  </si>
  <si>
    <t xml:space="preserve">Price</t>
  </si>
  <si>
    <t xml:space="preserve">Actual/</t>
  </si>
  <si>
    <t xml:space="preserve">Volume</t>
  </si>
  <si>
    <t xml:space="preserve">Dth/d</t>
  </si>
  <si>
    <t xml:space="preserve">Gains and (Losses)</t>
  </si>
  <si>
    <t xml:space="preserve">Party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</si>
  <si>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</si>
  <si>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</si>
  <si>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</si>
  <si>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</si>
  <si>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</si>
  <si>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Prices</t>
  </si>
  <si>
    <t xml:space="preserve">Long</t>
  </si>
  <si>
    <t xml:space="preserve">(3)</t>
  </si>
  <si>
    <t xml:space="preserve">TW</t>
  </si>
  <si>
    <t xml:space="preserve">Avista</t>
  </si>
  <si>
    <t xml:space="preserve">F</t>
  </si>
  <si>
    <t xml:space="preserve">Engage</t>
  </si>
  <si>
    <t xml:space="preserve">06/98-05/99</t>
  </si>
  <si>
    <t xml:space="preserve">P</t>
  </si>
  <si>
    <t xml:space="preserve">Y</t>
  </si>
  <si>
    <t xml:space="preserve">Sempra</t>
  </si>
  <si>
    <t xml:space="preserve"> 06/99-05/00</t>
  </si>
  <si>
    <t xml:space="preserve">Over-rtnd</t>
  </si>
  <si>
    <t xml:space="preserve">10/98-12/99</t>
  </si>
  <si>
    <t xml:space="preserve">05/99-12/99</t>
  </si>
  <si>
    <t xml:space="preserve">RMTC</t>
  </si>
  <si>
    <t xml:space="preserve">Financial</t>
  </si>
  <si>
    <t xml:space="preserve">01/00-12/00</t>
  </si>
  <si>
    <t xml:space="preserve">Physical</t>
  </si>
  <si>
    <t xml:space="preserve">NNG</t>
  </si>
  <si>
    <t xml:space="preserve">El Paso</t>
  </si>
  <si>
    <t xml:space="preserve">Base Gas Repurchase</t>
  </si>
  <si>
    <t xml:space="preserve"> 06/02-10/02 (5)</t>
  </si>
  <si>
    <t xml:space="preserve">MEC</t>
  </si>
  <si>
    <t xml:space="preserve">N</t>
  </si>
  <si>
    <t xml:space="preserve">11/99-04/00</t>
  </si>
  <si>
    <t xml:space="preserve">ENA</t>
  </si>
  <si>
    <t xml:space="preserve">01/01-12/01</t>
  </si>
  <si>
    <t xml:space="preserve">ENA-Put Option</t>
  </si>
  <si>
    <t xml:space="preserve">NT6154.1</t>
  </si>
  <si>
    <t xml:space="preserve">NV5358.1</t>
  </si>
  <si>
    <t xml:space="preserve">FAS 133 Income Effect</t>
  </si>
  <si>
    <t xml:space="preserve">See Note 1</t>
  </si>
  <si>
    <t xml:space="preserve">Note 1:  Net income effect upon adoption of FAS 133.</t>
  </si>
  <si>
    <t xml:space="preserve">OTHER TRADE</t>
  </si>
  <si>
    <t xml:space="preserve">Speculative Gains and (Losses)</t>
  </si>
  <si>
    <t xml:space="preserve">Short(-)</t>
  </si>
  <si>
    <t xml:space="preserve">Long(+)</t>
  </si>
  <si>
    <t xml:space="preserve">Index less $.104</t>
  </si>
  <si>
    <t xml:space="preserve"> 06/02-10/02 (4)</t>
  </si>
  <si>
    <t xml:space="preserve">TransCanada</t>
  </si>
  <si>
    <t xml:space="preserve">PT01-08</t>
  </si>
  <si>
    <t xml:space="preserve">Put #1-#8</t>
  </si>
  <si>
    <t xml:space="preserve">11/00-03/09</t>
  </si>
  <si>
    <t xml:space="preserve">Swap #17-#24</t>
  </si>
  <si>
    <t xml:space="preserve">Option</t>
  </si>
  <si>
    <t xml:space="preserve">SW01-08</t>
  </si>
  <si>
    <t xml:space="preserve">Swap #1-#8</t>
  </si>
  <si>
    <t xml:space="preserve">Reserve</t>
  </si>
  <si>
    <t xml:space="preserve">El Paso </t>
  </si>
  <si>
    <t xml:space="preserve">Q06763.1</t>
  </si>
  <si>
    <t xml:space="preserve">(3)Gain and Losses are a measurement of the effectiveness of meeting the stated hedge objective.</t>
  </si>
  <si>
    <t xml:space="preserve">(4)Margin call:  $   1,000,000-NNG</t>
  </si>
  <si>
    <t xml:space="preserve">                            $20,000,000-El Paso</t>
  </si>
  <si>
    <t xml:space="preserve">TRANSWESTERN PIPELINE COMPANY</t>
  </si>
  <si>
    <t xml:space="preserve">Risk Management &amp; Trading Corp._2</t>
  </si>
  <si>
    <t xml:space="preserve">Prod.</t>
  </si>
  <si>
    <t xml:space="preserve">Fixed</t>
  </si>
  <si>
    <t xml:space="preserve">Settled</t>
  </si>
  <si>
    <t xml:space="preserve">(Gains) and Losses</t>
  </si>
  <si>
    <t xml:space="preserve">Dth</t>
  </si>
  <si>
    <t xml:space="preserve">El Paso Prmn</t>
  </si>
  <si>
    <t xml:space="preserve">(4)</t>
  </si>
  <si>
    <t xml:space="preserve">TW Index</t>
  </si>
  <si>
    <t xml:space="preserve">Over-retention</t>
  </si>
  <si>
    <t xml:space="preserve">(4)Gain and Losses are a measurement of the effectiveness of meeting the stated hedge objective.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</si>
  <si>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</si>
  <si>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</si>
  <si>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</si>
  <si>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</si>
  <si>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Enron North America_9</t>
  </si>
  <si>
    <t xml:space="preserve">Enron North America_11</t>
  </si>
  <si>
    <t xml:space="preserve">Enron North America_12</t>
  </si>
  <si>
    <t xml:space="preserve">Enron North America_13</t>
  </si>
  <si>
    <t xml:space="preserve">NORTHERN NATUAL GAS COMPANY</t>
  </si>
  <si>
    <t xml:space="preserve">El Paso Merchant Energy_18</t>
  </si>
  <si>
    <t xml:space="preserve">El Paso Call Option</t>
  </si>
  <si>
    <t xml:space="preserve">Enron North America_19</t>
  </si>
  <si>
    <t xml:space="preserve">ENA-Call Option</t>
  </si>
  <si>
    <t xml:space="preserve">Enron North America_10</t>
  </si>
  <si>
    <t xml:space="preserve">Sempra_1</t>
  </si>
  <si>
    <t xml:space="preserve">El Paso SJ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</si>
  <si>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</si>
  <si>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</si>
  <si>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</si>
  <si>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</si>
  <si>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</si>
  <si>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</si>
  <si>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</si>
  <si>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</si>
  <si>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</si>
  <si>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</si>
  <si>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</si>
  <si>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</si>
  <si>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MID-AMERICAN ENERGY COMPANY-EXPIRED</t>
  </si>
  <si>
    <t xml:space="preserve">IF-Ventura</t>
  </si>
  <si>
    <t xml:space="preserve">NGI-Chicago</t>
  </si>
  <si>
    <t xml:space="preserve">Avista_1</t>
  </si>
  <si>
    <t xml:space="preserve">DEAL EXPIRED</t>
  </si>
  <si>
    <t xml:space="preserve">Avista_2</t>
  </si>
  <si>
    <t xml:space="preserve">Sempra_2</t>
  </si>
  <si>
    <t xml:space="preserve">Sempra_2.1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</si>
</sst>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??_);_(@_)"/>
    <numFmt numFmtId="166" formatCode="_(\$* #,##0.0000_);_(\$* \(#,##0.0000\);_(\$* \-??_);_(@_)"/>
    <numFmt numFmtId="167" formatCode="_(\$* #,##0.00_);_(\$* \(#,##0.00\);_(\$* \-??_);_(@_)"/>
    <numFmt numFmtId="168" formatCode="_(* #,##0.00_);_(* \(#,##0.00\);_(* \-??_);_(@_)"/>
    <numFmt numFmtId="169" formatCode="[$-409]m/d/yyyy"/>
    <numFmt numFmtId="170" formatCode="_(\$* #,##0.000_);_(\$* \(#,##0.000\);_(\$* \-??_);_(@_)"/>
    <numFmt numFmtId="171" formatCode="[$-409]mmm\-yy"/>
    <numFmt numFmtId="172" formatCode="\$#,##0.00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Lpaso SJ &amp; Prm"/>
      <sheetName val="Elpaso"/>
      <sheetName val="Aeco"/>
      <sheetName val="Empress"/>
      <sheetName val="Iroguois"/>
      <sheetName val="Dawn"/>
      <sheetName val="Niagara"/>
      <sheetName val="Emerson"/>
      <sheetName val="MEC-EXPIRED"/>
      <sheetName val="Sheet1"/>
      <sheetName val="Sheet3"/>
    </sheetNames>
    <sheetDataSet>
      <sheetData sheetId="0">
        <row r="9">
          <cell r="R9">
            <v>4.91466666666667</v>
          </cell>
        </row>
        <row r="12">
          <cell r="R12">
            <v>5.04366666666667</v>
          </cell>
        </row>
        <row r="13">
          <cell r="R13">
            <v>4.7985</v>
          </cell>
        </row>
        <row r="14">
          <cell r="R14">
            <v>4.53033333333333</v>
          </cell>
        </row>
        <row r="15">
          <cell r="R15">
            <v>4.28583333333333</v>
          </cell>
        </row>
        <row r="16">
          <cell r="R16">
            <v>4.21083333333333</v>
          </cell>
        </row>
        <row r="17">
          <cell r="R17">
            <v>4.19583333333333</v>
          </cell>
        </row>
        <row r="18">
          <cell r="R18">
            <v>4.1975</v>
          </cell>
        </row>
        <row r="19">
          <cell r="R19">
            <v>4.1975</v>
          </cell>
        </row>
        <row r="20">
          <cell r="R20">
            <v>4.1875</v>
          </cell>
        </row>
        <row r="21">
          <cell r="R21">
            <v>4.18666666666667</v>
          </cell>
        </row>
        <row r="22">
          <cell r="R22">
            <v>4.3375</v>
          </cell>
        </row>
        <row r="23">
          <cell r="R23">
            <v>4.46083333333333</v>
          </cell>
        </row>
        <row r="34">
          <cell r="F34">
            <v>5.127</v>
          </cell>
        </row>
        <row r="35">
          <cell r="F35">
            <v>4.974</v>
          </cell>
        </row>
        <row r="36">
          <cell r="F36">
            <v>5.086</v>
          </cell>
        </row>
        <row r="37">
          <cell r="F37">
            <v>5.077</v>
          </cell>
        </row>
        <row r="38">
          <cell r="F38">
            <v>4.826</v>
          </cell>
        </row>
        <row r="39">
          <cell r="F39">
            <v>4.5795</v>
          </cell>
        </row>
        <row r="40">
          <cell r="F40">
            <v>4.3525</v>
          </cell>
        </row>
        <row r="41">
          <cell r="F41">
            <v>4.2775</v>
          </cell>
        </row>
        <row r="42">
          <cell r="F42">
            <v>4.2625</v>
          </cell>
        </row>
        <row r="43">
          <cell r="F43">
            <v>4.2625</v>
          </cell>
        </row>
        <row r="44">
          <cell r="F44">
            <v>4.2625</v>
          </cell>
        </row>
        <row r="45">
          <cell r="F45">
            <v>4.2525</v>
          </cell>
        </row>
        <row r="46">
          <cell r="F46">
            <v>4.2525</v>
          </cell>
        </row>
        <row r="47">
          <cell r="F47">
            <v>4.375</v>
          </cell>
        </row>
        <row r="48">
          <cell r="F48">
            <v>4.5</v>
          </cell>
        </row>
      </sheetData>
      <sheetData sheetId="1">
        <row r="9">
          <cell r="F9">
            <v>3.815</v>
          </cell>
        </row>
        <row r="10">
          <cell r="F10">
            <v>3.81</v>
          </cell>
        </row>
        <row r="11">
          <cell r="F11">
            <v>3.819</v>
          </cell>
        </row>
        <row r="12">
          <cell r="F12">
            <v>3.83</v>
          </cell>
        </row>
        <row r="13">
          <cell r="F13">
            <v>3.85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8.99"/>
    <col collapsed="false" customWidth="true" hidden="false" outlineLevel="0" max="3" min="3" style="1" width="11.56"/>
    <col collapsed="false" customWidth="true" hidden="false" outlineLevel="0" max="4" min="4" style="2" width="8.41"/>
    <col collapsed="false" customWidth="true" hidden="false" outlineLevel="0" max="5" min="5" style="1" width="11.7"/>
    <col collapsed="false" customWidth="true" hidden="false" outlineLevel="0" max="6" min="6" style="1" width="7.42"/>
    <col collapsed="false" customWidth="true" hidden="false" outlineLevel="0" max="7" min="7" style="1" width="11.28"/>
    <col collapsed="false" customWidth="true" hidden="false" outlineLevel="0" max="8" min="8" style="1" width="9.7"/>
    <col collapsed="false" customWidth="true" hidden="false" outlineLevel="0" max="9" min="9" style="1" width="9.41"/>
    <col collapsed="false" customWidth="true" hidden="false" outlineLevel="0" max="10" min="10" style="1" width="8.41"/>
    <col collapsed="false" customWidth="true" hidden="false" outlineLevel="0" max="11" min="11" style="1" width="8.56"/>
    <col collapsed="false" customWidth="false" hidden="false" outlineLevel="0" max="12" min="12" style="1" width="9.56"/>
    <col collapsed="false" customWidth="true" hidden="false" outlineLevel="0" max="13" min="13" style="1" width="12.85"/>
    <col collapsed="false" customWidth="false" hidden="false" outlineLevel="0" max="14" min="14" style="1" width="9.56"/>
    <col collapsed="false" customWidth="true" hidden="false" outlineLevel="0" max="15" min="15" style="1" width="14.28"/>
    <col collapsed="false" customWidth="true" hidden="false" outlineLevel="0" max="16" min="16" style="1" width="12.56"/>
    <col collapsed="false" customWidth="true" hidden="false" outlineLevel="0" max="17" min="17" style="1" width="13.41"/>
    <col collapsed="false" customWidth="false" hidden="false" outlineLevel="0" max="257" min="18" style="1" width="9.56"/>
  </cols>
  <sheetData>
    <row r="1" customFormat="false" ht="10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0.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0.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5" customFormat="false" ht="11.2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customFormat="false" ht="11.25" hidden="false" customHeight="false" outlineLevel="0" collapsed="false">
      <c r="A6" s="1" t="s">
        <v>4</v>
      </c>
      <c r="L6" s="5"/>
    </row>
    <row r="7" customFormat="false" ht="10.5" hidden="false" customHeight="false" outlineLevel="0" collapsed="false">
      <c r="A7" s="6" t="s">
        <v>5</v>
      </c>
      <c r="B7" s="7" t="s">
        <v>6</v>
      </c>
      <c r="C7" s="7" t="s">
        <v>7</v>
      </c>
      <c r="D7" s="7" t="s">
        <v>7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7</v>
      </c>
      <c r="K7" s="7" t="s">
        <v>12</v>
      </c>
      <c r="L7" s="7" t="s">
        <v>13</v>
      </c>
      <c r="M7" s="7" t="s">
        <v>7</v>
      </c>
      <c r="N7" s="7" t="s">
        <v>14</v>
      </c>
      <c r="O7" s="7"/>
      <c r="P7" s="7"/>
      <c r="Q7" s="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0.5" hidden="false" customHeight="false" outlineLevel="0" collapsed="false">
      <c r="A8" s="10" t="s">
        <v>15</v>
      </c>
      <c r="B8" s="11" t="s">
        <v>16</v>
      </c>
      <c r="C8" s="11" t="s">
        <v>16</v>
      </c>
      <c r="D8" s="11" t="s">
        <v>17</v>
      </c>
      <c r="E8" s="11" t="s">
        <v>18</v>
      </c>
      <c r="F8" s="11"/>
      <c r="G8" s="11" t="s">
        <v>19</v>
      </c>
      <c r="H8" s="11" t="s">
        <v>20</v>
      </c>
      <c r="I8" s="11" t="s">
        <v>21</v>
      </c>
      <c r="J8" s="11" t="s">
        <v>22</v>
      </c>
      <c r="K8" s="11" t="s">
        <v>23</v>
      </c>
      <c r="L8" s="11"/>
      <c r="M8" s="11" t="s">
        <v>24</v>
      </c>
      <c r="N8" s="11" t="s">
        <v>25</v>
      </c>
      <c r="O8" s="12" t="s">
        <v>26</v>
      </c>
      <c r="P8" s="12"/>
      <c r="Q8" s="1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0.5" hidden="false" customHeight="false" outlineLevel="0" collapsed="false">
      <c r="A9" s="10"/>
      <c r="B9" s="11"/>
      <c r="C9" s="11"/>
      <c r="D9" s="11"/>
      <c r="E9" s="11"/>
      <c r="F9" s="11"/>
      <c r="G9" s="11" t="s">
        <v>27</v>
      </c>
      <c r="H9" s="11"/>
      <c r="I9" s="11"/>
      <c r="J9" s="11"/>
      <c r="K9" s="11" t="s">
        <v>28</v>
      </c>
      <c r="L9" s="11"/>
      <c r="M9" s="11" t="s">
        <v>29</v>
      </c>
      <c r="N9" s="11"/>
      <c r="O9" s="11" t="s">
        <v>30</v>
      </c>
      <c r="P9" s="11" t="s">
        <v>31</v>
      </c>
      <c r="Q9" s="13" t="s">
        <v>32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0.5" hidden="false" customHeight="false" outlineLevel="0" collapsed="false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 t="s">
        <v>33</v>
      </c>
      <c r="L10" s="15"/>
      <c r="M10" s="15" t="s">
        <v>34</v>
      </c>
      <c r="N10" s="15"/>
      <c r="O10" s="15" t="s">
        <v>35</v>
      </c>
      <c r="P10" s="15" t="s">
        <v>35</v>
      </c>
      <c r="Q10" s="12" t="s">
        <v>35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1.25" hidden="true" customHeight="false" outlineLevel="0" collapsed="false">
      <c r="A11" s="16" t="n">
        <v>1</v>
      </c>
      <c r="B11" s="16" t="s">
        <v>36</v>
      </c>
      <c r="C11" s="16" t="s">
        <v>37</v>
      </c>
      <c r="D11" s="16"/>
      <c r="E11" s="16" t="s">
        <v>38</v>
      </c>
      <c r="F11" s="17"/>
      <c r="G11" s="16" t="s">
        <v>39</v>
      </c>
      <c r="H11" s="18" t="s">
        <v>40</v>
      </c>
      <c r="I11" s="17"/>
      <c r="J11" s="19" t="n">
        <f aca="false">+Avista_1_Expired!D10</f>
        <v>2.22</v>
      </c>
      <c r="K11" s="20" t="n">
        <f aca="false">(SUM(Avista_1_Expired!G10:G21)+SUM(Avista_1_Expired!H26:H37))/12</f>
        <v>1.7525</v>
      </c>
      <c r="L11" s="19" t="n">
        <f aca="false">-O11/M11</f>
        <v>-0.466027397260274</v>
      </c>
      <c r="M11" s="21" t="n">
        <f aca="false">-Avista_1_Expired!F22</f>
        <v>-91250</v>
      </c>
      <c r="N11" s="21" t="n">
        <f aca="false">+M11/365</f>
        <v>-250</v>
      </c>
      <c r="O11" s="22" t="n">
        <f aca="false">-Avista_1_Expired!I22</f>
        <v>-42525</v>
      </c>
      <c r="P11" s="23" t="n">
        <f aca="false">-Avista_1_Expired!J22</f>
        <v>-42525</v>
      </c>
      <c r="Q11" s="23" t="n">
        <f aca="false">-Avista_1_Expired!K22</f>
        <v>-0</v>
      </c>
    </row>
    <row r="12" customFormat="false" ht="11.25" hidden="true" customHeight="false" outlineLevel="0" collapsed="false">
      <c r="A12" s="24" t="n">
        <v>1</v>
      </c>
      <c r="B12" s="24" t="s">
        <v>36</v>
      </c>
      <c r="C12" s="24" t="s">
        <v>39</v>
      </c>
      <c r="D12" s="24" t="n">
        <v>26125</v>
      </c>
      <c r="E12" s="24" t="s">
        <v>41</v>
      </c>
      <c r="F12" s="24" t="s">
        <v>42</v>
      </c>
      <c r="G12" s="24" t="s">
        <v>37</v>
      </c>
      <c r="H12" s="18" t="s">
        <v>40</v>
      </c>
      <c r="I12" s="25"/>
      <c r="J12" s="26" t="n">
        <f aca="false">+Avista_1_Expired!D26</f>
        <v>2.22</v>
      </c>
      <c r="K12" s="27" t="n">
        <f aca="false">(SUM(Avista_1_Expired!G26:G37)+SUM(Avista_1_Expired!H26:H37))/12</f>
        <v>1.81916666666667</v>
      </c>
      <c r="L12" s="28" t="n">
        <f aca="false">+O12/M12</f>
        <v>0.368739726027397</v>
      </c>
      <c r="M12" s="29" t="n">
        <f aca="false">-Avista_1_Expired!F38</f>
        <v>91250</v>
      </c>
      <c r="N12" s="30" t="n">
        <f aca="false">+M12/365</f>
        <v>250</v>
      </c>
      <c r="O12" s="31" t="n">
        <f aca="false">-Avista_1_Expired!I38</f>
        <v>33647.5</v>
      </c>
      <c r="P12" s="23" t="n">
        <f aca="false">-Avista_1_Expired!J38</f>
        <v>33647.5</v>
      </c>
      <c r="Q12" s="23" t="n">
        <f aca="false">-Avista_1_Expired!K38</f>
        <v>-0</v>
      </c>
    </row>
    <row r="13" customFormat="false" ht="11.25" hidden="true" customHeight="false" outlineLevel="0" collapsed="false">
      <c r="A13" s="24"/>
      <c r="B13" s="24"/>
      <c r="C13" s="24"/>
      <c r="D13" s="24"/>
      <c r="E13" s="24"/>
      <c r="F13" s="24"/>
      <c r="G13" s="24"/>
      <c r="H13" s="25"/>
      <c r="I13" s="25"/>
      <c r="J13" s="26"/>
      <c r="K13" s="20"/>
      <c r="L13" s="26" t="n">
        <f aca="false">+L11+L12</f>
        <v>-0.0972876712328767</v>
      </c>
      <c r="M13" s="32" t="n">
        <f aca="false">SUM(M11:M12)</f>
        <v>0</v>
      </c>
      <c r="N13" s="32" t="n">
        <f aca="false">SUM(N11:N12)</f>
        <v>0</v>
      </c>
      <c r="O13" s="33" t="n">
        <f aca="false">SUM(O11:O12)</f>
        <v>-8877.5</v>
      </c>
      <c r="P13" s="33" t="n">
        <f aca="false">SUM(P11:P12)</f>
        <v>-8877.5</v>
      </c>
      <c r="Q13" s="33" t="n">
        <f aca="false">SUM(Q11:Q12)</f>
        <v>0</v>
      </c>
    </row>
    <row r="14" customFormat="false" ht="9.95" hidden="true" customHeight="true" outlineLevel="0" collapsed="false">
      <c r="A14" s="24"/>
      <c r="B14" s="24"/>
      <c r="C14" s="24"/>
      <c r="D14" s="24"/>
      <c r="E14" s="24"/>
      <c r="F14" s="24"/>
      <c r="G14" s="24"/>
      <c r="H14" s="25"/>
      <c r="I14" s="25"/>
      <c r="J14" s="26"/>
      <c r="K14" s="20"/>
      <c r="L14" s="26"/>
      <c r="M14" s="30"/>
      <c r="N14" s="30"/>
      <c r="O14" s="31"/>
      <c r="P14" s="23"/>
      <c r="Q14" s="23"/>
    </row>
    <row r="15" customFormat="false" ht="11.25" hidden="true" customHeight="false" outlineLevel="0" collapsed="false">
      <c r="A15" s="24" t="n">
        <v>1</v>
      </c>
      <c r="B15" s="24" t="s">
        <v>36</v>
      </c>
      <c r="C15" s="24" t="s">
        <v>43</v>
      </c>
      <c r="D15" s="24"/>
      <c r="E15" s="24" t="s">
        <v>38</v>
      </c>
      <c r="F15" s="24"/>
      <c r="G15" s="24" t="s">
        <v>39</v>
      </c>
      <c r="H15" s="18" t="s">
        <v>44</v>
      </c>
      <c r="I15" s="25"/>
      <c r="J15" s="26" t="n">
        <f aca="false">+Sempra_1_Expired!D9</f>
        <v>1.945</v>
      </c>
      <c r="K15" s="27" t="n">
        <f aca="false">(SUM(Sempra_1_Expired!G9:H20)/12)</f>
        <v>2.38583333333333</v>
      </c>
      <c r="L15" s="26" t="n">
        <f aca="false">-O15/M15</f>
        <v>0.439234972677596</v>
      </c>
      <c r="M15" s="29" t="n">
        <f aca="false">-Sempra_1_Expired!F21</f>
        <v>-91500</v>
      </c>
      <c r="N15" s="30" t="n">
        <f aca="false">+M15/366</f>
        <v>-250</v>
      </c>
      <c r="O15" s="31" t="n">
        <f aca="false">-Sempra_1_Expired!I21</f>
        <v>40190</v>
      </c>
      <c r="P15" s="23" t="n">
        <f aca="false">-Sempra_1_Expired!J21</f>
        <v>40190</v>
      </c>
      <c r="Q15" s="23" t="n">
        <f aca="false">-Sempra_1_Expired!K21</f>
        <v>-0</v>
      </c>
    </row>
    <row r="16" customFormat="false" ht="11.25" hidden="true" customHeight="false" outlineLevel="0" collapsed="false">
      <c r="A16" s="24" t="n">
        <v>1</v>
      </c>
      <c r="B16" s="24" t="s">
        <v>36</v>
      </c>
      <c r="C16" s="24" t="s">
        <v>39</v>
      </c>
      <c r="D16" s="24" t="n">
        <v>26125</v>
      </c>
      <c r="E16" s="24" t="s">
        <v>41</v>
      </c>
      <c r="F16" s="24" t="s">
        <v>42</v>
      </c>
      <c r="G16" s="24" t="s">
        <v>43</v>
      </c>
      <c r="H16" s="18" t="s">
        <v>44</v>
      </c>
      <c r="I16" s="25"/>
      <c r="J16" s="26" t="n">
        <f aca="false">+Sempra_1_Expired!D25</f>
        <v>1.945</v>
      </c>
      <c r="K16" s="20" t="n">
        <f aca="false">(SUM(Sempra_1_Expired!G25:H36)/12)</f>
        <v>2.45916666666667</v>
      </c>
      <c r="L16" s="28" t="n">
        <f aca="false">+O16/M16</f>
        <v>-0.515546448087432</v>
      </c>
      <c r="M16" s="30" t="n">
        <f aca="false">-Sempra_1_Expired!F37</f>
        <v>91500</v>
      </c>
      <c r="N16" s="30" t="n">
        <f aca="false">+M16/366</f>
        <v>250</v>
      </c>
      <c r="O16" s="31" t="n">
        <f aca="false">-Sempra_1_Expired!I37</f>
        <v>-47172.5</v>
      </c>
      <c r="P16" s="23" t="n">
        <f aca="false">-Sempra_1_Expired!J37</f>
        <v>-47172.5</v>
      </c>
      <c r="Q16" s="23" t="n">
        <f aca="false">-Sempra_1_Expired!K37</f>
        <v>-0</v>
      </c>
    </row>
    <row r="17" customFormat="false" ht="11.25" hidden="true" customHeight="false" outlineLevel="0" collapsed="false">
      <c r="A17" s="24"/>
      <c r="B17" s="24"/>
      <c r="C17" s="24"/>
      <c r="D17" s="24"/>
      <c r="E17" s="25"/>
      <c r="F17" s="25"/>
      <c r="G17" s="25"/>
      <c r="H17" s="25"/>
      <c r="I17" s="25"/>
      <c r="J17" s="25"/>
      <c r="K17" s="34"/>
      <c r="L17" s="26" t="n">
        <f aca="false">+L15+L16</f>
        <v>-0.0763114754098361</v>
      </c>
      <c r="M17" s="35" t="n">
        <f aca="false">+M11+M12</f>
        <v>0</v>
      </c>
      <c r="N17" s="35" t="n">
        <f aca="false">+N11+N12</f>
        <v>0</v>
      </c>
      <c r="O17" s="36" t="n">
        <f aca="false">+O15+O16</f>
        <v>-6982.5</v>
      </c>
      <c r="P17" s="36" t="n">
        <f aca="false">+P15+P16</f>
        <v>-6982.5</v>
      </c>
      <c r="Q17" s="36" t="n">
        <f aca="false">+Q15+Q16</f>
        <v>-0</v>
      </c>
    </row>
    <row r="18" customFormat="false" ht="9.95" hidden="true" customHeight="true" outlineLevel="0" collapsed="false">
      <c r="A18" s="24"/>
      <c r="B18" s="24"/>
      <c r="C18" s="25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7"/>
      <c r="Q18" s="37"/>
    </row>
    <row r="19" customFormat="false" ht="11.25" hidden="true" customHeight="false" outlineLevel="0" collapsed="false">
      <c r="A19" s="24" t="n">
        <v>2</v>
      </c>
      <c r="B19" s="24" t="s">
        <v>36</v>
      </c>
      <c r="C19" s="24" t="s">
        <v>37</v>
      </c>
      <c r="D19" s="24"/>
      <c r="E19" s="24" t="s">
        <v>38</v>
      </c>
      <c r="F19" s="25"/>
      <c r="G19" s="24" t="s">
        <v>45</v>
      </c>
      <c r="H19" s="18" t="s">
        <v>46</v>
      </c>
      <c r="I19" s="25"/>
      <c r="J19" s="20" t="n">
        <f aca="false">+Avista_2_Expired!D9</f>
        <v>2.005</v>
      </c>
      <c r="K19" s="20" t="n">
        <f aca="false">(SUM(Avista_2_Expired!G9:G23)+SUM(Avista_2_Expired!H9:H23))/15</f>
        <v>2.08933333333333</v>
      </c>
      <c r="L19" s="26" t="n">
        <f aca="false">-O19/M19</f>
        <v>0.0852625820568929</v>
      </c>
      <c r="M19" s="30" t="n">
        <f aca="false">-Avista_2_Expired!F24</f>
        <v>1142500</v>
      </c>
      <c r="N19" s="30" t="n">
        <f aca="false">+M19/457</f>
        <v>2500</v>
      </c>
      <c r="O19" s="31" t="n">
        <f aca="false">-Avista_2_Expired!I24</f>
        <v>-97412.5000000001</v>
      </c>
      <c r="P19" s="23" t="n">
        <f aca="false">-Avista_2_Expired!J24</f>
        <v>-97412.5000000001</v>
      </c>
      <c r="Q19" s="23" t="n">
        <f aca="false">-Avista_2_Expired!K24</f>
        <v>-0</v>
      </c>
    </row>
    <row r="20" customFormat="false" ht="11.25" hidden="true" customHeight="false" outlineLevel="0" collapsed="false">
      <c r="A20" s="24" t="n">
        <v>2</v>
      </c>
      <c r="B20" s="24" t="s">
        <v>36</v>
      </c>
      <c r="C20" s="24" t="s">
        <v>45</v>
      </c>
      <c r="D20" s="24"/>
      <c r="E20" s="24" t="s">
        <v>41</v>
      </c>
      <c r="F20" s="24" t="s">
        <v>42</v>
      </c>
      <c r="G20" s="24" t="s">
        <v>37</v>
      </c>
      <c r="H20" s="18" t="s">
        <v>46</v>
      </c>
      <c r="I20" s="25"/>
      <c r="J20" s="20" t="n">
        <f aca="false">+Avista_2_Expired!D28</f>
        <v>2.005</v>
      </c>
      <c r="K20" s="20" t="n">
        <f aca="false">(SUM(Avista_2_Expired!G28:G42)+SUM(Avista_2_Expired!H28:H42))/15</f>
        <v>2.036</v>
      </c>
      <c r="L20" s="28" t="n">
        <f aca="false">+O20/M20</f>
        <v>-0.0328993435448578</v>
      </c>
      <c r="M20" s="30" t="n">
        <f aca="false">-Avista_2_Expired!F43</f>
        <v>-1142500</v>
      </c>
      <c r="N20" s="30" t="n">
        <f aca="false">+M20/457</f>
        <v>-2500</v>
      </c>
      <c r="O20" s="31" t="n">
        <f aca="false">-Avista_2_Expired!I43</f>
        <v>37587.5000000001</v>
      </c>
      <c r="P20" s="23" t="n">
        <f aca="false">-Avista_2_Expired!J43</f>
        <v>37587.5000000001</v>
      </c>
      <c r="Q20" s="23" t="n">
        <f aca="false">-Avista_2_Expired!K43</f>
        <v>-0</v>
      </c>
    </row>
    <row r="21" customFormat="false" ht="11.25" hidden="true" customHeight="false" outlineLevel="0" collapsed="false">
      <c r="A21" s="24"/>
      <c r="B21" s="24"/>
      <c r="C21" s="25"/>
      <c r="D21" s="24"/>
      <c r="E21" s="25"/>
      <c r="F21" s="25"/>
      <c r="G21" s="25"/>
      <c r="H21" s="25"/>
      <c r="I21" s="25"/>
      <c r="J21" s="25"/>
      <c r="K21" s="25"/>
      <c r="L21" s="26" t="n">
        <f aca="false">+L19+L20</f>
        <v>0.052363238512035</v>
      </c>
      <c r="M21" s="35" t="n">
        <f aca="false">+M20+M19</f>
        <v>0</v>
      </c>
      <c r="N21" s="35" t="n">
        <f aca="false">+N20+N19</f>
        <v>0</v>
      </c>
      <c r="O21" s="36" t="n">
        <f aca="false">+O20+O19</f>
        <v>-59825</v>
      </c>
      <c r="P21" s="36" t="n">
        <f aca="false">+P20+P19</f>
        <v>-59825</v>
      </c>
      <c r="Q21" s="36" t="n">
        <f aca="false">+Q20+Q19</f>
        <v>-0</v>
      </c>
    </row>
    <row r="22" customFormat="false" ht="9.95" hidden="true" customHeight="true" outlineLevel="0" collapsed="false">
      <c r="A22" s="24"/>
      <c r="B22" s="24"/>
      <c r="C22" s="25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7"/>
      <c r="Q22" s="37"/>
    </row>
    <row r="23" customFormat="false" ht="11.25" hidden="true" customHeight="false" outlineLevel="0" collapsed="false">
      <c r="A23" s="24" t="n">
        <v>2</v>
      </c>
      <c r="B23" s="24" t="s">
        <v>36</v>
      </c>
      <c r="C23" s="24" t="s">
        <v>43</v>
      </c>
      <c r="D23" s="24"/>
      <c r="E23" s="24" t="s">
        <v>38</v>
      </c>
      <c r="F23" s="25"/>
      <c r="G23" s="24" t="s">
        <v>45</v>
      </c>
      <c r="H23" s="18" t="s">
        <v>46</v>
      </c>
      <c r="I23" s="25"/>
      <c r="J23" s="20" t="n">
        <f aca="false">+Sempra_2_Expired!D9</f>
        <v>2.1</v>
      </c>
      <c r="K23" s="20" t="n">
        <f aca="false">(SUM(Sempra_2_Expired!G9:G23)+SUM(Sempra_2_Expired!H9:H23))/15</f>
        <v>2.08933333333333</v>
      </c>
      <c r="L23" s="26" t="n">
        <f aca="false">-O23/M23</f>
        <v>-0.00973741794310733</v>
      </c>
      <c r="M23" s="30" t="n">
        <f aca="false">-Sempra_2_Expired!F24</f>
        <v>1142500</v>
      </c>
      <c r="N23" s="30" t="n">
        <f aca="false">+M23/457</f>
        <v>2500</v>
      </c>
      <c r="O23" s="31" t="n">
        <f aca="false">-Sempra_2_Expired!I24</f>
        <v>11125.0000000001</v>
      </c>
      <c r="P23" s="23" t="n">
        <f aca="false">-Sempra_2_Expired!J24</f>
        <v>11125.0000000001</v>
      </c>
      <c r="Q23" s="23" t="n">
        <f aca="false">-Sempra_2_Expired!K24</f>
        <v>-0</v>
      </c>
    </row>
    <row r="24" customFormat="false" ht="11.25" hidden="true" customHeight="false" outlineLevel="0" collapsed="false">
      <c r="A24" s="24" t="n">
        <v>2</v>
      </c>
      <c r="B24" s="24" t="s">
        <v>36</v>
      </c>
      <c r="C24" s="24" t="s">
        <v>45</v>
      </c>
      <c r="D24" s="24"/>
      <c r="E24" s="24" t="s">
        <v>41</v>
      </c>
      <c r="F24" s="24" t="s">
        <v>42</v>
      </c>
      <c r="G24" s="24" t="s">
        <v>43</v>
      </c>
      <c r="H24" s="18" t="s">
        <v>46</v>
      </c>
      <c r="I24" s="25"/>
      <c r="J24" s="20" t="n">
        <f aca="false">+Sempra_2_Expired!D28</f>
        <v>2.1</v>
      </c>
      <c r="K24" s="20" t="n">
        <f aca="false">(SUM(Sempra_2_Expired!G28:G42)+SUM(Sempra_2_Expired!H28:H42))/15</f>
        <v>2.036</v>
      </c>
      <c r="L24" s="28" t="n">
        <f aca="false">+O24/M24</f>
        <v>0.0621006564551423</v>
      </c>
      <c r="M24" s="38" t="n">
        <f aca="false">-Sempra_2_Expired!F43</f>
        <v>-1142500</v>
      </c>
      <c r="N24" s="38" t="n">
        <f aca="false">+M24/457</f>
        <v>-2500</v>
      </c>
      <c r="O24" s="39" t="n">
        <f aca="false">-Sempra_2_Expired!I43</f>
        <v>-70950.0000000001</v>
      </c>
      <c r="P24" s="40" t="n">
        <f aca="false">-Sempra_2_Expired!J43</f>
        <v>-70950.0000000001</v>
      </c>
      <c r="Q24" s="40" t="n">
        <f aca="false">-Sempra_2_Expired!K43</f>
        <v>-0</v>
      </c>
    </row>
    <row r="25" customFormat="false" ht="11.25" hidden="true" customHeight="false" outlineLevel="0" collapsed="false">
      <c r="A25" s="24"/>
      <c r="B25" s="24"/>
      <c r="C25" s="24"/>
      <c r="D25" s="24"/>
      <c r="E25" s="24"/>
      <c r="F25" s="24"/>
      <c r="G25" s="24"/>
      <c r="H25" s="25"/>
      <c r="I25" s="25"/>
      <c r="J25" s="20"/>
      <c r="K25" s="20"/>
      <c r="L25" s="26" t="n">
        <f aca="false">+L23+L24</f>
        <v>0.052363238512035</v>
      </c>
      <c r="M25" s="30" t="n">
        <f aca="false">+M24+M23</f>
        <v>0</v>
      </c>
      <c r="N25" s="30" t="n">
        <f aca="false">+N24+N23</f>
        <v>0</v>
      </c>
      <c r="O25" s="41" t="n">
        <f aca="false">+O24+O23</f>
        <v>-59825</v>
      </c>
      <c r="P25" s="41" t="n">
        <f aca="false">+P24+P23</f>
        <v>-59825</v>
      </c>
      <c r="Q25" s="41" t="n">
        <f aca="false">+Q24+Q23</f>
        <v>-0</v>
      </c>
    </row>
    <row r="26" customFormat="false" ht="9.95" hidden="true" customHeight="true" outlineLevel="0" collapsed="false">
      <c r="A26" s="24"/>
      <c r="B26" s="24"/>
      <c r="C26" s="24"/>
      <c r="D26" s="24"/>
      <c r="E26" s="24"/>
      <c r="F26" s="24"/>
      <c r="G26" s="24"/>
      <c r="H26" s="25"/>
      <c r="I26" s="25"/>
      <c r="J26" s="20"/>
      <c r="K26" s="20"/>
      <c r="L26" s="20"/>
      <c r="M26" s="30"/>
      <c r="N26" s="30"/>
      <c r="O26" s="31"/>
      <c r="P26" s="23"/>
      <c r="Q26" s="23"/>
    </row>
    <row r="27" customFormat="false" ht="11.25" hidden="true" customHeight="false" outlineLevel="0" collapsed="false">
      <c r="A27" s="24" t="n">
        <v>2</v>
      </c>
      <c r="B27" s="24" t="s">
        <v>36</v>
      </c>
      <c r="C27" s="24" t="s">
        <v>43</v>
      </c>
      <c r="D27" s="24"/>
      <c r="E27" s="24" t="s">
        <v>38</v>
      </c>
      <c r="F27" s="25"/>
      <c r="G27" s="24" t="s">
        <v>45</v>
      </c>
      <c r="H27" s="18" t="s">
        <v>47</v>
      </c>
      <c r="I27" s="25"/>
      <c r="J27" s="20" t="n">
        <v>2.01</v>
      </c>
      <c r="K27" s="20" t="n">
        <f aca="false">(SUM('Sempra_2.1_Expired'!G9:G16)+SUM('Sempra_2.1_Expired'!H9:H19))/8</f>
        <v>2.3775</v>
      </c>
      <c r="L27" s="26" t="n">
        <f aca="false">-O27/M27</f>
        <v>0.365061224489796</v>
      </c>
      <c r="M27" s="30" t="n">
        <f aca="false">-'Sempra_2.1_Expired'!F17</f>
        <v>2450000</v>
      </c>
      <c r="N27" s="30" t="n">
        <f aca="false">+M27/245</f>
        <v>10000</v>
      </c>
      <c r="O27" s="31" t="n">
        <f aca="false">-'Sempra_2.1_Expired'!I17</f>
        <v>-894400.000000001</v>
      </c>
      <c r="P27" s="23" t="n">
        <f aca="false">-'Sempra_2.1_Expired'!J17</f>
        <v>-894400.000000001</v>
      </c>
      <c r="Q27" s="23" t="n">
        <f aca="false">-'Sempra_2.1_Expired'!K17</f>
        <v>-0</v>
      </c>
    </row>
    <row r="28" customFormat="false" ht="11.25" hidden="true" customHeight="false" outlineLevel="0" collapsed="false">
      <c r="A28" s="24" t="n">
        <v>2</v>
      </c>
      <c r="B28" s="24" t="s">
        <v>36</v>
      </c>
      <c r="C28" s="24" t="s">
        <v>45</v>
      </c>
      <c r="D28" s="24"/>
      <c r="E28" s="24" t="s">
        <v>41</v>
      </c>
      <c r="F28" s="24" t="s">
        <v>42</v>
      </c>
      <c r="G28" s="24" t="s">
        <v>43</v>
      </c>
      <c r="H28" s="18" t="s">
        <v>47</v>
      </c>
      <c r="I28" s="25"/>
      <c r="J28" s="20" t="n">
        <v>2.01</v>
      </c>
      <c r="K28" s="20" t="n">
        <f aca="false">(SUM('Sempra_2.1_Expired'!G21:G28)+SUM('Sempra_2.1_Expired'!H21:H28))/8</f>
        <v>2.2675</v>
      </c>
      <c r="L28" s="28" t="n">
        <f aca="false">+O28/M28</f>
        <v>-0.258326530612245</v>
      </c>
      <c r="M28" s="30" t="n">
        <f aca="false">-'Sempra_2.1_Expired'!F29</f>
        <v>-2450000</v>
      </c>
      <c r="N28" s="30" t="n">
        <f aca="false">+M28/245</f>
        <v>-10000</v>
      </c>
      <c r="O28" s="31" t="n">
        <f aca="false">-'Sempra_2.1_Expired'!I29</f>
        <v>632900</v>
      </c>
      <c r="P28" s="23" t="n">
        <f aca="false">-'Sempra_2.1_Expired'!J29</f>
        <v>632900</v>
      </c>
      <c r="Q28" s="23" t="n">
        <f aca="false">-'Sempra_2.1_Expired'!K29</f>
        <v>-0</v>
      </c>
    </row>
    <row r="29" customFormat="false" ht="11.25" hidden="true" customHeight="false" outlineLevel="0" collapsed="false">
      <c r="A29" s="24"/>
      <c r="B29" s="24"/>
      <c r="C29" s="25"/>
      <c r="D29" s="24"/>
      <c r="E29" s="25"/>
      <c r="F29" s="25"/>
      <c r="G29" s="25"/>
      <c r="H29" s="25"/>
      <c r="I29" s="25"/>
      <c r="J29" s="25"/>
      <c r="K29" s="25"/>
      <c r="L29" s="26" t="n">
        <f aca="false">+L27+L28</f>
        <v>0.106734693877551</v>
      </c>
      <c r="M29" s="35" t="n">
        <f aca="false">+M27+M28</f>
        <v>0</v>
      </c>
      <c r="N29" s="35" t="n">
        <f aca="false">+N27+N28</f>
        <v>0</v>
      </c>
      <c r="O29" s="36" t="n">
        <f aca="false">+O27+O28</f>
        <v>-261500</v>
      </c>
      <c r="P29" s="36" t="n">
        <f aca="false">+P27+P28</f>
        <v>-261500</v>
      </c>
      <c r="Q29" s="36" t="n">
        <f aca="false">+Q27+Q28</f>
        <v>-0</v>
      </c>
    </row>
    <row r="30" customFormat="false" ht="9.95" hidden="true" customHeight="true" outlineLevel="0" collapsed="false">
      <c r="A30" s="24"/>
      <c r="B30" s="24"/>
      <c r="C30" s="25"/>
      <c r="D30" s="24"/>
      <c r="E30" s="25"/>
      <c r="F30" s="25"/>
      <c r="G30" s="25"/>
      <c r="H30" s="25"/>
      <c r="I30" s="25"/>
      <c r="J30" s="25"/>
      <c r="K30" s="25"/>
      <c r="L30" s="25"/>
      <c r="M30" s="34"/>
      <c r="N30" s="34"/>
      <c r="O30" s="41"/>
      <c r="P30" s="42"/>
      <c r="Q30" s="42"/>
    </row>
    <row r="31" customFormat="false" ht="11.25" hidden="false" customHeight="false" outlineLevel="0" collapsed="false">
      <c r="A31" s="24" t="n">
        <v>2</v>
      </c>
      <c r="B31" s="24" t="s">
        <v>36</v>
      </c>
      <c r="C31" s="24" t="s">
        <v>48</v>
      </c>
      <c r="D31" s="24"/>
      <c r="E31" s="24" t="s">
        <v>49</v>
      </c>
      <c r="F31" s="25"/>
      <c r="G31" s="24" t="s">
        <v>45</v>
      </c>
      <c r="H31" s="18" t="s">
        <v>50</v>
      </c>
      <c r="I31" s="24"/>
      <c r="J31" s="20" t="n">
        <v>2.365</v>
      </c>
      <c r="K31" s="20" t="n">
        <f aca="false">(SUM(RMTC_2!G9:G20)+SUM(RMTC_2!H9:H20))/12</f>
        <v>3.71475</v>
      </c>
      <c r="L31" s="26" t="n">
        <f aca="false">-O31/M31</f>
        <v>1.35276775956284</v>
      </c>
      <c r="M31" s="43" t="n">
        <f aca="false">-RMTC_2!F22</f>
        <v>5490000</v>
      </c>
      <c r="N31" s="43" t="n">
        <f aca="false">+M31/366</f>
        <v>15000</v>
      </c>
      <c r="O31" s="31" t="n">
        <f aca="false">-RMTC_2!I22</f>
        <v>-7426695</v>
      </c>
      <c r="P31" s="23" t="n">
        <f aca="false">-RMTC_2!J22</f>
        <v>-3703050</v>
      </c>
      <c r="Q31" s="23" t="n">
        <f aca="false">-RMTC_2!K22</f>
        <v>-3723645</v>
      </c>
    </row>
    <row r="32" customFormat="false" ht="11.25" hidden="false" customHeight="false" outlineLevel="0" collapsed="false">
      <c r="A32" s="24" t="n">
        <v>2</v>
      </c>
      <c r="B32" s="24" t="s">
        <v>36</v>
      </c>
      <c r="C32" s="24" t="s">
        <v>45</v>
      </c>
      <c r="D32" s="24"/>
      <c r="E32" s="24" t="s">
        <v>51</v>
      </c>
      <c r="F32" s="24" t="s">
        <v>42</v>
      </c>
      <c r="G32" s="24" t="s">
        <v>48</v>
      </c>
      <c r="H32" s="18" t="s">
        <v>50</v>
      </c>
      <c r="I32" s="24"/>
      <c r="J32" s="20" t="n">
        <v>2.365</v>
      </c>
      <c r="K32" s="20" t="n">
        <f aca="false">(SUM(RMTC_2!G26:G37)+SUM(RMTC_2!H26:H37))/12</f>
        <v>3.7295</v>
      </c>
      <c r="L32" s="28" t="n">
        <f aca="false">+O32/M32</f>
        <v>-1.36745719489982</v>
      </c>
      <c r="M32" s="44" t="n">
        <f aca="false">-RMTC_2!F39</f>
        <v>-5490000</v>
      </c>
      <c r="N32" s="44" t="n">
        <f aca="false">+M32/366</f>
        <v>-15000</v>
      </c>
      <c r="O32" s="39" t="n">
        <f aca="false">-RMTC_2!I39</f>
        <v>7507340</v>
      </c>
      <c r="P32" s="40" t="n">
        <f aca="false">-RMTC_2!J39</f>
        <v>3988800</v>
      </c>
      <c r="Q32" s="40" t="n">
        <f aca="false">-RMTC_2!K39</f>
        <v>3518540</v>
      </c>
    </row>
    <row r="33" customFormat="false" ht="11.25" hidden="false" customHeight="false" outlineLevel="0" collapsed="false">
      <c r="A33" s="24"/>
      <c r="B33" s="24"/>
      <c r="C33" s="25"/>
      <c r="D33" s="24"/>
      <c r="E33" s="25"/>
      <c r="F33" s="25"/>
      <c r="G33" s="25"/>
      <c r="H33" s="25"/>
      <c r="I33" s="24"/>
      <c r="J33" s="25"/>
      <c r="K33" s="25"/>
      <c r="L33" s="26" t="n">
        <f aca="false">+L31+L32</f>
        <v>-0.0146894353369766</v>
      </c>
      <c r="M33" s="34" t="n">
        <f aca="false">+M31+M32</f>
        <v>0</v>
      </c>
      <c r="N33" s="34" t="n">
        <f aca="false">+N31+N32</f>
        <v>0</v>
      </c>
      <c r="O33" s="41" t="n">
        <f aca="false">+O31+O32</f>
        <v>80645.0000000009</v>
      </c>
      <c r="P33" s="41" t="n">
        <f aca="false">+P31+P32</f>
        <v>285750</v>
      </c>
      <c r="Q33" s="41" t="n">
        <f aca="false">+Q31+Q32</f>
        <v>-205105</v>
      </c>
    </row>
    <row r="34" customFormat="false" ht="9.95" hidden="false" customHeight="true" outlineLevel="0" collapsed="false">
      <c r="A34" s="24"/>
      <c r="B34" s="24"/>
      <c r="C34" s="25"/>
      <c r="D34" s="24"/>
      <c r="E34" s="25"/>
      <c r="F34" s="25"/>
      <c r="G34" s="25"/>
      <c r="H34" s="25"/>
      <c r="I34" s="24"/>
      <c r="J34" s="25"/>
      <c r="K34" s="25"/>
      <c r="L34" s="25"/>
      <c r="M34" s="25"/>
      <c r="N34" s="25"/>
      <c r="O34" s="25"/>
      <c r="P34" s="25"/>
      <c r="Q34" s="25"/>
    </row>
    <row r="35" customFormat="false" ht="22.5" hidden="true" customHeight="false" outlineLevel="0" collapsed="false">
      <c r="A35" s="24" t="n">
        <v>6</v>
      </c>
      <c r="B35" s="24" t="s">
        <v>52</v>
      </c>
      <c r="C35" s="24" t="s">
        <v>53</v>
      </c>
      <c r="D35" s="24" t="n">
        <v>25834</v>
      </c>
      <c r="E35" s="24" t="s">
        <v>41</v>
      </c>
      <c r="F35" s="24" t="s">
        <v>42</v>
      </c>
      <c r="G35" s="18" t="s">
        <v>54</v>
      </c>
      <c r="H35" s="18" t="s">
        <v>55</v>
      </c>
      <c r="I35" s="24"/>
      <c r="J35" s="20" t="n">
        <v>2.32</v>
      </c>
      <c r="K35" s="20" t="n">
        <f aca="false">SUM(Elpaso_6!G9:H13)/5</f>
        <v>3.8248</v>
      </c>
      <c r="L35" s="26" t="n">
        <f aca="false">O35/M35</f>
        <v>-0.527133333333333</v>
      </c>
      <c r="M35" s="30" t="n">
        <f aca="false">-Elpaso_6!F15</f>
        <v>15000000</v>
      </c>
      <c r="N35" s="45" t="n">
        <f aca="false">+M35/153</f>
        <v>98039.2156862745</v>
      </c>
      <c r="O35" s="31" t="n">
        <f aca="false">-Elpaso_6!I15</f>
        <v>-7907000</v>
      </c>
      <c r="P35" s="46" t="n">
        <f aca="false">-Elpaso_6!J15</f>
        <v>-0</v>
      </c>
      <c r="Q35" s="31" t="n">
        <f aca="false">-Elpaso_6!K15</f>
        <v>-7907000</v>
      </c>
    </row>
    <row r="36" customFormat="false" ht="22.5" hidden="true" customHeight="false" outlineLevel="0" collapsed="false">
      <c r="A36" s="24" t="n">
        <v>6</v>
      </c>
      <c r="B36" s="24" t="s">
        <v>52</v>
      </c>
      <c r="C36" s="24" t="s">
        <v>53</v>
      </c>
      <c r="D36" s="24"/>
      <c r="E36" s="24" t="s">
        <v>38</v>
      </c>
      <c r="F36" s="24" t="s">
        <v>42</v>
      </c>
      <c r="G36" s="18" t="s">
        <v>54</v>
      </c>
      <c r="H36" s="18" t="s">
        <v>55</v>
      </c>
      <c r="I36" s="24"/>
      <c r="J36" s="20" t="n">
        <v>2.32</v>
      </c>
      <c r="K36" s="20" t="n">
        <f aca="false">SUM(Elpaso_6!G9:H13)/5</f>
        <v>3.8248</v>
      </c>
      <c r="L36" s="47" t="n">
        <f aca="false">O36/M36</f>
        <v>0.527133333333333</v>
      </c>
      <c r="M36" s="38" t="n">
        <f aca="false">-Elpaso_6!F23</f>
        <v>15000000</v>
      </c>
      <c r="N36" s="48" t="n">
        <f aca="false">+M36/153</f>
        <v>98039.2156862745</v>
      </c>
      <c r="O36" s="39" t="n">
        <f aca="false">Elpaso_6!I15</f>
        <v>7907000</v>
      </c>
      <c r="P36" s="49" t="n">
        <f aca="false">-Elpaso_6!J26</f>
        <v>-0</v>
      </c>
      <c r="Q36" s="39" t="n">
        <f aca="false">Elpaso_6!K15</f>
        <v>7907000</v>
      </c>
    </row>
    <row r="37" customFormat="false" ht="11.25" hidden="true" customHeight="false" outlineLevel="0" collapsed="false">
      <c r="A37" s="24"/>
      <c r="B37" s="24"/>
      <c r="C37" s="24"/>
      <c r="D37" s="24"/>
      <c r="E37" s="24"/>
      <c r="F37" s="24"/>
      <c r="G37" s="18"/>
      <c r="H37" s="18"/>
      <c r="I37" s="24"/>
      <c r="J37" s="20"/>
      <c r="K37" s="20"/>
      <c r="L37" s="26" t="n">
        <f aca="false">+L35-L36</f>
        <v>-1.05426666666667</v>
      </c>
      <c r="M37" s="30" t="n">
        <f aca="false">+M36+M35</f>
        <v>30000000</v>
      </c>
      <c r="N37" s="30" t="n">
        <f aca="false">+N36+N35</f>
        <v>196078.431372549</v>
      </c>
      <c r="O37" s="50" t="n">
        <f aca="false">+O36+O35</f>
        <v>0</v>
      </c>
      <c r="P37" s="51" t="n">
        <f aca="false">+P36+P35</f>
        <v>-0</v>
      </c>
      <c r="Q37" s="50" t="n">
        <f aca="false">+Q36+Q35</f>
        <v>0</v>
      </c>
    </row>
    <row r="38" customFormat="false" ht="11.25" hidden="true" customHeight="false" outlineLevel="0" collapsed="false">
      <c r="A38" s="24"/>
      <c r="B38" s="24"/>
      <c r="C38" s="24"/>
      <c r="D38" s="24"/>
      <c r="E38" s="24"/>
      <c r="F38" s="24"/>
      <c r="G38" s="18"/>
      <c r="H38" s="18"/>
      <c r="I38" s="24"/>
      <c r="J38" s="20"/>
      <c r="K38" s="20"/>
      <c r="L38" s="26"/>
      <c r="M38" s="30"/>
      <c r="N38" s="45"/>
      <c r="O38" s="50"/>
      <c r="P38" s="51"/>
      <c r="Q38" s="50"/>
    </row>
    <row r="39" customFormat="false" ht="11.25" hidden="true" customHeight="false" outlineLevel="0" collapsed="false">
      <c r="A39" s="24" t="n">
        <v>8</v>
      </c>
      <c r="B39" s="24" t="s">
        <v>52</v>
      </c>
      <c r="C39" s="24" t="s">
        <v>56</v>
      </c>
      <c r="D39" s="24" t="n">
        <v>105706</v>
      </c>
      <c r="E39" s="24" t="s">
        <v>41</v>
      </c>
      <c r="F39" s="24" t="s">
        <v>57</v>
      </c>
      <c r="G39" s="18"/>
      <c r="H39" s="18" t="s">
        <v>58</v>
      </c>
      <c r="I39" s="18"/>
      <c r="J39" s="20"/>
      <c r="K39" s="26" t="n">
        <f aca="false">SUM(MEC_8_Expired!H9:H14)/6</f>
        <v>0</v>
      </c>
      <c r="L39" s="26" t="n">
        <f aca="false">O39/M39</f>
        <v>2.55826086956522</v>
      </c>
      <c r="M39" s="30" t="n">
        <f aca="false">-MEC_8_Expired!F15</f>
        <v>-230000</v>
      </c>
      <c r="N39" s="45" t="n">
        <f aca="false">+M39/182</f>
        <v>-1263.73626373626</v>
      </c>
      <c r="O39" s="31" t="n">
        <f aca="false">-MEC_8_Expired!I15</f>
        <v>-588400</v>
      </c>
      <c r="P39" s="46" t="n">
        <f aca="false">-MEC_8_Expired!J15</f>
        <v>-588400</v>
      </c>
      <c r="Q39" s="31" t="n">
        <f aca="false">-MEC_8_Expired!K15</f>
        <v>-0</v>
      </c>
    </row>
    <row r="40" customFormat="false" ht="11.25" hidden="true" customHeight="false" outlineLevel="0" collapsed="false">
      <c r="A40" s="24" t="n">
        <v>8</v>
      </c>
      <c r="B40" s="24" t="s">
        <v>52</v>
      </c>
      <c r="C40" s="24" t="s">
        <v>56</v>
      </c>
      <c r="D40" s="24" t="n">
        <v>105706</v>
      </c>
      <c r="E40" s="24" t="s">
        <v>41</v>
      </c>
      <c r="F40" s="24" t="s">
        <v>57</v>
      </c>
      <c r="G40" s="18"/>
      <c r="H40" s="18" t="s">
        <v>58</v>
      </c>
      <c r="I40" s="18"/>
      <c r="J40" s="20"/>
      <c r="K40" s="20" t="n">
        <f aca="false">SUM(MEC_8_Expired!H20:H25)/6</f>
        <v>0</v>
      </c>
      <c r="L40" s="47" t="n">
        <f aca="false">O40/M40</f>
        <v>2.63973913043478</v>
      </c>
      <c r="M40" s="38" t="n">
        <f aca="false">-MEC_8_Expired!F26</f>
        <v>230000</v>
      </c>
      <c r="N40" s="38" t="n">
        <f aca="false">+M40/182</f>
        <v>1263.73626373626</v>
      </c>
      <c r="O40" s="39" t="n">
        <f aca="false">-MEC_8_Expired!I26</f>
        <v>607140</v>
      </c>
      <c r="P40" s="49" t="n">
        <f aca="false">-MEC_8_Expired!J26</f>
        <v>607140</v>
      </c>
      <c r="Q40" s="39" t="n">
        <f aca="false">-MEC_8_Expired!K26</f>
        <v>-0</v>
      </c>
    </row>
    <row r="41" customFormat="false" ht="11.25" hidden="true" customHeight="false" outlineLevel="0" collapsed="false">
      <c r="A41" s="24"/>
      <c r="B41" s="24"/>
      <c r="C41" s="24"/>
      <c r="D41" s="24"/>
      <c r="E41" s="24"/>
      <c r="F41" s="24"/>
      <c r="G41" s="18"/>
      <c r="H41" s="18"/>
      <c r="I41" s="18"/>
      <c r="J41" s="20"/>
      <c r="K41" s="20"/>
      <c r="L41" s="26" t="n">
        <f aca="false">+L39-L40</f>
        <v>-0.0814782608695652</v>
      </c>
      <c r="M41" s="30" t="n">
        <f aca="false">+M40+M39</f>
        <v>0</v>
      </c>
      <c r="N41" s="30" t="n">
        <f aca="false">+N40+N39</f>
        <v>0</v>
      </c>
      <c r="O41" s="31" t="n">
        <f aca="false">+O40+O39</f>
        <v>18740</v>
      </c>
      <c r="P41" s="46" t="n">
        <f aca="false">+P40+P39</f>
        <v>18740</v>
      </c>
      <c r="Q41" s="31" t="n">
        <f aca="false">+Q40+Q39</f>
        <v>-0</v>
      </c>
    </row>
    <row r="42" customFormat="false" ht="11.25" hidden="true" customHeight="false" outlineLevel="0" collapsed="false">
      <c r="A42" s="24"/>
      <c r="B42" s="24"/>
      <c r="C42" s="24"/>
      <c r="D42" s="24"/>
      <c r="E42" s="24"/>
      <c r="F42" s="24"/>
      <c r="G42" s="18"/>
      <c r="H42" s="18"/>
      <c r="I42" s="18"/>
      <c r="J42" s="20"/>
      <c r="K42" s="20"/>
      <c r="L42" s="26"/>
      <c r="M42" s="30"/>
      <c r="N42" s="45"/>
      <c r="O42" s="31"/>
      <c r="P42" s="46"/>
      <c r="Q42" s="31"/>
    </row>
    <row r="43" customFormat="false" ht="11.25" hidden="false" customHeight="false" outlineLevel="0" collapsed="false">
      <c r="A43" s="24" t="n">
        <v>9</v>
      </c>
      <c r="B43" s="24" t="s">
        <v>36</v>
      </c>
      <c r="C43" s="24" t="s">
        <v>59</v>
      </c>
      <c r="D43" s="24"/>
      <c r="E43" s="24" t="s">
        <v>49</v>
      </c>
      <c r="F43" s="25"/>
      <c r="G43" s="24" t="s">
        <v>45</v>
      </c>
      <c r="H43" s="18" t="s">
        <v>60</v>
      </c>
      <c r="I43" s="24"/>
      <c r="J43" s="20" t="n">
        <v>3.23</v>
      </c>
      <c r="K43" s="20" t="n">
        <f aca="false">(SUM(ENA_9!G9:G20)+SUM(ENA_9!H9:H20))/12</f>
        <v>4.44</v>
      </c>
      <c r="L43" s="26" t="n">
        <f aca="false">-O43/M43</f>
        <v>1.20824520547945</v>
      </c>
      <c r="M43" s="43" t="n">
        <f aca="false">-ENA_9!F22</f>
        <v>1825000</v>
      </c>
      <c r="N43" s="43" t="n">
        <f aca="false">+M43/365</f>
        <v>5000</v>
      </c>
      <c r="O43" s="31" t="n">
        <f aca="false">-ENA_9!I22</f>
        <v>-2205047.5</v>
      </c>
      <c r="P43" s="23" t="n">
        <f aca="false">-ENA_9!J22</f>
        <v>-0</v>
      </c>
      <c r="Q43" s="23" t="n">
        <f aca="false">-ENA_9!K22</f>
        <v>-2205047.5</v>
      </c>
    </row>
    <row r="44" customFormat="false" ht="11.25" hidden="false" customHeight="false" outlineLevel="0" collapsed="false">
      <c r="A44" s="24" t="n">
        <v>9</v>
      </c>
      <c r="B44" s="24" t="s">
        <v>36</v>
      </c>
      <c r="C44" s="24" t="s">
        <v>45</v>
      </c>
      <c r="D44" s="24"/>
      <c r="E44" s="24" t="s">
        <v>51</v>
      </c>
      <c r="F44" s="24" t="s">
        <v>42</v>
      </c>
      <c r="G44" s="24" t="s">
        <v>59</v>
      </c>
      <c r="H44" s="18" t="s">
        <v>60</v>
      </c>
      <c r="I44" s="24"/>
      <c r="J44" s="20" t="n">
        <v>3.23</v>
      </c>
      <c r="K44" s="20" t="n">
        <f aca="false">(SUM(ENA_9!G26:G37)+SUM(ENA_9!H26:H37))/12</f>
        <v>4.38604166666667</v>
      </c>
      <c r="L44" s="28" t="n">
        <f aca="false">+O44/M44</f>
        <v>-1.15412420091324</v>
      </c>
      <c r="M44" s="44" t="n">
        <f aca="false">-ENA_9!F39</f>
        <v>-1825000</v>
      </c>
      <c r="N44" s="44" t="n">
        <f aca="false">+M44/365</f>
        <v>-5000</v>
      </c>
      <c r="O44" s="39" t="n">
        <f aca="false">-ENA_9!I39</f>
        <v>2106276.66666667</v>
      </c>
      <c r="P44" s="40" t="n">
        <f aca="false">-ENA_9!J39</f>
        <v>-0</v>
      </c>
      <c r="Q44" s="40" t="n">
        <f aca="false">-ENA_9!K39</f>
        <v>2106276.66666667</v>
      </c>
    </row>
    <row r="45" customFormat="false" ht="11.25" hidden="false" customHeight="false" outlineLevel="0" collapsed="false">
      <c r="A45" s="24"/>
      <c r="B45" s="24"/>
      <c r="C45" s="25"/>
      <c r="D45" s="24"/>
      <c r="E45" s="25"/>
      <c r="F45" s="25"/>
      <c r="G45" s="25"/>
      <c r="H45" s="25"/>
      <c r="I45" s="24"/>
      <c r="J45" s="25"/>
      <c r="K45" s="25"/>
      <c r="L45" s="26" t="n">
        <f aca="false">+L43+L44</f>
        <v>0.0541210045662099</v>
      </c>
      <c r="M45" s="34" t="n">
        <f aca="false">+M43+M44</f>
        <v>0</v>
      </c>
      <c r="N45" s="34" t="n">
        <f aca="false">+N43+N44</f>
        <v>0</v>
      </c>
      <c r="O45" s="41" t="n">
        <f aca="false">+O43+O44</f>
        <v>-98770.8333333335</v>
      </c>
      <c r="P45" s="41" t="n">
        <f aca="false">+P43+P44</f>
        <v>-0</v>
      </c>
      <c r="Q45" s="41" t="n">
        <f aca="false">+Q43+Q44</f>
        <v>-98770.8333333335</v>
      </c>
    </row>
    <row r="46" customFormat="false" ht="11.25" hidden="false" customHeight="false" outlineLevel="0" collapsed="false">
      <c r="A46" s="24"/>
      <c r="B46" s="24"/>
      <c r="C46" s="25"/>
      <c r="D46" s="24"/>
      <c r="E46" s="25"/>
      <c r="F46" s="25"/>
      <c r="G46" s="25"/>
      <c r="H46" s="25"/>
      <c r="I46" s="24"/>
      <c r="J46" s="25"/>
      <c r="K46" s="25"/>
      <c r="L46" s="26"/>
      <c r="M46" s="34"/>
      <c r="N46" s="52"/>
      <c r="O46" s="41"/>
      <c r="P46" s="41"/>
      <c r="Q46" s="41"/>
    </row>
    <row r="47" customFormat="false" ht="11.25" hidden="true" customHeight="false" outlineLevel="0" collapsed="false">
      <c r="A47" s="24"/>
      <c r="B47" s="24"/>
      <c r="C47" s="25"/>
      <c r="D47" s="24"/>
      <c r="E47" s="25"/>
      <c r="F47" s="25"/>
      <c r="G47" s="25"/>
      <c r="H47" s="25"/>
      <c r="I47" s="24"/>
      <c r="J47" s="25"/>
      <c r="K47" s="25"/>
      <c r="L47" s="26"/>
      <c r="M47" s="34"/>
      <c r="N47" s="52"/>
      <c r="O47" s="41"/>
      <c r="P47" s="41"/>
      <c r="Q47" s="41"/>
    </row>
    <row r="48" customFormat="false" ht="11.25" hidden="true" customHeight="false" outlineLevel="0" collapsed="false">
      <c r="A48" s="24" t="n">
        <v>10</v>
      </c>
      <c r="B48" s="24" t="s">
        <v>36</v>
      </c>
      <c r="C48" s="24" t="s">
        <v>61</v>
      </c>
      <c r="D48" s="24"/>
      <c r="E48" s="24" t="s">
        <v>49</v>
      </c>
      <c r="F48" s="25"/>
      <c r="G48" s="24" t="s">
        <v>45</v>
      </c>
      <c r="H48" s="18" t="s">
        <v>60</v>
      </c>
      <c r="I48" s="24"/>
      <c r="J48" s="20" t="n">
        <v>3</v>
      </c>
      <c r="K48" s="20" t="e">
        <f aca="false">(SUM('ENA_10-Expired'!G9:G20)+SUM('ENA_10-Expired'!H9:H20))/12</f>
        <v>#N/A</v>
      </c>
      <c r="L48" s="26" t="n">
        <v>0.1</v>
      </c>
      <c r="M48" s="43"/>
      <c r="N48" s="43" t="n">
        <f aca="false">+M48/365</f>
        <v>0</v>
      </c>
      <c r="O48" s="39" t="n">
        <f aca="false">-'ENA_10-Expired'!I22</f>
        <v>-182500</v>
      </c>
      <c r="P48" s="39" t="n">
        <f aca="false">+O48</f>
        <v>-182500</v>
      </c>
      <c r="Q48" s="39"/>
    </row>
    <row r="49" customFormat="false" ht="11.25" hidden="true" customHeight="false" outlineLevel="0" collapsed="false">
      <c r="A49" s="24"/>
      <c r="B49" s="24"/>
      <c r="C49" s="25"/>
      <c r="D49" s="24"/>
      <c r="E49" s="25"/>
      <c r="F49" s="25"/>
      <c r="G49" s="25"/>
      <c r="H49" s="25"/>
      <c r="I49" s="24"/>
      <c r="J49" s="25"/>
      <c r="K49" s="25"/>
      <c r="L49" s="26"/>
      <c r="M49" s="34"/>
      <c r="N49" s="34"/>
      <c r="O49" s="41" t="n">
        <f aca="false">+O48</f>
        <v>-182500</v>
      </c>
      <c r="P49" s="41" t="n">
        <f aca="false">+P48</f>
        <v>-182500</v>
      </c>
      <c r="Q49" s="41" t="n">
        <f aca="false">+Q48</f>
        <v>0</v>
      </c>
    </row>
    <row r="50" customFormat="false" ht="11.25" hidden="true" customHeight="false" outlineLevel="0" collapsed="false">
      <c r="A50" s="24"/>
      <c r="B50" s="24"/>
      <c r="C50" s="25"/>
      <c r="D50" s="24"/>
      <c r="E50" s="25"/>
      <c r="F50" s="25"/>
      <c r="G50" s="25"/>
      <c r="H50" s="25"/>
      <c r="I50" s="24"/>
      <c r="J50" s="25"/>
      <c r="K50" s="25"/>
      <c r="L50" s="26"/>
      <c r="M50" s="34"/>
      <c r="N50" s="52"/>
      <c r="O50" s="41"/>
      <c r="P50" s="41"/>
      <c r="Q50" s="41"/>
    </row>
    <row r="51" customFormat="false" ht="11.25" hidden="true" customHeight="false" outlineLevel="0" collapsed="false">
      <c r="A51" s="24"/>
      <c r="B51" s="24"/>
      <c r="C51" s="25"/>
      <c r="D51" s="24"/>
      <c r="E51" s="25"/>
      <c r="F51" s="25"/>
      <c r="G51" s="25"/>
      <c r="H51" s="25"/>
      <c r="I51" s="24"/>
      <c r="J51" s="25"/>
      <c r="K51" s="25"/>
      <c r="L51" s="26"/>
      <c r="M51" s="34"/>
      <c r="N51" s="52"/>
      <c r="O51" s="41"/>
      <c r="P51" s="41"/>
      <c r="Q51" s="41"/>
    </row>
    <row r="52" customFormat="false" ht="11.25" hidden="false" customHeight="false" outlineLevel="0" collapsed="false">
      <c r="A52" s="24" t="n">
        <v>11</v>
      </c>
      <c r="B52" s="24" t="s">
        <v>36</v>
      </c>
      <c r="C52" s="24" t="s">
        <v>59</v>
      </c>
      <c r="D52" s="24"/>
      <c r="E52" s="24" t="s">
        <v>49</v>
      </c>
      <c r="F52" s="25"/>
      <c r="G52" s="24" t="s">
        <v>45</v>
      </c>
      <c r="H52" s="18" t="s">
        <v>60</v>
      </c>
      <c r="I52" s="24"/>
      <c r="J52" s="20" t="n">
        <v>3.74</v>
      </c>
      <c r="K52" s="20" t="n">
        <f aca="false">(SUM(ENA_11!G9:G20)+SUM(ENA_11!H9:H20))/12</f>
        <v>4.44</v>
      </c>
      <c r="L52" s="26" t="n">
        <v>0.1</v>
      </c>
      <c r="M52" s="43" t="n">
        <f aca="false">-ENA_11!F22</f>
        <v>1825000</v>
      </c>
      <c r="N52" s="43" t="n">
        <f aca="false">+M52/365</f>
        <v>5000</v>
      </c>
      <c r="O52" s="31" t="n">
        <f aca="false">-ENA_11!I22</f>
        <v>-1274297.5</v>
      </c>
      <c r="P52" s="23" t="n">
        <f aca="false">-ENA_11!J22</f>
        <v>-0</v>
      </c>
      <c r="Q52" s="23" t="n">
        <f aca="false">-ENA_11!K22</f>
        <v>-1274297.5</v>
      </c>
    </row>
    <row r="53" customFormat="false" ht="11.25" hidden="false" customHeight="false" outlineLevel="0" collapsed="false">
      <c r="A53" s="24" t="n">
        <v>11</v>
      </c>
      <c r="B53" s="24" t="s">
        <v>36</v>
      </c>
      <c r="C53" s="24" t="s">
        <v>45</v>
      </c>
      <c r="D53" s="24"/>
      <c r="E53" s="24" t="s">
        <v>51</v>
      </c>
      <c r="F53" s="24" t="s">
        <v>42</v>
      </c>
      <c r="G53" s="24" t="s">
        <v>59</v>
      </c>
      <c r="H53" s="18" t="s">
        <v>60</v>
      </c>
      <c r="I53" s="24"/>
      <c r="J53" s="20" t="n">
        <v>3.74</v>
      </c>
      <c r="K53" s="20" t="n">
        <f aca="false">(SUM(ENA_11!G26:G37)+SUM(ENA_11!H26:H37))/12</f>
        <v>4.38604166666667</v>
      </c>
      <c r="L53" s="28" t="n">
        <f aca="false">+O53/M53</f>
        <v>-0.644124200913242</v>
      </c>
      <c r="M53" s="44" t="n">
        <f aca="false">-ENA_11!F39</f>
        <v>-1825000</v>
      </c>
      <c r="N53" s="44" t="n">
        <f aca="false">+M53/365</f>
        <v>-5000</v>
      </c>
      <c r="O53" s="39" t="n">
        <f aca="false">-ENA_11!I39</f>
        <v>1175526.66666667</v>
      </c>
      <c r="P53" s="40" t="n">
        <f aca="false">-ENA_11!J39</f>
        <v>-0</v>
      </c>
      <c r="Q53" s="40" t="n">
        <f aca="false">-ENA_11!K39</f>
        <v>1175526.66666667</v>
      </c>
    </row>
    <row r="54" customFormat="false" ht="11.25" hidden="false" customHeight="false" outlineLevel="0" collapsed="false">
      <c r="A54" s="24"/>
      <c r="B54" s="24"/>
      <c r="C54" s="25"/>
      <c r="D54" s="24"/>
      <c r="E54" s="25"/>
      <c r="F54" s="25"/>
      <c r="G54" s="25"/>
      <c r="H54" s="25"/>
      <c r="I54" s="24"/>
      <c r="J54" s="25"/>
      <c r="K54" s="25"/>
      <c r="L54" s="26" t="n">
        <f aca="false">+L52+L53</f>
        <v>-0.544124200913242</v>
      </c>
      <c r="M54" s="34" t="n">
        <f aca="false">+M52+M53</f>
        <v>0</v>
      </c>
      <c r="N54" s="34" t="n">
        <f aca="false">+N52+N53</f>
        <v>0</v>
      </c>
      <c r="O54" s="41" t="n">
        <f aca="false">+O52+O53</f>
        <v>-98770.833333333</v>
      </c>
      <c r="P54" s="41" t="n">
        <f aca="false">+P52+P53</f>
        <v>-0</v>
      </c>
      <c r="Q54" s="41" t="n">
        <f aca="false">+Q52+Q53</f>
        <v>-98770.833333333</v>
      </c>
    </row>
    <row r="55" customFormat="false" ht="11.25" hidden="false" customHeight="false" outlineLevel="0" collapsed="false">
      <c r="A55" s="24"/>
      <c r="B55" s="24"/>
      <c r="C55" s="25"/>
      <c r="D55" s="24"/>
      <c r="E55" s="25"/>
      <c r="F55" s="25"/>
      <c r="G55" s="25"/>
      <c r="H55" s="25"/>
      <c r="I55" s="24"/>
      <c r="J55" s="25"/>
      <c r="K55" s="25"/>
      <c r="L55" s="26"/>
      <c r="M55" s="34"/>
      <c r="N55" s="52"/>
      <c r="O55" s="41"/>
      <c r="P55" s="41"/>
      <c r="Q55" s="41"/>
    </row>
    <row r="56" customFormat="false" ht="11.25" hidden="false" customHeight="false" outlineLevel="0" collapsed="false">
      <c r="A56" s="24" t="n">
        <v>12</v>
      </c>
      <c r="B56" s="24" t="s">
        <v>36</v>
      </c>
      <c r="C56" s="24" t="s">
        <v>59</v>
      </c>
      <c r="D56" s="24" t="s">
        <v>62</v>
      </c>
      <c r="E56" s="24" t="s">
        <v>49</v>
      </c>
      <c r="F56" s="25"/>
      <c r="G56" s="24" t="s">
        <v>45</v>
      </c>
      <c r="H56" s="18" t="s">
        <v>60</v>
      </c>
      <c r="I56" s="53" t="n">
        <v>36740</v>
      </c>
      <c r="J56" s="20" t="n">
        <v>3.63</v>
      </c>
      <c r="K56" s="20" t="n">
        <f aca="false">(SUM(ENA_12!G26:G37)+SUM(ENA_12!H26:H37))/12</f>
        <v>4.38604166666667</v>
      </c>
      <c r="L56" s="26" t="n">
        <v>0.1</v>
      </c>
      <c r="M56" s="43" t="n">
        <f aca="false">-ENA_12!F22</f>
        <v>1825000</v>
      </c>
      <c r="N56" s="43" t="n">
        <f aca="false">+M56/365</f>
        <v>5000</v>
      </c>
      <c r="O56" s="31" t="n">
        <f aca="false">-ENA_12!I22</f>
        <v>-1475047.5</v>
      </c>
      <c r="P56" s="23" t="n">
        <f aca="false">-ENA_12!J22</f>
        <v>-0</v>
      </c>
      <c r="Q56" s="23" t="n">
        <f aca="false">-ENA_12!K22</f>
        <v>-1475047.5</v>
      </c>
    </row>
    <row r="57" customFormat="false" ht="11.25" hidden="false" customHeight="false" outlineLevel="0" collapsed="false">
      <c r="A57" s="24" t="n">
        <v>12</v>
      </c>
      <c r="B57" s="24" t="s">
        <v>36</v>
      </c>
      <c r="C57" s="24" t="s">
        <v>45</v>
      </c>
      <c r="D57" s="24"/>
      <c r="E57" s="24" t="s">
        <v>51</v>
      </c>
      <c r="F57" s="24" t="s">
        <v>42</v>
      </c>
      <c r="G57" s="24" t="s">
        <v>59</v>
      </c>
      <c r="H57" s="18" t="s">
        <v>60</v>
      </c>
      <c r="I57" s="24"/>
      <c r="J57" s="20" t="n">
        <v>3.63</v>
      </c>
      <c r="K57" s="20" t="n">
        <f aca="false">(SUM(ENA_12!G26:G37)+SUM(ENA_12!H26:H37))/12</f>
        <v>4.38604166666667</v>
      </c>
      <c r="L57" s="28" t="n">
        <f aca="false">+O57/M57</f>
        <v>-0.754124200913242</v>
      </c>
      <c r="M57" s="44" t="n">
        <f aca="false">-ENA_12!F39</f>
        <v>-1825000</v>
      </c>
      <c r="N57" s="44" t="n">
        <f aca="false">+M57/365</f>
        <v>-5000</v>
      </c>
      <c r="O57" s="39" t="n">
        <f aca="false">-ENA_12!I39</f>
        <v>1376276.66666667</v>
      </c>
      <c r="P57" s="40" t="n">
        <f aca="false">-ENA_12!J39</f>
        <v>-0</v>
      </c>
      <c r="Q57" s="40" t="n">
        <f aca="false">-ENA_12!K39</f>
        <v>1376276.66666667</v>
      </c>
    </row>
    <row r="58" customFormat="false" ht="11.25" hidden="false" customHeight="false" outlineLevel="0" collapsed="false">
      <c r="A58" s="24"/>
      <c r="B58" s="24"/>
      <c r="C58" s="25"/>
      <c r="D58" s="24"/>
      <c r="E58" s="25"/>
      <c r="F58" s="25"/>
      <c r="G58" s="25"/>
      <c r="H58" s="25"/>
      <c r="I58" s="24"/>
      <c r="J58" s="25"/>
      <c r="K58" s="25"/>
      <c r="L58" s="26" t="n">
        <f aca="false">+L56+L57</f>
        <v>-0.654124200913242</v>
      </c>
      <c r="M58" s="34" t="n">
        <f aca="false">+M56+M57</f>
        <v>0</v>
      </c>
      <c r="N58" s="34" t="n">
        <f aca="false">+N56+N57</f>
        <v>0</v>
      </c>
      <c r="O58" s="41" t="n">
        <f aca="false">+O56+O57</f>
        <v>-98770.8333333333</v>
      </c>
      <c r="P58" s="41" t="n">
        <f aca="false">+P56+P57</f>
        <v>-0</v>
      </c>
      <c r="Q58" s="41" t="n">
        <f aca="false">+Q56+Q57</f>
        <v>-98770.8333333333</v>
      </c>
    </row>
    <row r="59" customFormat="false" ht="11.25" hidden="false" customHeight="false" outlineLevel="0" collapsed="false">
      <c r="A59" s="24"/>
      <c r="B59" s="24"/>
      <c r="C59" s="25"/>
      <c r="D59" s="24"/>
      <c r="E59" s="25"/>
      <c r="F59" s="25"/>
      <c r="G59" s="25"/>
      <c r="H59" s="25"/>
      <c r="I59" s="24"/>
      <c r="J59" s="25"/>
      <c r="K59" s="25"/>
      <c r="L59" s="26"/>
      <c r="M59" s="34"/>
      <c r="N59" s="52"/>
      <c r="O59" s="41"/>
      <c r="P59" s="41"/>
      <c r="Q59" s="41"/>
    </row>
    <row r="60" customFormat="false" ht="11.25" hidden="false" customHeight="false" outlineLevel="0" collapsed="false">
      <c r="A60" s="24" t="n">
        <v>13</v>
      </c>
      <c r="B60" s="24" t="s">
        <v>36</v>
      </c>
      <c r="C60" s="24" t="s">
        <v>59</v>
      </c>
      <c r="D60" s="24" t="s">
        <v>63</v>
      </c>
      <c r="E60" s="24" t="s">
        <v>49</v>
      </c>
      <c r="F60" s="25"/>
      <c r="G60" s="24" t="s">
        <v>45</v>
      </c>
      <c r="H60" s="18" t="s">
        <v>60</v>
      </c>
      <c r="I60" s="53" t="n">
        <v>36754</v>
      </c>
      <c r="J60" s="20" t="n">
        <v>3.585</v>
      </c>
      <c r="K60" s="20" t="n">
        <f aca="false">(SUM(ENA_13!G26:G37)+SUM(ENA_13!H26:H37))/12</f>
        <v>4.38604166666667</v>
      </c>
      <c r="L60" s="26" t="n">
        <v>0.1</v>
      </c>
      <c r="M60" s="43" t="n">
        <f aca="false">-ENA_13!F22</f>
        <v>1825000</v>
      </c>
      <c r="N60" s="43" t="n">
        <f aca="false">+M60/365</f>
        <v>5000</v>
      </c>
      <c r="O60" s="31" t="n">
        <f aca="false">-ENA_13!I22</f>
        <v>-1557172.5</v>
      </c>
      <c r="P60" s="23" t="n">
        <f aca="false">-ENA_13!J22</f>
        <v>-0</v>
      </c>
      <c r="Q60" s="23" t="n">
        <f aca="false">-ENA_13!K22</f>
        <v>-1557172.5</v>
      </c>
    </row>
    <row r="61" customFormat="false" ht="11.25" hidden="false" customHeight="false" outlineLevel="0" collapsed="false">
      <c r="A61" s="24" t="n">
        <v>13</v>
      </c>
      <c r="B61" s="24" t="s">
        <v>36</v>
      </c>
      <c r="C61" s="24" t="s">
        <v>45</v>
      </c>
      <c r="D61" s="24"/>
      <c r="E61" s="24" t="s">
        <v>51</v>
      </c>
      <c r="F61" s="24" t="s">
        <v>42</v>
      </c>
      <c r="G61" s="24" t="s">
        <v>59</v>
      </c>
      <c r="H61" s="18" t="s">
        <v>60</v>
      </c>
      <c r="I61" s="24"/>
      <c r="J61" s="20" t="n">
        <v>3.585</v>
      </c>
      <c r="K61" s="20" t="n">
        <f aca="false">(SUM(ENA_12!G26:G37)+SUM(ENA_12!H26:H37))/12</f>
        <v>4.38604166666667</v>
      </c>
      <c r="L61" s="28" t="n">
        <f aca="false">+O61/M61</f>
        <v>-0.799124200913242</v>
      </c>
      <c r="M61" s="44" t="n">
        <f aca="false">-ENA_13!F39</f>
        <v>-1825000</v>
      </c>
      <c r="N61" s="44" t="n">
        <f aca="false">+M61/365</f>
        <v>-5000</v>
      </c>
      <c r="O61" s="39" t="n">
        <f aca="false">-ENA_13!I39</f>
        <v>1458401.66666667</v>
      </c>
      <c r="P61" s="40" t="n">
        <f aca="false">-ENA_13!J39</f>
        <v>-0</v>
      </c>
      <c r="Q61" s="40" t="n">
        <f aca="false">-ENA_13!K39</f>
        <v>1458401.66666667</v>
      </c>
    </row>
    <row r="62" customFormat="false" ht="11.25" hidden="false" customHeight="false" outlineLevel="0" collapsed="false">
      <c r="A62" s="24"/>
      <c r="B62" s="24"/>
      <c r="C62" s="25"/>
      <c r="D62" s="24"/>
      <c r="E62" s="25"/>
      <c r="F62" s="25"/>
      <c r="G62" s="25"/>
      <c r="H62" s="25"/>
      <c r="I62" s="24"/>
      <c r="J62" s="25"/>
      <c r="K62" s="25"/>
      <c r="L62" s="26" t="n">
        <f aca="false">+L60+L61</f>
        <v>-0.699124200913242</v>
      </c>
      <c r="M62" s="34" t="n">
        <f aca="false">+M60+M61</f>
        <v>0</v>
      </c>
      <c r="N62" s="34" t="n">
        <f aca="false">+N60+N61</f>
        <v>0</v>
      </c>
      <c r="O62" s="41" t="n">
        <f aca="false">+O60+O61</f>
        <v>-98770.833333333</v>
      </c>
      <c r="P62" s="41" t="n">
        <f aca="false">+P60+P61</f>
        <v>-0</v>
      </c>
      <c r="Q62" s="41" t="n">
        <f aca="false">+Q60+Q61</f>
        <v>-98770.833333333</v>
      </c>
    </row>
    <row r="63" customFormat="false" ht="11.25" hidden="false" customHeight="false" outlineLevel="0" collapsed="false">
      <c r="A63" s="24"/>
      <c r="B63" s="24"/>
      <c r="C63" s="25"/>
      <c r="D63" s="24"/>
      <c r="E63" s="25"/>
      <c r="F63" s="25"/>
      <c r="G63" s="25"/>
      <c r="H63" s="25"/>
      <c r="I63" s="24"/>
      <c r="J63" s="25"/>
      <c r="K63" s="25"/>
      <c r="L63" s="26"/>
      <c r="M63" s="34"/>
      <c r="N63" s="52"/>
      <c r="O63" s="41"/>
      <c r="P63" s="41"/>
      <c r="Q63" s="41"/>
    </row>
    <row r="64" customFormat="false" ht="12" hidden="false" customHeight="fals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54" t="s">
        <v>64</v>
      </c>
      <c r="K64" s="25"/>
      <c r="L64" s="25"/>
      <c r="M64" s="55" t="n">
        <f aca="false">+M62+M58+M54+M45+M33</f>
        <v>0</v>
      </c>
      <c r="N64" s="55" t="n">
        <f aca="false">+N62+N58+N54+N45+N33</f>
        <v>0</v>
      </c>
      <c r="O64" s="56" t="n">
        <f aca="false">+O62+O58+O54+O45+O33</f>
        <v>-314438.333333332</v>
      </c>
      <c r="P64" s="56" t="n">
        <f aca="false">+P62+P58+P54+P45+P33</f>
        <v>285750</v>
      </c>
      <c r="Q64" s="56" t="n">
        <f aca="false">+Q62+Q58+Q54+Q45+Q33</f>
        <v>-600188.333333332</v>
      </c>
    </row>
    <row r="65" customFormat="false" ht="11.1" hidden="false" customHeight="true" outlineLevel="0" collapsed="false">
      <c r="A65" s="57"/>
      <c r="B65" s="57"/>
      <c r="C65" s="58"/>
      <c r="D65" s="57"/>
      <c r="E65" s="58"/>
      <c r="F65" s="58"/>
      <c r="G65" s="58"/>
      <c r="H65" s="58"/>
      <c r="I65" s="57"/>
      <c r="J65" s="58"/>
      <c r="K65" s="58"/>
      <c r="L65" s="58"/>
      <c r="M65" s="58"/>
      <c r="N65" s="58"/>
      <c r="O65" s="58"/>
      <c r="P65" s="59"/>
      <c r="Q65" s="60" t="s">
        <v>65</v>
      </c>
    </row>
    <row r="66" customFormat="false" ht="9" hidden="false" customHeight="true" outlineLevel="0" collapsed="false">
      <c r="A66" s="61"/>
      <c r="B66" s="61"/>
      <c r="C66" s="62"/>
      <c r="D66" s="61"/>
      <c r="E66" s="62"/>
      <c r="F66" s="62"/>
      <c r="G66" s="62"/>
      <c r="H66" s="62"/>
      <c r="I66" s="61"/>
      <c r="J66" s="62"/>
      <c r="K66" s="62"/>
      <c r="L66" s="62"/>
      <c r="M66" s="62"/>
      <c r="N66" s="62"/>
      <c r="O66" s="62"/>
      <c r="P66" s="62"/>
      <c r="Q66" s="63"/>
    </row>
    <row r="67" customFormat="false" ht="9" hidden="false" customHeight="true" outlineLevel="0" collapsed="false">
      <c r="A67" s="64" t="s">
        <v>66</v>
      </c>
      <c r="B67" s="65"/>
      <c r="C67" s="66"/>
      <c r="D67" s="65"/>
      <c r="E67" s="66"/>
      <c r="F67" s="66"/>
      <c r="G67" s="66"/>
      <c r="H67" s="66"/>
      <c r="I67" s="65"/>
      <c r="J67" s="66"/>
      <c r="K67" s="66"/>
      <c r="L67" s="66"/>
      <c r="M67" s="66"/>
      <c r="N67" s="66"/>
      <c r="O67" s="66"/>
      <c r="P67" s="67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</row>
    <row r="68" customFormat="false" ht="9" hidden="false" customHeight="true" outlineLevel="0" collapsed="false">
      <c r="A68" s="61"/>
      <c r="B68" s="61"/>
      <c r="C68" s="62"/>
      <c r="D68" s="61"/>
      <c r="E68" s="62"/>
      <c r="F68" s="62"/>
      <c r="G68" s="62"/>
      <c r="H68" s="62"/>
      <c r="I68" s="61"/>
      <c r="J68" s="62"/>
      <c r="K68" s="62"/>
      <c r="L68" s="62"/>
      <c r="M68" s="62"/>
      <c r="N68" s="62"/>
      <c r="O68" s="62"/>
      <c r="P68" s="62"/>
      <c r="Q68" s="62"/>
    </row>
    <row r="69" customFormat="false" ht="11.25" hidden="false" customHeight="false" outlineLevel="0" collapsed="false">
      <c r="A69" s="2"/>
      <c r="B69" s="2"/>
      <c r="I69" s="2"/>
      <c r="O69" s="69"/>
      <c r="P69" s="69"/>
      <c r="Q69" s="69"/>
    </row>
    <row r="70" customFormat="false" ht="10.5" hidden="false" customHeight="false" outlineLevel="0" collapsed="false">
      <c r="A70" s="3" t="s">
        <v>67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0.5" hidden="false" customHeight="false" outlineLevel="0" collapsed="false">
      <c r="A71" s="3" t="s">
        <v>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1.25" hidden="false" customHeight="false" outlineLevel="0" collapsed="false">
      <c r="B72" s="2"/>
    </row>
    <row r="73" customFormat="false" ht="10.5" hidden="false" customHeight="false" outlineLevel="0" collapsed="false">
      <c r="A73" s="6" t="s">
        <v>5</v>
      </c>
      <c r="B73" s="7" t="s">
        <v>6</v>
      </c>
      <c r="C73" s="7" t="s">
        <v>7</v>
      </c>
      <c r="D73" s="7" t="s">
        <v>7</v>
      </c>
      <c r="E73" s="7" t="s">
        <v>7</v>
      </c>
      <c r="F73" s="7" t="s">
        <v>8</v>
      </c>
      <c r="G73" s="7" t="s">
        <v>19</v>
      </c>
      <c r="H73" s="7" t="s">
        <v>10</v>
      </c>
      <c r="I73" s="7" t="s">
        <v>11</v>
      </c>
      <c r="J73" s="7" t="s">
        <v>7</v>
      </c>
      <c r="K73" s="7" t="s">
        <v>12</v>
      </c>
      <c r="L73" s="7" t="s">
        <v>13</v>
      </c>
      <c r="M73" s="7" t="s">
        <v>7</v>
      </c>
      <c r="N73" s="7" t="s">
        <v>14</v>
      </c>
      <c r="O73" s="7"/>
      <c r="P73" s="7"/>
      <c r="Q73" s="8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0.5" hidden="false" customHeight="false" outlineLevel="0" collapsed="false">
      <c r="A74" s="10" t="s">
        <v>15</v>
      </c>
      <c r="B74" s="11" t="s">
        <v>16</v>
      </c>
      <c r="C74" s="11" t="s">
        <v>16</v>
      </c>
      <c r="D74" s="11" t="s">
        <v>17</v>
      </c>
      <c r="E74" s="11" t="s">
        <v>18</v>
      </c>
      <c r="F74" s="11"/>
      <c r="G74" s="11" t="s">
        <v>27</v>
      </c>
      <c r="H74" s="11" t="s">
        <v>20</v>
      </c>
      <c r="I74" s="11" t="s">
        <v>21</v>
      </c>
      <c r="J74" s="11" t="s">
        <v>22</v>
      </c>
      <c r="K74" s="11" t="s">
        <v>23</v>
      </c>
      <c r="L74" s="11"/>
      <c r="M74" s="11" t="s">
        <v>24</v>
      </c>
      <c r="N74" s="11" t="s">
        <v>25</v>
      </c>
      <c r="O74" s="12" t="s">
        <v>68</v>
      </c>
      <c r="P74" s="12"/>
      <c r="Q74" s="12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0.5" hidden="false" customHeight="false" outlineLevel="0" collapsed="false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 t="s">
        <v>28</v>
      </c>
      <c r="L75" s="11"/>
      <c r="M75" s="11" t="s">
        <v>69</v>
      </c>
      <c r="N75" s="11"/>
      <c r="O75" s="11" t="s">
        <v>30</v>
      </c>
      <c r="P75" s="11" t="s">
        <v>31</v>
      </c>
      <c r="Q75" s="13" t="s">
        <v>32</v>
      </c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0.5" hidden="false" customHeight="false" outlineLevel="0" collapsed="false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 t="s">
        <v>33</v>
      </c>
      <c r="L76" s="11"/>
      <c r="M76" s="11" t="s">
        <v>70</v>
      </c>
      <c r="N76" s="70"/>
      <c r="O76" s="11" t="s">
        <v>35</v>
      </c>
      <c r="P76" s="11" t="s">
        <v>35</v>
      </c>
      <c r="Q76" s="13" t="s">
        <v>35</v>
      </c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22.5" hidden="true" customHeight="false" outlineLevel="0" collapsed="false">
      <c r="A77" s="71" t="n">
        <v>6</v>
      </c>
      <c r="B77" s="71" t="s">
        <v>52</v>
      </c>
      <c r="C77" s="71" t="s">
        <v>53</v>
      </c>
      <c r="D77" s="71" t="n">
        <v>25834</v>
      </c>
      <c r="E77" s="71" t="s">
        <v>38</v>
      </c>
      <c r="F77" s="71" t="s">
        <v>57</v>
      </c>
      <c r="G77" s="72" t="s">
        <v>54</v>
      </c>
      <c r="H77" s="72" t="s">
        <v>55</v>
      </c>
      <c r="I77" s="73"/>
      <c r="J77" s="74" t="s">
        <v>71</v>
      </c>
      <c r="K77" s="73"/>
      <c r="L77" s="73"/>
      <c r="M77" s="75" t="n">
        <f aca="false">-Elpaso_6!F15</f>
        <v>15000000</v>
      </c>
      <c r="N77" s="76"/>
      <c r="O77" s="77" t="n">
        <f aca="false">-Elpaso_6!I15</f>
        <v>-7907000</v>
      </c>
      <c r="P77" s="73"/>
      <c r="Q77" s="78" t="n">
        <f aca="false">+O77</f>
        <v>-7907000</v>
      </c>
      <c r="R77" s="73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customFormat="false" ht="22.5" hidden="false" customHeight="false" outlineLevel="0" collapsed="false">
      <c r="A78" s="71" t="n">
        <v>6</v>
      </c>
      <c r="B78" s="71" t="s">
        <v>52</v>
      </c>
      <c r="C78" s="71" t="s">
        <v>59</v>
      </c>
      <c r="D78" s="71"/>
      <c r="E78" s="24" t="s">
        <v>49</v>
      </c>
      <c r="F78" s="71" t="s">
        <v>57</v>
      </c>
      <c r="G78" s="72" t="s">
        <v>54</v>
      </c>
      <c r="H78" s="72" t="s">
        <v>72</v>
      </c>
      <c r="I78" s="73"/>
      <c r="J78" s="80" t="n">
        <v>3.3</v>
      </c>
      <c r="K78" s="81" t="n">
        <f aca="false">SUM(Elpaso_6!G9:G13)+SUM(Elpaso_6!H9:H13)/5</f>
        <v>3.8248</v>
      </c>
      <c r="L78" s="81" t="n">
        <f aca="false">+J78-K78</f>
        <v>-0.5248</v>
      </c>
      <c r="M78" s="75" t="n">
        <v>15000000</v>
      </c>
      <c r="N78" s="75" t="n">
        <f aca="false">+M78/153</f>
        <v>98039.2156862745</v>
      </c>
      <c r="O78" s="77" t="n">
        <f aca="false">-Elpaso_6!I15</f>
        <v>-7907000</v>
      </c>
      <c r="P78" s="73"/>
      <c r="Q78" s="78" t="n">
        <f aca="false">+O78</f>
        <v>-7907000</v>
      </c>
      <c r="R78" s="82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</row>
    <row r="79" customFormat="false" ht="22.5" hidden="false" customHeight="false" outlineLevel="0" collapsed="false">
      <c r="A79" s="71" t="n">
        <v>6</v>
      </c>
      <c r="B79" s="71" t="s">
        <v>52</v>
      </c>
      <c r="C79" s="71" t="s">
        <v>53</v>
      </c>
      <c r="D79" s="71"/>
      <c r="E79" s="24" t="s">
        <v>49</v>
      </c>
      <c r="F79" s="71" t="s">
        <v>57</v>
      </c>
      <c r="G79" s="72" t="s">
        <v>54</v>
      </c>
      <c r="H79" s="72" t="s">
        <v>72</v>
      </c>
      <c r="I79" s="73"/>
      <c r="J79" s="80" t="n">
        <v>2.32</v>
      </c>
      <c r="K79" s="81" t="n">
        <f aca="false">SUM(Elpaso_6!G17:G21)+SUM(Elpaso_6!H17:H21)/5</f>
        <v>3.8248</v>
      </c>
      <c r="L79" s="81" t="n">
        <f aca="false">+J79-K79</f>
        <v>-1.5048</v>
      </c>
      <c r="M79" s="83" t="n">
        <v>-15000000</v>
      </c>
      <c r="N79" s="83" t="n">
        <f aca="false">+M79/153</f>
        <v>-98039.2156862745</v>
      </c>
      <c r="O79" s="84" t="n">
        <f aca="false">-Elpaso_6!I23</f>
        <v>22607000</v>
      </c>
      <c r="P79" s="73"/>
      <c r="Q79" s="84" t="n">
        <f aca="false">+O79</f>
        <v>22607000</v>
      </c>
      <c r="R79" s="73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customFormat="false" ht="11.25" hidden="false" customHeight="false" outlineLevel="0" collapsed="false">
      <c r="A80" s="71"/>
      <c r="B80" s="71"/>
      <c r="C80" s="71"/>
      <c r="D80" s="71"/>
      <c r="E80" s="71"/>
      <c r="F80" s="71"/>
      <c r="G80" s="72"/>
      <c r="H80" s="72"/>
      <c r="I80" s="73"/>
      <c r="J80" s="80"/>
      <c r="K80" s="81"/>
      <c r="L80" s="81"/>
      <c r="M80" s="75" t="n">
        <f aca="false">+M78+M79</f>
        <v>0</v>
      </c>
      <c r="N80" s="75" t="n">
        <f aca="false">+M80/153</f>
        <v>0</v>
      </c>
      <c r="O80" s="77" t="n">
        <f aca="false">+O79+O78</f>
        <v>14700000</v>
      </c>
      <c r="P80" s="73"/>
      <c r="Q80" s="78" t="n">
        <f aca="false">+Q79+Q78</f>
        <v>14700000</v>
      </c>
      <c r="R80" s="73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79"/>
      <c r="HD80" s="79"/>
      <c r="HE80" s="79"/>
      <c r="HF80" s="79"/>
      <c r="HG80" s="79"/>
      <c r="HH80" s="79"/>
      <c r="HI80" s="79"/>
      <c r="HJ80" s="79"/>
      <c r="HK80" s="79"/>
      <c r="HL80" s="79"/>
      <c r="HM80" s="79"/>
      <c r="HN80" s="79"/>
      <c r="HO80" s="79"/>
      <c r="HP80" s="79"/>
      <c r="HQ80" s="79"/>
      <c r="HR80" s="79"/>
      <c r="HS80" s="79"/>
      <c r="HT80" s="79"/>
      <c r="HU80" s="79"/>
      <c r="HV80" s="79"/>
      <c r="HW80" s="79"/>
      <c r="HX80" s="79"/>
      <c r="HY80" s="79"/>
      <c r="HZ80" s="79"/>
      <c r="IA80" s="79"/>
      <c r="IB80" s="79"/>
      <c r="IC80" s="79"/>
      <c r="ID80" s="79"/>
      <c r="IE80" s="79"/>
      <c r="IF80" s="79"/>
      <c r="IG80" s="79"/>
      <c r="IH80" s="79"/>
      <c r="II80" s="79"/>
      <c r="IJ80" s="79"/>
      <c r="IK80" s="79"/>
      <c r="IL80" s="79"/>
      <c r="IM80" s="79"/>
      <c r="IN80" s="79"/>
      <c r="IO80" s="79"/>
      <c r="IP80" s="79"/>
      <c r="IQ80" s="79"/>
      <c r="IR80" s="79"/>
      <c r="IS80" s="79"/>
      <c r="IT80" s="79"/>
      <c r="IU80" s="79"/>
      <c r="IV80" s="79"/>
      <c r="IW80" s="79"/>
    </row>
    <row r="81" customFormat="false" ht="11.25" hidden="false" customHeight="false" outlineLevel="0" collapsed="false">
      <c r="A81" s="71"/>
      <c r="B81" s="71"/>
      <c r="C81" s="71"/>
      <c r="D81" s="71"/>
      <c r="E81" s="71"/>
      <c r="F81" s="71"/>
      <c r="G81" s="72"/>
      <c r="H81" s="72"/>
      <c r="I81" s="73"/>
      <c r="J81" s="80"/>
      <c r="K81" s="81"/>
      <c r="L81" s="81"/>
      <c r="M81" s="75"/>
      <c r="N81" s="75"/>
      <c r="O81" s="77"/>
      <c r="P81" s="73"/>
      <c r="Q81" s="85"/>
      <c r="R81" s="73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</row>
    <row r="82" customFormat="false" ht="9" hidden="false" customHeight="true" outlineLevel="0" collapsed="false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6"/>
      <c r="O82" s="86"/>
      <c r="P82" s="73"/>
      <c r="Q82" s="85"/>
      <c r="R82" s="73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</row>
    <row r="83" customFormat="false" ht="11.25" hidden="false" customHeight="false" outlineLevel="0" collapsed="false">
      <c r="A83" s="24" t="n">
        <v>14</v>
      </c>
      <c r="B83" s="24" t="s">
        <v>36</v>
      </c>
      <c r="C83" s="24" t="s">
        <v>73</v>
      </c>
      <c r="D83" s="24" t="s">
        <v>74</v>
      </c>
      <c r="E83" s="24" t="s">
        <v>49</v>
      </c>
      <c r="F83" s="24"/>
      <c r="G83" s="24" t="s">
        <v>75</v>
      </c>
      <c r="H83" s="25" t="s">
        <v>76</v>
      </c>
      <c r="I83" s="53" t="n">
        <v>36798</v>
      </c>
      <c r="J83" s="25"/>
      <c r="K83" s="25"/>
      <c r="L83" s="25"/>
      <c r="M83" s="30" t="n">
        <v>373774472</v>
      </c>
      <c r="N83" s="30"/>
      <c r="O83" s="46" t="n">
        <v>49744756.02</v>
      </c>
      <c r="P83" s="87"/>
      <c r="Q83" s="87" t="n">
        <f aca="false">+O83+P83</f>
        <v>49744756.02</v>
      </c>
    </row>
    <row r="84" customFormat="false" ht="11.25" hidden="false" customHeight="false" outlineLevel="0" collapsed="false">
      <c r="A84" s="24" t="n">
        <v>14</v>
      </c>
      <c r="B84" s="24" t="s">
        <v>36</v>
      </c>
      <c r="C84" s="24" t="s">
        <v>52</v>
      </c>
      <c r="D84" s="24"/>
      <c r="E84" s="24" t="s">
        <v>49</v>
      </c>
      <c r="F84" s="24"/>
      <c r="G84" s="24" t="s">
        <v>77</v>
      </c>
      <c r="H84" s="25"/>
      <c r="I84" s="25"/>
      <c r="J84" s="25"/>
      <c r="K84" s="25"/>
      <c r="L84" s="25"/>
      <c r="M84" s="44" t="n">
        <f aca="false">-M83</f>
        <v>-373774472</v>
      </c>
      <c r="N84" s="25"/>
      <c r="O84" s="49" t="n">
        <f aca="false">-O83</f>
        <v>-49744756.02</v>
      </c>
      <c r="P84" s="46"/>
      <c r="Q84" s="49" t="n">
        <f aca="false">+O84+P84</f>
        <v>-49744756.02</v>
      </c>
    </row>
    <row r="85" customFormat="false" ht="11.25" hidden="false" customHeight="false" outlineLevel="0" collapsed="false">
      <c r="A85" s="24"/>
      <c r="B85" s="24"/>
      <c r="C85" s="24"/>
      <c r="D85" s="24"/>
      <c r="E85" s="24"/>
      <c r="F85" s="24"/>
      <c r="G85" s="25"/>
      <c r="H85" s="25"/>
      <c r="I85" s="24"/>
      <c r="J85" s="25"/>
      <c r="K85" s="25"/>
      <c r="L85" s="25"/>
      <c r="M85" s="30" t="n">
        <f aca="false">+M84+M83</f>
        <v>0</v>
      </c>
      <c r="N85" s="30"/>
      <c r="O85" s="46" t="n">
        <f aca="false">+O83+O84</f>
        <v>0</v>
      </c>
      <c r="P85" s="87"/>
      <c r="Q85" s="87" t="n">
        <f aca="false">+Q83+Q84</f>
        <v>0</v>
      </c>
    </row>
    <row r="86" customFormat="false" ht="9" hidden="false" customHeight="true" outlineLevel="0" collapsed="false">
      <c r="A86" s="25"/>
      <c r="B86" s="25"/>
      <c r="C86" s="25"/>
      <c r="D86" s="24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46"/>
      <c r="P86" s="87"/>
      <c r="Q86" s="87"/>
    </row>
    <row r="87" customFormat="false" ht="11.25" hidden="false" customHeight="false" outlineLevel="0" collapsed="false">
      <c r="A87" s="24" t="n">
        <v>15</v>
      </c>
      <c r="B87" s="24" t="s">
        <v>36</v>
      </c>
      <c r="C87" s="24" t="s">
        <v>73</v>
      </c>
      <c r="D87" s="24" t="s">
        <v>74</v>
      </c>
      <c r="E87" s="24" t="s">
        <v>78</v>
      </c>
      <c r="F87" s="24"/>
      <c r="G87" s="24" t="s">
        <v>75</v>
      </c>
      <c r="H87" s="25" t="s">
        <v>76</v>
      </c>
      <c r="I87" s="53" t="n">
        <v>36798</v>
      </c>
      <c r="J87" s="25"/>
      <c r="K87" s="25"/>
      <c r="L87" s="25"/>
      <c r="M87" s="30" t="n">
        <v>-373774472</v>
      </c>
      <c r="N87" s="30"/>
      <c r="O87" s="46" t="n">
        <v>-23868610.5</v>
      </c>
      <c r="P87" s="87"/>
      <c r="Q87" s="87" t="n">
        <f aca="false">+O87+P87</f>
        <v>-23868610.5</v>
      </c>
    </row>
    <row r="88" customFormat="false" ht="11.25" hidden="false" customHeight="false" outlineLevel="0" collapsed="false">
      <c r="A88" s="24" t="n">
        <v>15</v>
      </c>
      <c r="B88" s="24" t="s">
        <v>36</v>
      </c>
      <c r="C88" s="24" t="s">
        <v>52</v>
      </c>
      <c r="D88" s="24"/>
      <c r="E88" s="24" t="s">
        <v>78</v>
      </c>
      <c r="F88" s="24"/>
      <c r="G88" s="24" t="s">
        <v>77</v>
      </c>
      <c r="H88" s="25"/>
      <c r="I88" s="24"/>
      <c r="J88" s="25"/>
      <c r="K88" s="25"/>
      <c r="L88" s="25"/>
      <c r="M88" s="38" t="n">
        <v>373774472</v>
      </c>
      <c r="N88" s="25"/>
      <c r="O88" s="49" t="n">
        <f aca="false">-O87</f>
        <v>23868610.5</v>
      </c>
      <c r="P88" s="87"/>
      <c r="Q88" s="49" t="n">
        <f aca="false">+O88+P88</f>
        <v>23868610.5</v>
      </c>
    </row>
    <row r="89" customFormat="false" ht="11.25" hidden="false" customHeight="false" outlineLevel="0" collapsed="false">
      <c r="A89" s="24"/>
      <c r="B89" s="24"/>
      <c r="C89" s="24"/>
      <c r="D89" s="24"/>
      <c r="E89" s="24"/>
      <c r="F89" s="24"/>
      <c r="G89" s="24"/>
      <c r="H89" s="25"/>
      <c r="I89" s="24"/>
      <c r="J89" s="25"/>
      <c r="K89" s="25"/>
      <c r="L89" s="25"/>
      <c r="M89" s="43" t="n">
        <f aca="false">+M87+M88</f>
        <v>0</v>
      </c>
      <c r="N89" s="25"/>
      <c r="O89" s="46" t="n">
        <f aca="false">+O88+O87</f>
        <v>0</v>
      </c>
      <c r="P89" s="87"/>
      <c r="Q89" s="87" t="n">
        <f aca="false">+Q88+Q87</f>
        <v>0</v>
      </c>
    </row>
    <row r="90" customFormat="false" ht="11.25" hidden="false" customHeight="false" outlineLevel="0" collapsed="false">
      <c r="A90" s="24"/>
      <c r="B90" s="24"/>
      <c r="C90" s="24"/>
      <c r="D90" s="24"/>
      <c r="E90" s="24"/>
      <c r="F90" s="24"/>
      <c r="G90" s="24"/>
      <c r="H90" s="25"/>
      <c r="I90" s="24"/>
      <c r="J90" s="25"/>
      <c r="K90" s="25"/>
      <c r="L90" s="25"/>
      <c r="M90" s="43"/>
      <c r="N90" s="25"/>
      <c r="O90" s="46"/>
      <c r="P90" s="87"/>
      <c r="Q90" s="87"/>
    </row>
    <row r="91" customFormat="false" ht="11.25" hidden="false" customHeight="false" outlineLevel="0" collapsed="false">
      <c r="A91" s="24" t="n">
        <v>16</v>
      </c>
      <c r="B91" s="24" t="s">
        <v>52</v>
      </c>
      <c r="C91" s="24" t="s">
        <v>73</v>
      </c>
      <c r="D91" s="24" t="s">
        <v>79</v>
      </c>
      <c r="E91" s="24" t="s">
        <v>49</v>
      </c>
      <c r="F91" s="24"/>
      <c r="G91" s="24" t="s">
        <v>80</v>
      </c>
      <c r="H91" s="25" t="s">
        <v>76</v>
      </c>
      <c r="I91" s="53" t="n">
        <v>36798</v>
      </c>
      <c r="J91" s="25"/>
      <c r="K91" s="25"/>
      <c r="L91" s="25"/>
      <c r="M91" s="30" t="n">
        <v>-373774472</v>
      </c>
      <c r="N91" s="30"/>
      <c r="O91" s="46" t="n">
        <v>-13941840.26</v>
      </c>
      <c r="P91" s="87"/>
      <c r="Q91" s="87" t="n">
        <f aca="false">+O91+P91</f>
        <v>-13941840.26</v>
      </c>
    </row>
    <row r="92" customFormat="false" ht="11.25" hidden="false" customHeight="false" outlineLevel="0" collapsed="false">
      <c r="A92" s="24" t="n">
        <v>16</v>
      </c>
      <c r="B92" s="24" t="s">
        <v>52</v>
      </c>
      <c r="C92" s="24" t="s">
        <v>36</v>
      </c>
      <c r="D92" s="24"/>
      <c r="E92" s="24" t="s">
        <v>49</v>
      </c>
      <c r="F92" s="24"/>
      <c r="G92" s="24" t="s">
        <v>77</v>
      </c>
      <c r="H92" s="25" t="s">
        <v>76</v>
      </c>
      <c r="I92" s="53" t="n">
        <v>36798</v>
      </c>
      <c r="J92" s="25"/>
      <c r="K92" s="25"/>
      <c r="L92" s="25"/>
      <c r="M92" s="38" t="n">
        <f aca="false">-M91</f>
        <v>373774472</v>
      </c>
      <c r="N92" s="25"/>
      <c r="O92" s="49" t="n">
        <v>49744756.02</v>
      </c>
      <c r="P92" s="87"/>
      <c r="Q92" s="49" t="n">
        <f aca="false">+O92+P92</f>
        <v>49744756.02</v>
      </c>
    </row>
    <row r="93" customFormat="false" ht="11.25" hidden="false" customHeight="false" outlineLevel="0" collapsed="false">
      <c r="A93" s="24"/>
      <c r="B93" s="24"/>
      <c r="C93" s="24"/>
      <c r="D93" s="24"/>
      <c r="E93" s="24"/>
      <c r="F93" s="24"/>
      <c r="G93" s="24"/>
      <c r="H93" s="25"/>
      <c r="I93" s="24"/>
      <c r="J93" s="25"/>
      <c r="K93" s="25"/>
      <c r="L93" s="25"/>
      <c r="M93" s="43" t="n">
        <f aca="false">+M92+M91</f>
        <v>0</v>
      </c>
      <c r="N93" s="25"/>
      <c r="O93" s="46" t="n">
        <f aca="false">+O92+O91</f>
        <v>35802915.76</v>
      </c>
      <c r="P93" s="87"/>
      <c r="Q93" s="87" t="n">
        <f aca="false">+Q92+Q91</f>
        <v>35802915.76</v>
      </c>
    </row>
    <row r="94" customFormat="false" ht="11.25" hidden="false" customHeight="false" outlineLevel="0" collapsed="false">
      <c r="A94" s="24"/>
      <c r="B94" s="24"/>
      <c r="C94" s="24"/>
      <c r="D94" s="24"/>
      <c r="E94" s="24"/>
      <c r="F94" s="24"/>
      <c r="G94" s="24"/>
      <c r="H94" s="25"/>
      <c r="I94" s="24"/>
      <c r="J94" s="25"/>
      <c r="K94" s="25"/>
      <c r="L94" s="25"/>
      <c r="M94" s="25"/>
      <c r="N94" s="25"/>
      <c r="O94" s="46"/>
      <c r="P94" s="87"/>
      <c r="Q94" s="87"/>
    </row>
    <row r="95" customFormat="false" ht="11.25" hidden="false" customHeight="false" outlineLevel="0" collapsed="false">
      <c r="A95" s="24" t="n">
        <v>18</v>
      </c>
      <c r="B95" s="24" t="s">
        <v>52</v>
      </c>
      <c r="C95" s="24"/>
      <c r="D95" s="24"/>
      <c r="E95" s="24" t="s">
        <v>81</v>
      </c>
      <c r="F95" s="24"/>
      <c r="G95" s="24"/>
      <c r="H95" s="25"/>
      <c r="I95" s="88" t="n">
        <v>36799</v>
      </c>
      <c r="J95" s="25"/>
      <c r="K95" s="25"/>
      <c r="L95" s="25"/>
      <c r="M95" s="30"/>
      <c r="N95" s="30"/>
      <c r="O95" s="46" t="n">
        <v>-35802915.76</v>
      </c>
      <c r="P95" s="87"/>
      <c r="Q95" s="87" t="n">
        <f aca="false">+P95+O95</f>
        <v>-35802915.76</v>
      </c>
    </row>
    <row r="96" customFormat="false" ht="11.25" hidden="false" customHeight="false" outlineLevel="0" collapsed="false">
      <c r="A96" s="24"/>
      <c r="B96" s="24"/>
      <c r="C96" s="24"/>
      <c r="D96" s="24"/>
      <c r="E96" s="24"/>
      <c r="F96" s="24"/>
      <c r="G96" s="24"/>
      <c r="H96" s="25"/>
      <c r="I96" s="88"/>
      <c r="J96" s="25"/>
      <c r="K96" s="25"/>
      <c r="L96" s="25"/>
      <c r="M96" s="30"/>
      <c r="N96" s="30"/>
      <c r="O96" s="46"/>
      <c r="P96" s="87"/>
      <c r="Q96" s="87"/>
    </row>
    <row r="97" customFormat="false" ht="11.25" hidden="false" customHeight="false" outlineLevel="0" collapsed="false">
      <c r="A97" s="24" t="n">
        <v>18</v>
      </c>
      <c r="B97" s="24" t="s">
        <v>52</v>
      </c>
      <c r="C97" s="24" t="s">
        <v>82</v>
      </c>
      <c r="D97" s="24" t="n">
        <v>1009351</v>
      </c>
      <c r="E97" s="24" t="s">
        <v>49</v>
      </c>
      <c r="F97" s="25"/>
      <c r="G97" s="25"/>
      <c r="H97" s="89" t="n">
        <v>36857</v>
      </c>
      <c r="I97" s="53" t="n">
        <v>36797</v>
      </c>
      <c r="J97" s="46" t="n">
        <v>0.07</v>
      </c>
      <c r="K97" s="25"/>
      <c r="L97" s="26"/>
      <c r="M97" s="43" t="n">
        <v>155000</v>
      </c>
      <c r="N97" s="52"/>
      <c r="O97" s="31" t="n">
        <f aca="false">+M97*J97</f>
        <v>10850</v>
      </c>
      <c r="P97" s="41"/>
      <c r="Q97" s="31" t="n">
        <f aca="false">+O97+P97</f>
        <v>10850</v>
      </c>
    </row>
    <row r="98" customFormat="false" ht="11.25" hidden="false" customHeight="false" outlineLevel="0" collapsed="false">
      <c r="A98" s="24"/>
      <c r="B98" s="24"/>
      <c r="C98" s="25"/>
      <c r="D98" s="24"/>
      <c r="E98" s="25"/>
      <c r="F98" s="25"/>
      <c r="G98" s="25"/>
      <c r="H98" s="25"/>
      <c r="I98" s="24"/>
      <c r="J98" s="25"/>
      <c r="K98" s="25"/>
      <c r="L98" s="26"/>
      <c r="M98" s="34"/>
      <c r="N98" s="52"/>
      <c r="O98" s="41"/>
      <c r="P98" s="41"/>
      <c r="Q98" s="41"/>
    </row>
    <row r="99" customFormat="false" ht="11.25" hidden="false" customHeight="false" outlineLevel="0" collapsed="false">
      <c r="A99" s="24" t="n">
        <v>19</v>
      </c>
      <c r="B99" s="24" t="s">
        <v>52</v>
      </c>
      <c r="C99" s="24" t="s">
        <v>59</v>
      </c>
      <c r="D99" s="24" t="s">
        <v>83</v>
      </c>
      <c r="E99" s="24" t="s">
        <v>49</v>
      </c>
      <c r="F99" s="25"/>
      <c r="G99" s="25"/>
      <c r="H99" s="89" t="n">
        <v>36857</v>
      </c>
      <c r="I99" s="53" t="n">
        <v>36790</v>
      </c>
      <c r="J99" s="46" t="n">
        <v>0.05</v>
      </c>
      <c r="K99" s="25"/>
      <c r="L99" s="26"/>
      <c r="M99" s="43" t="n">
        <v>-155000</v>
      </c>
      <c r="N99" s="52"/>
      <c r="O99" s="31" t="n">
        <f aca="false">+M99*J99</f>
        <v>-7750</v>
      </c>
      <c r="P99" s="41"/>
      <c r="Q99" s="31" t="n">
        <f aca="false">+O99+P99</f>
        <v>-7750</v>
      </c>
    </row>
    <row r="100" customFormat="false" ht="11.25" hidden="false" customHeight="false" outlineLevel="0" collapsed="false">
      <c r="A100" s="24"/>
      <c r="B100" s="24"/>
      <c r="C100" s="24"/>
      <c r="D100" s="24"/>
      <c r="E100" s="24"/>
      <c r="F100" s="24"/>
      <c r="G100" s="24"/>
      <c r="H100" s="25"/>
      <c r="I100" s="88"/>
      <c r="J100" s="25"/>
      <c r="K100" s="25"/>
      <c r="L100" s="25"/>
      <c r="M100" s="30"/>
      <c r="N100" s="30"/>
      <c r="O100" s="46"/>
      <c r="P100" s="87"/>
      <c r="Q100" s="87"/>
    </row>
    <row r="101" customFormat="false" ht="12" hidden="false" customHeight="false" outlineLevel="0" collapsed="false">
      <c r="A101" s="25"/>
      <c r="B101" s="37"/>
      <c r="C101" s="37"/>
      <c r="D101" s="90"/>
      <c r="E101" s="37"/>
      <c r="F101" s="37"/>
      <c r="G101" s="37"/>
      <c r="H101" s="37"/>
      <c r="I101" s="62"/>
      <c r="J101" s="25"/>
      <c r="K101" s="37"/>
      <c r="L101" s="37"/>
      <c r="M101" s="55" t="n">
        <f aca="false">+M99+M97+M95+M93+M89+M85+M80</f>
        <v>0</v>
      </c>
      <c r="N101" s="55" t="n">
        <f aca="false">SUM(N83:N95)</f>
        <v>0</v>
      </c>
      <c r="O101" s="56" t="n">
        <f aca="false">+O99+O97+O95+O93+O89+O85+O80</f>
        <v>14703100</v>
      </c>
      <c r="P101" s="56" t="n">
        <f aca="false">+P99+P97+P95+P93+P89+P85+P80</f>
        <v>0</v>
      </c>
      <c r="Q101" s="56" t="n">
        <f aca="false">+Q99+Q97+Q95+Q93+Q89+Q85+Q80</f>
        <v>14703100</v>
      </c>
      <c r="R101" s="62"/>
    </row>
    <row r="102" customFormat="false" ht="12" hidden="false" customHeight="false" outlineLevel="0" collapsed="false">
      <c r="A102" s="58"/>
      <c r="B102" s="59"/>
      <c r="C102" s="59"/>
      <c r="D102" s="91"/>
      <c r="E102" s="59"/>
      <c r="F102" s="59"/>
      <c r="G102" s="59"/>
      <c r="H102" s="59"/>
      <c r="I102" s="92"/>
      <c r="J102" s="58"/>
      <c r="K102" s="59"/>
      <c r="L102" s="59"/>
      <c r="M102" s="93"/>
      <c r="N102" s="93"/>
      <c r="O102" s="94"/>
      <c r="P102" s="94"/>
      <c r="Q102" s="94"/>
    </row>
    <row r="103" customFormat="false" ht="11.25" hidden="false" customHeight="false" outlineLevel="0" collapsed="false">
      <c r="A103" s="62"/>
      <c r="B103" s="62"/>
      <c r="C103" s="62"/>
      <c r="D103" s="61"/>
      <c r="E103" s="62"/>
      <c r="F103" s="62"/>
      <c r="G103" s="62"/>
      <c r="H103" s="62"/>
      <c r="I103" s="62"/>
      <c r="J103" s="62"/>
      <c r="K103" s="62"/>
      <c r="L103" s="62"/>
      <c r="M103" s="95"/>
      <c r="N103" s="95"/>
      <c r="O103" s="96"/>
      <c r="P103" s="96"/>
      <c r="Q103" s="96"/>
    </row>
    <row r="104" customFormat="false" ht="11.25" hidden="false" customHeight="false" outlineLevel="0" collapsed="false">
      <c r="A104" s="62"/>
      <c r="B104" s="62"/>
      <c r="C104" s="62"/>
      <c r="D104" s="61"/>
      <c r="E104" s="62"/>
      <c r="F104" s="62"/>
      <c r="G104" s="62"/>
      <c r="H104" s="62"/>
      <c r="I104" s="62"/>
      <c r="J104" s="62"/>
      <c r="K104" s="62"/>
      <c r="L104" s="62"/>
      <c r="M104" s="95"/>
      <c r="N104" s="95"/>
      <c r="O104" s="96"/>
      <c r="P104" s="96"/>
      <c r="Q104" s="96"/>
    </row>
    <row r="105" customFormat="false" ht="12" hidden="false" customHeight="true" outlineLevel="0" collapsed="false">
      <c r="M105" s="97"/>
    </row>
    <row r="106" customFormat="false" ht="11.25" hidden="false" customHeight="false" outlineLevel="0" collapsed="false">
      <c r="A106" s="98" t="s">
        <v>84</v>
      </c>
    </row>
    <row r="107" customFormat="false" ht="11.25" hidden="false" customHeight="false" outlineLevel="0" collapsed="false">
      <c r="A107" s="98" t="s">
        <v>85</v>
      </c>
      <c r="B107" s="98"/>
      <c r="C107" s="98"/>
    </row>
    <row r="108" customFormat="false" ht="11.25" hidden="false" customHeight="false" outlineLevel="0" collapsed="false">
      <c r="A108" s="98" t="s">
        <v>86</v>
      </c>
      <c r="B108" s="98"/>
      <c r="C108" s="98"/>
    </row>
  </sheetData>
  <mergeCells count="8">
    <mergeCell ref="A1:Q1"/>
    <mergeCell ref="A2:Q2"/>
    <mergeCell ref="A3:Q3"/>
    <mergeCell ref="A5:Q5"/>
    <mergeCell ref="O8:Q8"/>
    <mergeCell ref="A70:Q70"/>
    <mergeCell ref="A71:Q71"/>
    <mergeCell ref="O74:Q74"/>
  </mergeCells>
  <printOptions headings="false" gridLines="false" gridLinesSet="true" horizontalCentered="true" verticalCentered="true"/>
  <pageMargins left="0.25" right="0.25" top="0.179861111111111" bottom="0.35" header="0.511811023622047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36892</v>
      </c>
      <c r="B9" s="114"/>
      <c r="C9" s="115" t="s">
        <v>61</v>
      </c>
      <c r="D9" s="116" t="n">
        <v>0.1</v>
      </c>
      <c r="E9" s="114"/>
      <c r="F9" s="117" t="n">
        <f aca="false">-5000*31</f>
        <v>-155000</v>
      </c>
      <c r="G9" s="116"/>
      <c r="H9" s="116" t="e">
        <f aca="false">+'[1]'!$F37</f>
        <v>#N/A</v>
      </c>
      <c r="I9" s="118" t="n">
        <f aca="false">-F9*D9</f>
        <v>15500</v>
      </c>
      <c r="J9" s="119" t="n">
        <f aca="false">+I9</f>
        <v>15500</v>
      </c>
      <c r="K9" s="119"/>
    </row>
    <row r="10" customFormat="false" ht="12.75" hidden="false" customHeight="false" outlineLevel="0" collapsed="false">
      <c r="A10" s="113" t="n">
        <v>36923</v>
      </c>
      <c r="B10" s="114"/>
      <c r="C10" s="115" t="s">
        <v>61</v>
      </c>
      <c r="D10" s="116" t="n">
        <v>0.1</v>
      </c>
      <c r="E10" s="114"/>
      <c r="F10" s="117" t="n">
        <f aca="false">-5000*28</f>
        <v>-140000</v>
      </c>
      <c r="G10" s="116"/>
      <c r="H10" s="116" t="e">
        <f aca="false">+'[1]'!$F38</f>
        <v>#N/A</v>
      </c>
      <c r="I10" s="118" t="n">
        <f aca="false">-F10*D10</f>
        <v>14000</v>
      </c>
      <c r="J10" s="119" t="n">
        <f aca="false">+I10</f>
        <v>14000</v>
      </c>
      <c r="K10" s="119"/>
    </row>
    <row r="11" customFormat="false" ht="12.75" hidden="false" customHeight="false" outlineLevel="0" collapsed="false">
      <c r="A11" s="113" t="n">
        <v>36951</v>
      </c>
      <c r="B11" s="114"/>
      <c r="C11" s="115" t="s">
        <v>61</v>
      </c>
      <c r="D11" s="116" t="n">
        <v>0.1</v>
      </c>
      <c r="E11" s="114"/>
      <c r="F11" s="117" t="n">
        <f aca="false">-5000*31</f>
        <v>-155000</v>
      </c>
      <c r="G11" s="116"/>
      <c r="H11" s="116" t="e">
        <f aca="false">+'[1]'!$F39</f>
        <v>#N/A</v>
      </c>
      <c r="I11" s="118" t="n">
        <f aca="false">-F11*D11</f>
        <v>15500</v>
      </c>
      <c r="J11" s="119" t="n">
        <f aca="false">+I11</f>
        <v>15500</v>
      </c>
      <c r="K11" s="119"/>
    </row>
    <row r="12" customFormat="false" ht="12.75" hidden="false" customHeight="false" outlineLevel="0" collapsed="false">
      <c r="A12" s="113" t="n">
        <v>36982</v>
      </c>
      <c r="B12" s="114"/>
      <c r="C12" s="115" t="s">
        <v>61</v>
      </c>
      <c r="D12" s="116" t="n">
        <v>0.1</v>
      </c>
      <c r="E12" s="114"/>
      <c r="F12" s="117" t="n">
        <f aca="false">-5000*30</f>
        <v>-150000</v>
      </c>
      <c r="G12" s="116"/>
      <c r="H12" s="116" t="e">
        <f aca="false">+'[1]'!$F40</f>
        <v>#N/A</v>
      </c>
      <c r="I12" s="118" t="n">
        <f aca="false">-F12*D12</f>
        <v>15000</v>
      </c>
      <c r="J12" s="119" t="n">
        <f aca="false">+I12</f>
        <v>15000</v>
      </c>
      <c r="K12" s="119"/>
    </row>
    <row r="13" customFormat="false" ht="12.75" hidden="false" customHeight="false" outlineLevel="0" collapsed="false">
      <c r="A13" s="113" t="n">
        <v>37012</v>
      </c>
      <c r="B13" s="114"/>
      <c r="C13" s="115" t="s">
        <v>61</v>
      </c>
      <c r="D13" s="116" t="n">
        <v>0.1</v>
      </c>
      <c r="E13" s="114"/>
      <c r="F13" s="117" t="n">
        <f aca="false">-5000*31</f>
        <v>-155000</v>
      </c>
      <c r="G13" s="114"/>
      <c r="H13" s="116" t="e">
        <f aca="false">+'[1]'!$F41</f>
        <v>#N/A</v>
      </c>
      <c r="I13" s="118" t="n">
        <f aca="false">-F13*D13</f>
        <v>15500</v>
      </c>
      <c r="J13" s="119" t="n">
        <f aca="false">+I13</f>
        <v>15500</v>
      </c>
      <c r="K13" s="119"/>
    </row>
    <row r="14" customFormat="false" ht="12.75" hidden="false" customHeight="false" outlineLevel="0" collapsed="false">
      <c r="A14" s="113" t="n">
        <v>37043</v>
      </c>
      <c r="B14" s="114"/>
      <c r="C14" s="115" t="s">
        <v>61</v>
      </c>
      <c r="D14" s="116" t="n">
        <v>0.1</v>
      </c>
      <c r="E14" s="114"/>
      <c r="F14" s="117" t="n">
        <f aca="false">-5000*30</f>
        <v>-150000</v>
      </c>
      <c r="G14" s="114"/>
      <c r="H14" s="116" t="e">
        <f aca="false">+'[1]'!$F42</f>
        <v>#N/A</v>
      </c>
      <c r="I14" s="118" t="n">
        <f aca="false">-F14*D14</f>
        <v>15000</v>
      </c>
      <c r="J14" s="119" t="n">
        <f aca="false">+I14</f>
        <v>15000</v>
      </c>
      <c r="K14" s="119"/>
    </row>
    <row r="15" customFormat="false" ht="12.75" hidden="false" customHeight="false" outlineLevel="0" collapsed="false">
      <c r="A15" s="113" t="n">
        <v>37073</v>
      </c>
      <c r="B15" s="114"/>
      <c r="C15" s="115" t="s">
        <v>61</v>
      </c>
      <c r="D15" s="116" t="n">
        <v>0.1</v>
      </c>
      <c r="E15" s="114"/>
      <c r="F15" s="117" t="n">
        <f aca="false">-5000*31</f>
        <v>-155000</v>
      </c>
      <c r="G15" s="114"/>
      <c r="H15" s="116" t="e">
        <f aca="false">+'[1]'!$F43</f>
        <v>#N/A</v>
      </c>
      <c r="I15" s="118" t="n">
        <f aca="false">-F15*D15</f>
        <v>15500</v>
      </c>
      <c r="J15" s="119" t="n">
        <f aca="false">+I15</f>
        <v>15500</v>
      </c>
      <c r="K15" s="119"/>
    </row>
    <row r="16" customFormat="false" ht="12.75" hidden="false" customHeight="false" outlineLevel="0" collapsed="false">
      <c r="A16" s="113" t="n">
        <v>37104</v>
      </c>
      <c r="B16" s="114"/>
      <c r="C16" s="115" t="s">
        <v>61</v>
      </c>
      <c r="D16" s="116" t="n">
        <v>0.1</v>
      </c>
      <c r="E16" s="114"/>
      <c r="F16" s="117" t="n">
        <f aca="false">-5000*31</f>
        <v>-155000</v>
      </c>
      <c r="G16" s="114"/>
      <c r="H16" s="116" t="e">
        <f aca="false">+'[1]'!$F44</f>
        <v>#N/A</v>
      </c>
      <c r="I16" s="118" t="n">
        <f aca="false">-F16*D16</f>
        <v>15500</v>
      </c>
      <c r="J16" s="119" t="n">
        <f aca="false">+I16</f>
        <v>15500</v>
      </c>
      <c r="K16" s="119"/>
    </row>
    <row r="17" customFormat="false" ht="12.75" hidden="false" customHeight="false" outlineLevel="0" collapsed="false">
      <c r="A17" s="113" t="n">
        <v>37135</v>
      </c>
      <c r="B17" s="114"/>
      <c r="C17" s="115" t="s">
        <v>61</v>
      </c>
      <c r="D17" s="116" t="n">
        <v>0.1</v>
      </c>
      <c r="E17" s="114"/>
      <c r="F17" s="117" t="n">
        <f aca="false">-5000*30</f>
        <v>-150000</v>
      </c>
      <c r="G17" s="114"/>
      <c r="H17" s="116" t="e">
        <f aca="false">+'[1]'!$F45</f>
        <v>#N/A</v>
      </c>
      <c r="I17" s="118" t="n">
        <f aca="false">-F17*D17</f>
        <v>15000</v>
      </c>
      <c r="J17" s="119" t="n">
        <f aca="false">+I17</f>
        <v>15000</v>
      </c>
      <c r="K17" s="119"/>
    </row>
    <row r="18" customFormat="false" ht="12.75" hidden="false" customHeight="false" outlineLevel="0" collapsed="false">
      <c r="A18" s="113" t="n">
        <v>37165</v>
      </c>
      <c r="B18" s="114"/>
      <c r="C18" s="115" t="s">
        <v>61</v>
      </c>
      <c r="D18" s="116" t="n">
        <v>0.1</v>
      </c>
      <c r="E18" s="114"/>
      <c r="F18" s="117" t="n">
        <f aca="false">-5000*31</f>
        <v>-155000</v>
      </c>
      <c r="G18" s="114"/>
      <c r="H18" s="116" t="e">
        <f aca="false">+'[1]'!$F46</f>
        <v>#N/A</v>
      </c>
      <c r="I18" s="118" t="n">
        <f aca="false">-F18*D18</f>
        <v>15500</v>
      </c>
      <c r="J18" s="119" t="n">
        <f aca="false">+I18</f>
        <v>15500</v>
      </c>
      <c r="K18" s="119"/>
    </row>
    <row r="19" customFormat="false" ht="12.75" hidden="false" customHeight="false" outlineLevel="0" collapsed="false">
      <c r="A19" s="113" t="n">
        <v>37196</v>
      </c>
      <c r="B19" s="114"/>
      <c r="C19" s="115" t="s">
        <v>61</v>
      </c>
      <c r="D19" s="116" t="n">
        <v>0.1</v>
      </c>
      <c r="E19" s="114"/>
      <c r="F19" s="117" t="n">
        <f aca="false">-5000*30</f>
        <v>-150000</v>
      </c>
      <c r="G19" s="114"/>
      <c r="H19" s="116" t="e">
        <f aca="false">+'[1]'!$F47</f>
        <v>#N/A</v>
      </c>
      <c r="I19" s="118" t="n">
        <f aca="false">-F19*D19</f>
        <v>15000</v>
      </c>
      <c r="J19" s="119" t="n">
        <f aca="false">+I19</f>
        <v>15000</v>
      </c>
      <c r="K19" s="119"/>
    </row>
    <row r="20" customFormat="false" ht="12.75" hidden="false" customHeight="false" outlineLevel="0" collapsed="false">
      <c r="A20" s="113" t="n">
        <v>37226</v>
      </c>
      <c r="B20" s="114"/>
      <c r="C20" s="115" t="s">
        <v>61</v>
      </c>
      <c r="D20" s="116" t="n">
        <v>0.1</v>
      </c>
      <c r="E20" s="114"/>
      <c r="F20" s="117" t="n">
        <f aca="false">-5000*31</f>
        <v>-155000</v>
      </c>
      <c r="G20" s="114"/>
      <c r="H20" s="116" t="e">
        <f aca="false">+'[1]'!$F48</f>
        <v>#N/A</v>
      </c>
      <c r="I20" s="118" t="n">
        <f aca="false">-F20*D20</f>
        <v>15500</v>
      </c>
      <c r="J20" s="119" t="n">
        <f aca="false">+I20</f>
        <v>15500</v>
      </c>
      <c r="K20" s="119"/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-1825000</v>
      </c>
      <c r="G22" s="114"/>
      <c r="H22" s="144"/>
      <c r="I22" s="122" t="n">
        <f aca="false">SUM(I9:I20)</f>
        <v>182500</v>
      </c>
      <c r="J22" s="122" t="n">
        <f aca="false">SUM(J9:J20)</f>
        <v>182500</v>
      </c>
      <c r="K22" s="122" t="n">
        <f aca="false">SUM(K9:K20)</f>
        <v>0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36892</v>
      </c>
      <c r="B26" s="114"/>
      <c r="C26" s="115" t="s">
        <v>97</v>
      </c>
      <c r="D26" s="116" t="n">
        <v>3</v>
      </c>
      <c r="E26" s="114"/>
      <c r="F26" s="117" t="n">
        <f aca="false">5000*31</f>
        <v>155000</v>
      </c>
      <c r="G26" s="116"/>
      <c r="H26" s="116" t="e">
        <f aca="false">+'[1]'!$R12</f>
        <v>#N/A</v>
      </c>
      <c r="I26" s="118" t="e">
        <f aca="false">(+D26-H26)*F26</f>
        <v>#N/A</v>
      </c>
      <c r="J26" s="119"/>
      <c r="K26" s="119" t="e">
        <f aca="false">+I26</f>
        <v>#N/A</v>
      </c>
    </row>
    <row r="27" customFormat="false" ht="12.75" hidden="false" customHeight="false" outlineLevel="0" collapsed="false">
      <c r="A27" s="113" t="n">
        <v>36923</v>
      </c>
      <c r="B27" s="114"/>
      <c r="C27" s="115" t="s">
        <v>97</v>
      </c>
      <c r="D27" s="116" t="n">
        <v>3</v>
      </c>
      <c r="E27" s="114"/>
      <c r="F27" s="117" t="n">
        <f aca="false">5000*28</f>
        <v>140000</v>
      </c>
      <c r="G27" s="116"/>
      <c r="H27" s="116" t="e">
        <f aca="false">+'[1]'!$R13</f>
        <v>#N/A</v>
      </c>
      <c r="I27" s="118" t="e">
        <f aca="false">(+D27-H27)*F27</f>
        <v>#N/A</v>
      </c>
      <c r="J27" s="119"/>
      <c r="K27" s="119" t="e">
        <f aca="false">+I27</f>
        <v>#N/A</v>
      </c>
    </row>
    <row r="28" customFormat="false" ht="12.75" hidden="false" customHeight="false" outlineLevel="0" collapsed="false">
      <c r="A28" s="113" t="n">
        <v>36951</v>
      </c>
      <c r="B28" s="114"/>
      <c r="C28" s="115" t="s">
        <v>97</v>
      </c>
      <c r="D28" s="116" t="n">
        <v>3</v>
      </c>
      <c r="E28" s="114"/>
      <c r="F28" s="117" t="n">
        <f aca="false">5000*31</f>
        <v>155000</v>
      </c>
      <c r="G28" s="116"/>
      <c r="H28" s="116" t="e">
        <f aca="false">+'[1]'!$R14</f>
        <v>#N/A</v>
      </c>
      <c r="I28" s="118" t="e">
        <f aca="false">(+D28-H28)*F28</f>
        <v>#N/A</v>
      </c>
      <c r="J28" s="119"/>
      <c r="K28" s="119" t="e">
        <f aca="false">+I28</f>
        <v>#N/A</v>
      </c>
    </row>
    <row r="29" customFormat="false" ht="12.75" hidden="false" customHeight="false" outlineLevel="0" collapsed="false">
      <c r="A29" s="113" t="n">
        <v>36982</v>
      </c>
      <c r="B29" s="114"/>
      <c r="C29" s="115" t="s">
        <v>97</v>
      </c>
      <c r="D29" s="116" t="n">
        <v>3</v>
      </c>
      <c r="E29" s="114"/>
      <c r="F29" s="117" t="n">
        <f aca="false">5000*30</f>
        <v>150000</v>
      </c>
      <c r="G29" s="116"/>
      <c r="H29" s="116" t="e">
        <f aca="false">+'[1]'!$R15</f>
        <v>#N/A</v>
      </c>
      <c r="I29" s="118" t="e">
        <f aca="false">(+D29-H29)*F29</f>
        <v>#N/A</v>
      </c>
      <c r="J29" s="119"/>
      <c r="K29" s="119" t="e">
        <f aca="false">+I29</f>
        <v>#N/A</v>
      </c>
    </row>
    <row r="30" customFormat="false" ht="12.75" hidden="false" customHeight="false" outlineLevel="0" collapsed="false">
      <c r="A30" s="113" t="n">
        <v>37012</v>
      </c>
      <c r="B30" s="114"/>
      <c r="C30" s="115" t="s">
        <v>97</v>
      </c>
      <c r="D30" s="116" t="n">
        <v>3</v>
      </c>
      <c r="E30" s="114"/>
      <c r="F30" s="117" t="n">
        <f aca="false">5000*31</f>
        <v>155000</v>
      </c>
      <c r="G30" s="114"/>
      <c r="H30" s="116" t="e">
        <f aca="false">+'[1]'!$R16</f>
        <v>#N/A</v>
      </c>
      <c r="I30" s="118" t="e">
        <f aca="false">(+D30-H30)*F30</f>
        <v>#N/A</v>
      </c>
      <c r="J30" s="120"/>
      <c r="K30" s="119" t="e">
        <f aca="false">+I30</f>
        <v>#N/A</v>
      </c>
    </row>
    <row r="31" customFormat="false" ht="12.75" hidden="false" customHeight="false" outlineLevel="0" collapsed="false">
      <c r="A31" s="113" t="n">
        <v>37043</v>
      </c>
      <c r="B31" s="114"/>
      <c r="C31" s="115" t="s">
        <v>97</v>
      </c>
      <c r="D31" s="116" t="n">
        <v>3</v>
      </c>
      <c r="E31" s="114"/>
      <c r="F31" s="117" t="n">
        <f aca="false">5000*30</f>
        <v>150000</v>
      </c>
      <c r="G31" s="114"/>
      <c r="H31" s="116" t="e">
        <f aca="false">+'[1]'!$R17</f>
        <v>#N/A</v>
      </c>
      <c r="I31" s="118" t="e">
        <f aca="false">(+D31-H31)*F31</f>
        <v>#N/A</v>
      </c>
      <c r="J31" s="120"/>
      <c r="K31" s="119" t="e">
        <f aca="false">+I31</f>
        <v>#N/A</v>
      </c>
    </row>
    <row r="32" customFormat="false" ht="12.75" hidden="false" customHeight="false" outlineLevel="0" collapsed="false">
      <c r="A32" s="113" t="n">
        <v>37073</v>
      </c>
      <c r="B32" s="114"/>
      <c r="C32" s="115" t="s">
        <v>97</v>
      </c>
      <c r="D32" s="116" t="n">
        <v>3</v>
      </c>
      <c r="E32" s="114"/>
      <c r="F32" s="117" t="n">
        <f aca="false">5000*31</f>
        <v>155000</v>
      </c>
      <c r="G32" s="114"/>
      <c r="H32" s="116" t="e">
        <f aca="false">+'[1]'!$R18</f>
        <v>#N/A</v>
      </c>
      <c r="I32" s="118" t="e">
        <f aca="false">(+D32-H32)*F32</f>
        <v>#N/A</v>
      </c>
      <c r="J32" s="120"/>
      <c r="K32" s="119" t="e">
        <f aca="false">+I32</f>
        <v>#N/A</v>
      </c>
    </row>
    <row r="33" customFormat="false" ht="12.75" hidden="false" customHeight="false" outlineLevel="0" collapsed="false">
      <c r="A33" s="113" t="n">
        <v>37104</v>
      </c>
      <c r="B33" s="114"/>
      <c r="C33" s="115" t="s">
        <v>97</v>
      </c>
      <c r="D33" s="116" t="n">
        <v>3</v>
      </c>
      <c r="E33" s="114"/>
      <c r="F33" s="117" t="n">
        <f aca="false">5000*31</f>
        <v>155000</v>
      </c>
      <c r="G33" s="114"/>
      <c r="H33" s="116" t="e">
        <f aca="false">+'[1]'!$R19</f>
        <v>#N/A</v>
      </c>
      <c r="I33" s="118" t="e">
        <f aca="false">(+D33-H33)*F33</f>
        <v>#N/A</v>
      </c>
      <c r="J33" s="120"/>
      <c r="K33" s="119" t="e">
        <f aca="false">+I33</f>
        <v>#N/A</v>
      </c>
    </row>
    <row r="34" customFormat="false" ht="12.75" hidden="false" customHeight="false" outlineLevel="0" collapsed="false">
      <c r="A34" s="113" t="n">
        <v>37135</v>
      </c>
      <c r="B34" s="114"/>
      <c r="C34" s="115" t="s">
        <v>97</v>
      </c>
      <c r="D34" s="116" t="n">
        <v>3</v>
      </c>
      <c r="E34" s="114"/>
      <c r="F34" s="117" t="n">
        <f aca="false">5000*30</f>
        <v>150000</v>
      </c>
      <c r="G34" s="114"/>
      <c r="H34" s="116" t="e">
        <f aca="false">+'[1]'!$R20</f>
        <v>#N/A</v>
      </c>
      <c r="I34" s="118" t="e">
        <f aca="false">(+D34-H34)*F34</f>
        <v>#N/A</v>
      </c>
      <c r="J34" s="120"/>
      <c r="K34" s="119" t="e">
        <f aca="false">+I34</f>
        <v>#N/A</v>
      </c>
    </row>
    <row r="35" customFormat="false" ht="12.75" hidden="false" customHeight="false" outlineLevel="0" collapsed="false">
      <c r="A35" s="113" t="n">
        <v>37165</v>
      </c>
      <c r="B35" s="114"/>
      <c r="C35" s="115" t="s">
        <v>97</v>
      </c>
      <c r="D35" s="116" t="n">
        <v>3</v>
      </c>
      <c r="E35" s="114"/>
      <c r="F35" s="117" t="n">
        <f aca="false">5000*31</f>
        <v>155000</v>
      </c>
      <c r="G35" s="114"/>
      <c r="H35" s="116" t="e">
        <f aca="false">+'[1]'!$R21</f>
        <v>#N/A</v>
      </c>
      <c r="I35" s="118" t="e">
        <f aca="false">(+D35-H35)*F35</f>
        <v>#N/A</v>
      </c>
      <c r="J35" s="120"/>
      <c r="K35" s="119" t="e">
        <f aca="false">+I35</f>
        <v>#N/A</v>
      </c>
    </row>
    <row r="36" customFormat="false" ht="12.75" hidden="false" customHeight="false" outlineLevel="0" collapsed="false">
      <c r="A36" s="113" t="n">
        <v>37196</v>
      </c>
      <c r="B36" s="114"/>
      <c r="C36" s="115" t="s">
        <v>97</v>
      </c>
      <c r="D36" s="116" t="n">
        <v>3</v>
      </c>
      <c r="E36" s="114"/>
      <c r="F36" s="117" t="n">
        <f aca="false">5000*30</f>
        <v>150000</v>
      </c>
      <c r="G36" s="114"/>
      <c r="H36" s="116" t="e">
        <f aca="false">+'[1]'!$R22</f>
        <v>#N/A</v>
      </c>
      <c r="I36" s="118" t="e">
        <f aca="false">(+D36-H36)*F36</f>
        <v>#N/A</v>
      </c>
      <c r="J36" s="120"/>
      <c r="K36" s="119" t="e">
        <f aca="false">+I36</f>
        <v>#N/A</v>
      </c>
    </row>
    <row r="37" customFormat="false" ht="12.75" hidden="false" customHeight="false" outlineLevel="0" collapsed="false">
      <c r="A37" s="113" t="n">
        <v>37226</v>
      </c>
      <c r="B37" s="114"/>
      <c r="C37" s="115" t="s">
        <v>97</v>
      </c>
      <c r="D37" s="116" t="n">
        <v>3</v>
      </c>
      <c r="E37" s="114"/>
      <c r="F37" s="117" t="n">
        <f aca="false">5000*31</f>
        <v>155000</v>
      </c>
      <c r="G37" s="114"/>
      <c r="H37" s="116" t="e">
        <f aca="false">+'[1]'!$R23</f>
        <v>#N/A</v>
      </c>
      <c r="I37" s="118" t="e">
        <f aca="false">(+D37-H37)*F37</f>
        <v>#N/A</v>
      </c>
      <c r="J37" s="120"/>
      <c r="K37" s="119" t="e">
        <f aca="false">+I37</f>
        <v>#N/A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1825000</v>
      </c>
      <c r="G39" s="114"/>
      <c r="H39" s="114"/>
      <c r="I39" s="130" t="e">
        <f aca="false">SUM(I26:I38)</f>
        <v>#N/A</v>
      </c>
      <c r="J39" s="130" t="n">
        <f aca="false">SUM(J26:J38)</f>
        <v>0</v>
      </c>
      <c r="K39" s="130" t="e">
        <f aca="false">SUM(K26:K38)</f>
        <v>#N/A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e">
        <f aca="false">+I39+I22</f>
        <v>#N/A</v>
      </c>
      <c r="J41" s="132" t="n">
        <f aca="false">+J39+J22</f>
        <v>182500</v>
      </c>
      <c r="K41" s="132" t="e">
        <f aca="false">+K39+K22</f>
        <v>#N/A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46" width="12.14"/>
    <col collapsed="false" customWidth="true" hidden="false" outlineLevel="0" max="11" min="11" style="146" width="13.7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113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47"/>
      <c r="K4" s="147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48" t="s">
        <v>114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49" t="s">
        <v>115</v>
      </c>
      <c r="B9" s="114"/>
      <c r="C9" s="115"/>
      <c r="D9" s="150" t="n">
        <v>1.945</v>
      </c>
      <c r="E9" s="118"/>
      <c r="F9" s="117" t="n">
        <f aca="false">250*30</f>
        <v>7500</v>
      </c>
      <c r="G9" s="150" t="n">
        <v>1.96</v>
      </c>
      <c r="H9" s="150"/>
      <c r="I9" s="141" t="n">
        <f aca="false">SUM(D9-G9)*F9</f>
        <v>-112.499999999999</v>
      </c>
      <c r="J9" s="141" t="n">
        <f aca="false">+I9</f>
        <v>-112.499999999999</v>
      </c>
      <c r="K9" s="141"/>
    </row>
    <row r="10" customFormat="false" ht="12.75" hidden="false" customHeight="false" outlineLevel="0" collapsed="false">
      <c r="A10" s="149" t="s">
        <v>116</v>
      </c>
      <c r="B10" s="114"/>
      <c r="C10" s="115"/>
      <c r="D10" s="150" t="n">
        <v>1.945</v>
      </c>
      <c r="E10" s="118"/>
      <c r="F10" s="117" t="n">
        <f aca="false">250*31</f>
        <v>7750</v>
      </c>
      <c r="G10" s="150" t="n">
        <v>2.05</v>
      </c>
      <c r="H10" s="150"/>
      <c r="I10" s="141" t="n">
        <f aca="false">SUM(D10-G10)*F10</f>
        <v>-813.749999999998</v>
      </c>
      <c r="J10" s="141" t="n">
        <f aca="false">+I10</f>
        <v>-813.749999999998</v>
      </c>
      <c r="K10" s="141"/>
    </row>
    <row r="11" customFormat="false" ht="12.75" hidden="false" customHeight="false" outlineLevel="0" collapsed="false">
      <c r="A11" s="149" t="s">
        <v>117</v>
      </c>
      <c r="B11" s="114"/>
      <c r="C11" s="115"/>
      <c r="D11" s="150" t="n">
        <v>1.945</v>
      </c>
      <c r="E11" s="118"/>
      <c r="F11" s="117" t="n">
        <f aca="false">250*31</f>
        <v>7750</v>
      </c>
      <c r="G11" s="150" t="n">
        <v>2.26</v>
      </c>
      <c r="H11" s="116"/>
      <c r="I11" s="141" t="n">
        <f aca="false">SUM(D11-G11)*F11</f>
        <v>-2441.25</v>
      </c>
      <c r="J11" s="141" t="n">
        <f aca="false">+I11</f>
        <v>-2441.25</v>
      </c>
      <c r="K11" s="141"/>
    </row>
    <row r="12" customFormat="false" ht="12.75" hidden="false" customHeight="false" outlineLevel="0" collapsed="false">
      <c r="A12" s="149" t="s">
        <v>118</v>
      </c>
      <c r="B12" s="114"/>
      <c r="C12" s="115"/>
      <c r="D12" s="150" t="n">
        <v>1.945</v>
      </c>
      <c r="E12" s="118"/>
      <c r="F12" s="117" t="n">
        <f aca="false">250*30</f>
        <v>7500</v>
      </c>
      <c r="G12" s="150" t="n">
        <v>2.63</v>
      </c>
      <c r="H12" s="116"/>
      <c r="I12" s="141" t="n">
        <f aca="false">SUM(D12-G12)*F12</f>
        <v>-5137.5</v>
      </c>
      <c r="J12" s="141" t="n">
        <f aca="false">+I12</f>
        <v>-5137.5</v>
      </c>
      <c r="K12" s="141"/>
    </row>
    <row r="13" customFormat="false" ht="12.75" hidden="false" customHeight="false" outlineLevel="0" collapsed="false">
      <c r="A13" s="149" t="s">
        <v>119</v>
      </c>
      <c r="B13" s="114"/>
      <c r="C13" s="115"/>
      <c r="D13" s="150" t="n">
        <v>1.945</v>
      </c>
      <c r="E13" s="118"/>
      <c r="F13" s="117" t="n">
        <f aca="false">250*31</f>
        <v>7750</v>
      </c>
      <c r="G13" s="116" t="n">
        <v>2.37</v>
      </c>
      <c r="H13" s="116"/>
      <c r="I13" s="141" t="n">
        <f aca="false">SUM(D13-G13)*F13</f>
        <v>-3293.75</v>
      </c>
      <c r="J13" s="141" t="n">
        <f aca="false">+I13</f>
        <v>-3293.75</v>
      </c>
      <c r="K13" s="141"/>
    </row>
    <row r="14" customFormat="false" ht="12.75" hidden="false" customHeight="false" outlineLevel="0" collapsed="false">
      <c r="A14" s="149" t="s">
        <v>120</v>
      </c>
      <c r="B14" s="114"/>
      <c r="C14" s="115"/>
      <c r="D14" s="150" t="n">
        <v>1.945</v>
      </c>
      <c r="E14" s="118"/>
      <c r="F14" s="117" t="n">
        <f aca="false">250*30</f>
        <v>7500</v>
      </c>
      <c r="G14" s="116" t="n">
        <v>2.84</v>
      </c>
      <c r="H14" s="116"/>
      <c r="I14" s="141" t="n">
        <f aca="false">SUM(D14-G14)*F14</f>
        <v>-6712.5</v>
      </c>
      <c r="J14" s="141" t="n">
        <f aca="false">+I14</f>
        <v>-6712.5</v>
      </c>
      <c r="K14" s="141"/>
    </row>
    <row r="15" customFormat="false" ht="12.75" hidden="false" customHeight="false" outlineLevel="0" collapsed="false">
      <c r="A15" s="149" t="s">
        <v>121</v>
      </c>
      <c r="B15" s="114"/>
      <c r="C15" s="115"/>
      <c r="D15" s="150" t="n">
        <v>1.945</v>
      </c>
      <c r="E15" s="118"/>
      <c r="F15" s="117" t="n">
        <f aca="false">250*31</f>
        <v>7750</v>
      </c>
      <c r="G15" s="116" t="n">
        <v>2.08</v>
      </c>
      <c r="H15" s="116"/>
      <c r="I15" s="141" t="n">
        <f aca="false">SUM(D15-G15)*F15</f>
        <v>-1046.25</v>
      </c>
      <c r="J15" s="141" t="n">
        <f aca="false">+I15</f>
        <v>-1046.25</v>
      </c>
      <c r="K15" s="141"/>
    </row>
    <row r="16" customFormat="false" ht="12.75" hidden="false" customHeight="false" outlineLevel="0" collapsed="false">
      <c r="A16" s="149" t="s">
        <v>122</v>
      </c>
      <c r="B16" s="114"/>
      <c r="C16" s="115"/>
      <c r="D16" s="150" t="n">
        <v>1.945</v>
      </c>
      <c r="E16" s="118"/>
      <c r="F16" s="117" t="n">
        <f aca="false">250*31</f>
        <v>7750</v>
      </c>
      <c r="G16" s="116" t="n">
        <v>2.18</v>
      </c>
      <c r="H16" s="116"/>
      <c r="I16" s="141" t="n">
        <f aca="false">SUM(D16-G16)*F16</f>
        <v>-1821.25</v>
      </c>
      <c r="J16" s="141" t="n">
        <f aca="false">+I16</f>
        <v>-1821.25</v>
      </c>
      <c r="K16" s="141"/>
    </row>
    <row r="17" customFormat="false" ht="12.75" hidden="false" customHeight="false" outlineLevel="0" collapsed="false">
      <c r="A17" s="149" t="s">
        <v>123</v>
      </c>
      <c r="B17" s="114"/>
      <c r="C17" s="115"/>
      <c r="D17" s="150" t="n">
        <v>1.945</v>
      </c>
      <c r="E17" s="118"/>
      <c r="F17" s="117" t="n">
        <f aca="false">250*29</f>
        <v>7250</v>
      </c>
      <c r="G17" s="116" t="n">
        <v>2.36</v>
      </c>
      <c r="H17" s="116"/>
      <c r="I17" s="141" t="n">
        <f aca="false">SUM(D17-G17)*F17</f>
        <v>-3008.75</v>
      </c>
      <c r="J17" s="141" t="n">
        <f aca="false">+I17</f>
        <v>-3008.75</v>
      </c>
      <c r="K17" s="141"/>
    </row>
    <row r="18" customFormat="false" ht="12.75" hidden="false" customHeight="false" outlineLevel="0" collapsed="false">
      <c r="A18" s="149" t="s">
        <v>124</v>
      </c>
      <c r="B18" s="114"/>
      <c r="C18" s="115"/>
      <c r="D18" s="150" t="n">
        <v>1.945</v>
      </c>
      <c r="E18" s="118"/>
      <c r="F18" s="117" t="n">
        <f aca="false">250*31</f>
        <v>7750</v>
      </c>
      <c r="G18" s="116" t="n">
        <v>2.37</v>
      </c>
      <c r="H18" s="116"/>
      <c r="I18" s="141" t="n">
        <f aca="false">SUM(D18-G18)*F18</f>
        <v>-3293.75</v>
      </c>
      <c r="J18" s="141" t="n">
        <f aca="false">+I18</f>
        <v>-3293.75</v>
      </c>
      <c r="K18" s="141"/>
    </row>
    <row r="19" customFormat="false" ht="12.75" hidden="false" customHeight="false" outlineLevel="0" collapsed="false">
      <c r="A19" s="149" t="s">
        <v>125</v>
      </c>
      <c r="B19" s="114"/>
      <c r="C19" s="115"/>
      <c r="D19" s="150" t="n">
        <v>1.945</v>
      </c>
      <c r="E19" s="118"/>
      <c r="F19" s="117" t="n">
        <f aca="false">250*30</f>
        <v>7500</v>
      </c>
      <c r="G19" s="116" t="n">
        <v>2.75</v>
      </c>
      <c r="H19" s="116"/>
      <c r="I19" s="141" t="n">
        <f aca="false">SUM(D19-G19)*F19</f>
        <v>-6037.5</v>
      </c>
      <c r="J19" s="141" t="n">
        <f aca="false">+I19</f>
        <v>-6037.5</v>
      </c>
      <c r="K19" s="141"/>
    </row>
    <row r="20" customFormat="false" ht="12.75" hidden="false" customHeight="false" outlineLevel="0" collapsed="false">
      <c r="A20" s="149" t="s">
        <v>126</v>
      </c>
      <c r="B20" s="114"/>
      <c r="C20" s="115"/>
      <c r="D20" s="150" t="n">
        <v>1.945</v>
      </c>
      <c r="E20" s="118"/>
      <c r="F20" s="117" t="n">
        <f aca="false">250*31</f>
        <v>7750</v>
      </c>
      <c r="G20" s="116" t="n">
        <v>2.78</v>
      </c>
      <c r="H20" s="116"/>
      <c r="I20" s="141" t="n">
        <f aca="false">SUM(D20-G20)*F20</f>
        <v>-6471.25</v>
      </c>
      <c r="J20" s="141" t="n">
        <f aca="false">+I20</f>
        <v>-6471.25</v>
      </c>
      <c r="K20" s="141"/>
    </row>
    <row r="21" customFormat="false" ht="12.75" hidden="false" customHeight="false" outlineLevel="0" collapsed="false">
      <c r="A21" s="151"/>
      <c r="B21" s="114"/>
      <c r="C21" s="114"/>
      <c r="D21" s="114"/>
      <c r="E21" s="114"/>
      <c r="F21" s="121" t="n">
        <f aca="false">SUM(F9:F20)</f>
        <v>91500</v>
      </c>
      <c r="G21" s="114"/>
      <c r="H21" s="114"/>
      <c r="I21" s="152" t="n">
        <f aca="false">SUM(I9:I20)</f>
        <v>-40190</v>
      </c>
      <c r="J21" s="152" t="n">
        <f aca="false">SUM(J9:J20)</f>
        <v>-40190</v>
      </c>
      <c r="K21" s="152" t="n">
        <f aca="false">SUM(K9:K20)</f>
        <v>0</v>
      </c>
      <c r="L21" s="153" t="n">
        <f aca="false">+J21+K21-I21</f>
        <v>0</v>
      </c>
    </row>
    <row r="22" customFormat="false" ht="12.75" hidden="false" customHeight="false" outlineLevel="0" collapsed="false">
      <c r="A22" s="151"/>
      <c r="B22" s="114"/>
      <c r="C22" s="114"/>
      <c r="D22" s="114"/>
      <c r="E22" s="114"/>
      <c r="F22" s="123"/>
      <c r="G22" s="114"/>
      <c r="H22" s="114"/>
      <c r="I22" s="125"/>
      <c r="J22" s="125"/>
      <c r="K22" s="125"/>
      <c r="L22" s="153"/>
    </row>
    <row r="23" customFormat="false" ht="12.75" hidden="false" customHeight="false" outlineLevel="0" collapsed="false">
      <c r="A23" s="151"/>
      <c r="B23" s="114"/>
      <c r="C23" s="114"/>
      <c r="D23" s="114"/>
      <c r="E23" s="114"/>
      <c r="F23" s="114"/>
      <c r="G23" s="126" t="s">
        <v>96</v>
      </c>
      <c r="H23" s="114"/>
      <c r="I23" s="141"/>
      <c r="J23" s="141"/>
      <c r="K23" s="141"/>
    </row>
    <row r="24" customFormat="false" ht="12.75" hidden="false" customHeight="false" outlineLevel="0" collapsed="false">
      <c r="A24" s="151"/>
      <c r="B24" s="114"/>
      <c r="C24" s="114"/>
      <c r="D24" s="114"/>
      <c r="E24" s="114"/>
      <c r="F24" s="114"/>
      <c r="G24" s="154"/>
      <c r="H24" s="114"/>
      <c r="I24" s="141"/>
      <c r="J24" s="141"/>
      <c r="K24" s="141"/>
    </row>
    <row r="25" customFormat="false" ht="12.75" hidden="false" customHeight="false" outlineLevel="0" collapsed="false">
      <c r="A25" s="149" t="s">
        <v>115</v>
      </c>
      <c r="B25" s="115" t="n">
        <f aca="false">26125</f>
        <v>26125</v>
      </c>
      <c r="C25" s="115" t="s">
        <v>39</v>
      </c>
      <c r="D25" s="150" t="n">
        <v>1.945</v>
      </c>
      <c r="E25" s="117" t="n">
        <f aca="false">-8600*30</f>
        <v>-258000</v>
      </c>
      <c r="F25" s="117" t="n">
        <f aca="false">-F9</f>
        <v>-7500</v>
      </c>
      <c r="G25" s="150" t="n">
        <v>2.07</v>
      </c>
      <c r="H25" s="150"/>
      <c r="I25" s="141" t="n">
        <f aca="false">SUM(D25-G25)*F25</f>
        <v>937.499999999998</v>
      </c>
      <c r="J25" s="141" t="n">
        <f aca="false">+I25</f>
        <v>937.499999999998</v>
      </c>
      <c r="K25" s="141"/>
    </row>
    <row r="26" customFormat="false" ht="12.75" hidden="false" customHeight="false" outlineLevel="0" collapsed="false">
      <c r="A26" s="149" t="s">
        <v>116</v>
      </c>
      <c r="B26" s="115" t="n">
        <f aca="false">26125</f>
        <v>26125</v>
      </c>
      <c r="C26" s="115" t="s">
        <v>39</v>
      </c>
      <c r="D26" s="150" t="n">
        <v>1.945</v>
      </c>
      <c r="E26" s="117" t="n">
        <f aca="false">-8600*31</f>
        <v>-266600</v>
      </c>
      <c r="F26" s="117" t="n">
        <f aca="false">-F10</f>
        <v>-7750</v>
      </c>
      <c r="G26" s="150" t="n">
        <v>2.11</v>
      </c>
      <c r="H26" s="150"/>
      <c r="I26" s="141" t="n">
        <f aca="false">SUM(D26-G26)*F26</f>
        <v>1278.75</v>
      </c>
      <c r="J26" s="141" t="n">
        <f aca="false">+I26</f>
        <v>1278.75</v>
      </c>
      <c r="K26" s="141"/>
    </row>
    <row r="27" customFormat="false" ht="12.75" hidden="false" customHeight="false" outlineLevel="0" collapsed="false">
      <c r="A27" s="149" t="s">
        <v>117</v>
      </c>
      <c r="B27" s="115" t="n">
        <f aca="false">26125</f>
        <v>26125</v>
      </c>
      <c r="C27" s="115" t="s">
        <v>39</v>
      </c>
      <c r="D27" s="150" t="n">
        <v>1.945</v>
      </c>
      <c r="E27" s="117" t="n">
        <f aca="false">-8600*31</f>
        <v>-266600</v>
      </c>
      <c r="F27" s="117" t="n">
        <f aca="false">-F11</f>
        <v>-7750</v>
      </c>
      <c r="G27" s="150" t="n">
        <v>2.51</v>
      </c>
      <c r="H27" s="116"/>
      <c r="I27" s="141" t="n">
        <f aca="false">SUM(D27-G27)*F27</f>
        <v>4378.75</v>
      </c>
      <c r="J27" s="141" t="n">
        <f aca="false">+I27</f>
        <v>4378.75</v>
      </c>
      <c r="K27" s="141"/>
    </row>
    <row r="28" customFormat="false" ht="12.75" hidden="false" customHeight="false" outlineLevel="0" collapsed="false">
      <c r="A28" s="149" t="s">
        <v>118</v>
      </c>
      <c r="B28" s="115" t="n">
        <f aca="false">26125</f>
        <v>26125</v>
      </c>
      <c r="C28" s="115" t="s">
        <v>39</v>
      </c>
      <c r="D28" s="150" t="n">
        <v>1.945</v>
      </c>
      <c r="E28" s="117" t="n">
        <f aca="false">-8600*30</f>
        <v>-258000</v>
      </c>
      <c r="F28" s="117" t="n">
        <f aca="false">-F12</f>
        <v>-7500</v>
      </c>
      <c r="G28" s="150" t="n">
        <v>2.36</v>
      </c>
      <c r="H28" s="116"/>
      <c r="I28" s="141" t="n">
        <f aca="false">SUM(D28-G28)*F28</f>
        <v>3112.5</v>
      </c>
      <c r="J28" s="141" t="n">
        <f aca="false">+I28</f>
        <v>3112.5</v>
      </c>
      <c r="K28" s="141"/>
    </row>
    <row r="29" customFormat="false" ht="12.75" hidden="false" customHeight="false" outlineLevel="0" collapsed="false">
      <c r="A29" s="149" t="s">
        <v>119</v>
      </c>
      <c r="B29" s="115" t="n">
        <f aca="false">26125</f>
        <v>26125</v>
      </c>
      <c r="C29" s="115" t="s">
        <v>39</v>
      </c>
      <c r="D29" s="150" t="n">
        <v>1.945</v>
      </c>
      <c r="E29" s="117" t="n">
        <f aca="false">-8600*31</f>
        <v>-266600</v>
      </c>
      <c r="F29" s="117" t="n">
        <f aca="false">-F13</f>
        <v>-7750</v>
      </c>
      <c r="G29" s="150" t="n">
        <v>2.62</v>
      </c>
      <c r="H29" s="116"/>
      <c r="I29" s="141" t="n">
        <f aca="false">SUM(D29-G29)*F29</f>
        <v>5231.25</v>
      </c>
      <c r="J29" s="141" t="n">
        <f aca="false">+I29</f>
        <v>5231.25</v>
      </c>
      <c r="K29" s="141"/>
    </row>
    <row r="30" customFormat="false" ht="12.75" hidden="false" customHeight="false" outlineLevel="0" collapsed="false">
      <c r="A30" s="149" t="s">
        <v>120</v>
      </c>
      <c r="B30" s="115" t="n">
        <f aca="false">26125</f>
        <v>26125</v>
      </c>
      <c r="C30" s="115" t="s">
        <v>39</v>
      </c>
      <c r="D30" s="150" t="n">
        <v>1.945</v>
      </c>
      <c r="E30" s="117" t="n">
        <f aca="false">-8600*30</f>
        <v>-258000</v>
      </c>
      <c r="F30" s="117" t="n">
        <f aca="false">-F14</f>
        <v>-7500</v>
      </c>
      <c r="G30" s="150" t="n">
        <v>2.17</v>
      </c>
      <c r="H30" s="116"/>
      <c r="I30" s="141" t="n">
        <f aca="false">SUM(D30-G30)*F30</f>
        <v>1687.5</v>
      </c>
      <c r="J30" s="141" t="n">
        <f aca="false">+I30</f>
        <v>1687.5</v>
      </c>
      <c r="K30" s="141"/>
    </row>
    <row r="31" customFormat="false" ht="12.75" hidden="false" customHeight="false" outlineLevel="0" collapsed="false">
      <c r="A31" s="149" t="s">
        <v>121</v>
      </c>
      <c r="B31" s="115" t="n">
        <f aca="false">26125</f>
        <v>26125</v>
      </c>
      <c r="C31" s="115" t="s">
        <v>39</v>
      </c>
      <c r="D31" s="150" t="n">
        <v>1.945</v>
      </c>
      <c r="E31" s="117" t="n">
        <f aca="false">-8600*31</f>
        <v>-266600</v>
      </c>
      <c r="F31" s="117" t="n">
        <f aca="false">-F15</f>
        <v>-7750</v>
      </c>
      <c r="G31" s="150" t="n">
        <v>2.24</v>
      </c>
      <c r="H31" s="116"/>
      <c r="I31" s="141" t="n">
        <f aca="false">SUM(D31-G31)*F31</f>
        <v>2286.25</v>
      </c>
      <c r="J31" s="141" t="n">
        <f aca="false">+I31</f>
        <v>2286.25</v>
      </c>
      <c r="K31" s="141"/>
    </row>
    <row r="32" customFormat="false" ht="12.75" hidden="false" customHeight="false" outlineLevel="0" collapsed="false">
      <c r="A32" s="149" t="s">
        <v>122</v>
      </c>
      <c r="B32" s="115" t="n">
        <f aca="false">26125</f>
        <v>26125</v>
      </c>
      <c r="C32" s="115" t="s">
        <v>39</v>
      </c>
      <c r="D32" s="150" t="n">
        <v>1.945</v>
      </c>
      <c r="E32" s="117" t="n">
        <f aca="false">-8600*31</f>
        <v>-266600</v>
      </c>
      <c r="F32" s="117" t="n">
        <f aca="false">-F16</f>
        <v>-7750</v>
      </c>
      <c r="G32" s="150" t="n">
        <v>2.26</v>
      </c>
      <c r="H32" s="116"/>
      <c r="I32" s="141" t="n">
        <f aca="false">SUM(D32-G32)*F32</f>
        <v>2441.25</v>
      </c>
      <c r="J32" s="141" t="n">
        <f aca="false">+I32</f>
        <v>2441.25</v>
      </c>
      <c r="K32" s="141"/>
    </row>
    <row r="33" customFormat="false" ht="12.75" hidden="false" customHeight="false" outlineLevel="0" collapsed="false">
      <c r="A33" s="149" t="s">
        <v>123</v>
      </c>
      <c r="B33" s="115" t="n">
        <f aca="false">26125</f>
        <v>26125</v>
      </c>
      <c r="C33" s="115" t="s">
        <v>39</v>
      </c>
      <c r="D33" s="150" t="n">
        <v>1.945</v>
      </c>
      <c r="E33" s="117" t="n">
        <f aca="false">-8600*28</f>
        <v>-240800</v>
      </c>
      <c r="F33" s="117" t="n">
        <f aca="false">-F17</f>
        <v>-7250</v>
      </c>
      <c r="G33" s="116" t="n">
        <v>2.43</v>
      </c>
      <c r="H33" s="116"/>
      <c r="I33" s="141" t="n">
        <f aca="false">SUM(D33-G33)*F33</f>
        <v>3516.25</v>
      </c>
      <c r="J33" s="141" t="n">
        <f aca="false">+I33</f>
        <v>3516.25</v>
      </c>
      <c r="K33" s="141"/>
    </row>
    <row r="34" customFormat="false" ht="12.75" hidden="false" customHeight="false" outlineLevel="0" collapsed="false">
      <c r="A34" s="149" t="s">
        <v>124</v>
      </c>
      <c r="B34" s="115" t="n">
        <f aca="false">26125</f>
        <v>26125</v>
      </c>
      <c r="C34" s="115" t="s">
        <v>39</v>
      </c>
      <c r="D34" s="150" t="n">
        <v>1.945</v>
      </c>
      <c r="E34" s="117" t="n">
        <f aca="false">-8600*31</f>
        <v>-266600</v>
      </c>
      <c r="F34" s="117" t="n">
        <f aca="false">-F18</f>
        <v>-7750</v>
      </c>
      <c r="G34" s="116" t="n">
        <v>2.64</v>
      </c>
      <c r="H34" s="116"/>
      <c r="I34" s="141" t="n">
        <f aca="false">SUM(D34-G34)*F34</f>
        <v>5386.25</v>
      </c>
      <c r="J34" s="141" t="n">
        <f aca="false">+I34</f>
        <v>5386.25</v>
      </c>
      <c r="K34" s="141"/>
    </row>
    <row r="35" customFormat="false" ht="12.75" hidden="false" customHeight="false" outlineLevel="0" collapsed="false">
      <c r="A35" s="149" t="s">
        <v>125</v>
      </c>
      <c r="B35" s="115" t="n">
        <f aca="false">26125</f>
        <v>26125</v>
      </c>
      <c r="C35" s="115" t="s">
        <v>39</v>
      </c>
      <c r="D35" s="150" t="n">
        <v>1.945</v>
      </c>
      <c r="E35" s="117" t="n">
        <f aca="false">-8600*30</f>
        <v>-258000</v>
      </c>
      <c r="F35" s="117" t="n">
        <f aca="false">-F19</f>
        <v>-7500</v>
      </c>
      <c r="G35" s="116" t="n">
        <v>2.79</v>
      </c>
      <c r="H35" s="116"/>
      <c r="I35" s="141" t="n">
        <f aca="false">SUM(D35-G35)*F35</f>
        <v>6337.5</v>
      </c>
      <c r="J35" s="141" t="n">
        <f aca="false">+I35</f>
        <v>6337.5</v>
      </c>
      <c r="K35" s="141"/>
    </row>
    <row r="36" customFormat="false" ht="12.75" hidden="false" customHeight="false" outlineLevel="0" collapsed="false">
      <c r="A36" s="149" t="s">
        <v>126</v>
      </c>
      <c r="B36" s="115" t="n">
        <f aca="false">26125</f>
        <v>26125</v>
      </c>
      <c r="C36" s="115" t="s">
        <v>39</v>
      </c>
      <c r="D36" s="150" t="n">
        <v>1.945</v>
      </c>
      <c r="E36" s="117" t="n">
        <f aca="false">-8600*31</f>
        <v>-266600</v>
      </c>
      <c r="F36" s="117" t="n">
        <f aca="false">-F20</f>
        <v>-7750</v>
      </c>
      <c r="G36" s="118" t="n">
        <v>3.31</v>
      </c>
      <c r="H36" s="116"/>
      <c r="I36" s="141" t="n">
        <f aca="false">SUM(D36-G36)*F36</f>
        <v>10578.75</v>
      </c>
      <c r="J36" s="141" t="n">
        <f aca="false">+I36</f>
        <v>10578.75</v>
      </c>
      <c r="K36" s="141"/>
    </row>
    <row r="37" customFormat="false" ht="12.75" hidden="false" customHeight="false" outlineLevel="0" collapsed="false">
      <c r="A37" s="151"/>
      <c r="B37" s="114"/>
      <c r="C37" s="114"/>
      <c r="D37" s="114"/>
      <c r="E37" s="114"/>
      <c r="F37" s="121" t="n">
        <f aca="false">SUM(F25:F36)</f>
        <v>-91500</v>
      </c>
      <c r="G37" s="114"/>
      <c r="H37" s="150"/>
      <c r="I37" s="152" t="n">
        <f aca="false">SUM(I25:I36)</f>
        <v>47172.5</v>
      </c>
      <c r="J37" s="152" t="n">
        <f aca="false">SUM(J25:J36)</f>
        <v>47172.5</v>
      </c>
      <c r="K37" s="152" t="n">
        <f aca="false">SUM(K25:K36)</f>
        <v>0</v>
      </c>
      <c r="L37" s="153" t="n">
        <f aca="false">+J37+K37-I37</f>
        <v>0</v>
      </c>
    </row>
    <row r="38" customFormat="false" ht="12.75" hidden="false" customHeight="false" outlineLevel="0" collapsed="false">
      <c r="A38" s="151"/>
      <c r="B38" s="114"/>
      <c r="C38" s="114"/>
      <c r="D38" s="114"/>
      <c r="E38" s="114"/>
      <c r="F38" s="114"/>
      <c r="G38" s="114"/>
      <c r="H38" s="114"/>
      <c r="I38" s="141"/>
      <c r="J38" s="141"/>
      <c r="K38" s="141"/>
    </row>
    <row r="39" customFormat="false" ht="13.5" hidden="false" customHeight="false" outlineLevel="0" collapsed="false">
      <c r="A39" s="151"/>
      <c r="B39" s="114"/>
      <c r="C39" s="114"/>
      <c r="D39" s="114"/>
      <c r="E39" s="114"/>
      <c r="F39" s="131" t="n">
        <f aca="false">+F21+F37</f>
        <v>0</v>
      </c>
      <c r="G39" s="114"/>
      <c r="H39" s="114"/>
      <c r="I39" s="145" t="n">
        <f aca="false">+I21+I37</f>
        <v>6982.5</v>
      </c>
      <c r="J39" s="145" t="n">
        <f aca="false">+J21+J37</f>
        <v>6982.5</v>
      </c>
      <c r="K39" s="145" t="n">
        <f aca="false">+K21+K37</f>
        <v>0</v>
      </c>
      <c r="L39" s="153" t="n">
        <f aca="false">+J39+K39-I39</f>
        <v>0</v>
      </c>
    </row>
    <row r="40" customFormat="false" ht="13.5" hidden="false" customHeight="false" outlineLevel="0" collapsed="false">
      <c r="A40" s="155"/>
      <c r="B40" s="133"/>
      <c r="C40" s="133"/>
      <c r="D40" s="133"/>
      <c r="E40" s="133"/>
      <c r="F40" s="133"/>
      <c r="G40" s="133"/>
      <c r="H40" s="133"/>
      <c r="I40" s="156"/>
      <c r="J40" s="156"/>
      <c r="K40" s="156"/>
    </row>
    <row r="41" customFormat="false" ht="12.75" hidden="false" customHeight="false" outlineLevel="0" collapsed="false">
      <c r="I41" s="146"/>
    </row>
    <row r="42" customFormat="false" ht="12.75" hidden="false" customHeight="false" outlineLevel="0" collapsed="false">
      <c r="A42" s="98" t="s">
        <v>98</v>
      </c>
      <c r="J42" s="0"/>
      <c r="K42" s="0"/>
    </row>
    <row r="43" customFormat="false" ht="11.25" hidden="false" customHeight="false" outlineLevel="0" collapsed="false">
      <c r="A43" s="98"/>
      <c r="B43" s="98"/>
      <c r="C43" s="98"/>
      <c r="D43" s="98"/>
      <c r="E43" s="98"/>
      <c r="F43" s="98"/>
      <c r="G43" s="98"/>
      <c r="H43" s="98"/>
      <c r="I43" s="157"/>
      <c r="J43" s="157"/>
      <c r="K43" s="157"/>
    </row>
    <row r="44" customFormat="false" ht="12.75" hidden="false" customHeight="false" outlineLevel="0" collapsed="false">
      <c r="I44" s="146"/>
    </row>
    <row r="45" customFormat="false" ht="12.75" hidden="false" customHeight="false" outlineLevel="0" collapsed="false">
      <c r="I45" s="146"/>
    </row>
    <row r="46" customFormat="false" ht="12.75" hidden="false" customHeight="false" outlineLevel="0" collapsed="false">
      <c r="I46" s="146"/>
    </row>
    <row r="47" customFormat="false" ht="12.75" hidden="false" customHeight="false" outlineLevel="0" collapsed="false">
      <c r="I47" s="146"/>
    </row>
    <row r="48" customFormat="false" ht="12.75" hidden="false" customHeight="false" outlineLevel="0" collapsed="false">
      <c r="I48" s="146"/>
    </row>
    <row r="49" customFormat="false" ht="12.75" hidden="false" customHeight="false" outlineLevel="0" collapsed="false">
      <c r="I49" s="146"/>
    </row>
    <row r="50" customFormat="false" ht="12.75" hidden="false" customHeight="false" outlineLevel="0" collapsed="false">
      <c r="I50" s="146"/>
    </row>
    <row r="51" customFormat="false" ht="12.75" hidden="false" customHeight="false" outlineLevel="0" collapsed="false">
      <c r="I51" s="146"/>
    </row>
    <row r="52" customFormat="false" ht="12.75" hidden="false" customHeight="false" outlineLevel="0" collapsed="false">
      <c r="I52" s="146"/>
    </row>
    <row r="53" customFormat="false" ht="12.75" hidden="false" customHeight="false" outlineLevel="0" collapsed="false">
      <c r="I53" s="146"/>
    </row>
    <row r="54" customFormat="false" ht="12.75" hidden="false" customHeight="false" outlineLevel="0" collapsed="false">
      <c r="I54" s="146"/>
    </row>
    <row r="55" customFormat="false" ht="12.75" hidden="false" customHeight="false" outlineLevel="0" collapsed="false">
      <c r="I55" s="146"/>
    </row>
    <row r="56" customFormat="false" ht="12.75" hidden="false" customHeight="false" outlineLevel="0" collapsed="false">
      <c r="I56" s="146"/>
    </row>
    <row r="57" customFormat="false" ht="12.75" hidden="false" customHeight="false" outlineLevel="0" collapsed="false">
      <c r="I57" s="146"/>
    </row>
    <row r="58" customFormat="false" ht="12.75" hidden="false" customHeight="false" outlineLevel="0" collapsed="false">
      <c r="I58" s="146"/>
    </row>
    <row r="59" customFormat="false" ht="12.75" hidden="false" customHeight="false" outlineLevel="0" collapsed="false">
      <c r="I59" s="146"/>
    </row>
    <row r="60" customFormat="false" ht="12.75" hidden="false" customHeight="false" outlineLevel="0" collapsed="false">
      <c r="I60" s="146"/>
    </row>
    <row r="61" customFormat="false" ht="12.75" hidden="false" customHeight="false" outlineLevel="0" collapsed="false">
      <c r="I61" s="146"/>
    </row>
    <row r="62" customFormat="false" ht="12.75" hidden="false" customHeight="false" outlineLevel="0" collapsed="false">
      <c r="I62" s="146"/>
    </row>
    <row r="63" customFormat="false" ht="12.75" hidden="false" customHeight="false" outlineLevel="0" collapsed="false">
      <c r="I63" s="146"/>
    </row>
    <row r="64" customFormat="false" ht="12.75" hidden="false" customHeight="false" outlineLevel="0" collapsed="false">
      <c r="I64" s="146"/>
    </row>
    <row r="65" customFormat="false" ht="12.75" hidden="false" customHeight="false" outlineLevel="0" collapsed="false">
      <c r="I65" s="146"/>
    </row>
    <row r="66" customFormat="false" ht="12.75" hidden="false" customHeight="false" outlineLevel="0" collapsed="false">
      <c r="I66" s="146"/>
    </row>
    <row r="67" customFormat="false" ht="12.75" hidden="false" customHeight="false" outlineLevel="0" collapsed="false">
      <c r="I67" s="146"/>
    </row>
    <row r="68" customFormat="false" ht="12.75" hidden="false" customHeight="false" outlineLevel="0" collapsed="false">
      <c r="I68" s="146"/>
    </row>
    <row r="69" customFormat="false" ht="12.75" hidden="false" customHeight="false" outlineLevel="0" collapsed="false">
      <c r="I69" s="146"/>
    </row>
    <row r="70" customFormat="false" ht="12.75" hidden="false" customHeight="false" outlineLevel="0" collapsed="false">
      <c r="I70" s="146"/>
    </row>
    <row r="71" customFormat="false" ht="12.75" hidden="false" customHeight="false" outlineLevel="0" collapsed="false">
      <c r="I71" s="146"/>
    </row>
    <row r="72" customFormat="false" ht="12.75" hidden="false" customHeight="false" outlineLevel="0" collapsed="false">
      <c r="I72" s="146"/>
    </row>
    <row r="73" customFormat="false" ht="12.75" hidden="false" customHeight="false" outlineLevel="0" collapsed="false">
      <c r="I73" s="146"/>
    </row>
    <row r="74" customFormat="false" ht="12.75" hidden="false" customHeight="false" outlineLevel="0" collapsed="false">
      <c r="I74" s="146"/>
    </row>
    <row r="75" customFormat="false" ht="12.75" hidden="false" customHeight="false" outlineLevel="0" collapsed="false">
      <c r="I75" s="146"/>
    </row>
    <row r="76" customFormat="false" ht="12.75" hidden="false" customHeight="false" outlineLevel="0" collapsed="false">
      <c r="I76" s="146"/>
    </row>
    <row r="77" customFormat="false" ht="12.75" hidden="false" customHeight="false" outlineLevel="0" collapsed="false">
      <c r="I77" s="146"/>
    </row>
    <row r="78" customFormat="false" ht="12.75" hidden="false" customHeight="false" outlineLevel="0" collapsed="false">
      <c r="I78" s="146"/>
    </row>
    <row r="79" customFormat="false" ht="12.75" hidden="false" customHeight="false" outlineLevel="0" collapsed="false">
      <c r="I79" s="146"/>
    </row>
    <row r="80" customFormat="false" ht="12.75" hidden="false" customHeight="false" outlineLevel="0" collapsed="false">
      <c r="I80" s="146"/>
    </row>
    <row r="81" customFormat="false" ht="12.75" hidden="false" customHeight="false" outlineLevel="0" collapsed="false">
      <c r="I81" s="146"/>
    </row>
    <row r="82" customFormat="false" ht="12.75" hidden="false" customHeight="false" outlineLevel="0" collapsed="false">
      <c r="I82" s="146"/>
    </row>
    <row r="83" customFormat="false" ht="12.75" hidden="false" customHeight="false" outlineLevel="0" collapsed="false">
      <c r="I83" s="146"/>
    </row>
    <row r="84" customFormat="false" ht="12.75" hidden="false" customHeight="false" outlineLevel="0" collapsed="false">
      <c r="I84" s="146"/>
    </row>
    <row r="85" customFormat="false" ht="12.75" hidden="false" customHeight="false" outlineLevel="0" collapsed="false">
      <c r="I85" s="146"/>
    </row>
    <row r="86" customFormat="false" ht="12.75" hidden="false" customHeight="false" outlineLevel="0" collapsed="false">
      <c r="I86" s="146"/>
    </row>
    <row r="87" customFormat="false" ht="12.75" hidden="false" customHeight="false" outlineLevel="0" collapsed="false">
      <c r="I87" s="146"/>
    </row>
    <row r="88" customFormat="false" ht="12.75" hidden="false" customHeight="false" outlineLevel="0" collapsed="false">
      <c r="I88" s="146"/>
    </row>
    <row r="89" customFormat="false" ht="12.75" hidden="false" customHeight="false" outlineLevel="0" collapsed="false">
      <c r="I89" s="146"/>
    </row>
    <row r="90" customFormat="false" ht="12.75" hidden="false" customHeight="false" outlineLevel="0" collapsed="false">
      <c r="I90" s="146"/>
    </row>
    <row r="91" customFormat="false" ht="12.75" hidden="false" customHeight="false" outlineLevel="0" collapsed="false">
      <c r="I91" s="146"/>
    </row>
    <row r="92" customFormat="false" ht="12.75" hidden="false" customHeight="false" outlineLevel="0" collapsed="false">
      <c r="I92" s="146"/>
    </row>
    <row r="93" customFormat="false" ht="12.75" hidden="false" customHeight="false" outlineLevel="0" collapsed="false">
      <c r="I93" s="146"/>
    </row>
    <row r="94" customFormat="false" ht="12.75" hidden="false" customHeight="false" outlineLevel="0" collapsed="false">
      <c r="I94" s="146"/>
    </row>
    <row r="95" customFormat="false" ht="12.75" hidden="false" customHeight="false" outlineLevel="0" collapsed="false">
      <c r="I95" s="146"/>
    </row>
    <row r="96" customFormat="false" ht="12.75" hidden="false" customHeight="false" outlineLevel="0" collapsed="false">
      <c r="I96" s="146"/>
    </row>
    <row r="97" customFormat="false" ht="12.75" hidden="false" customHeight="false" outlineLevel="0" collapsed="false">
      <c r="I97" s="146"/>
    </row>
    <row r="98" customFormat="false" ht="12.75" hidden="false" customHeight="false" outlineLevel="0" collapsed="false">
      <c r="I98" s="146"/>
    </row>
    <row r="99" customFormat="false" ht="12.75" hidden="false" customHeight="false" outlineLevel="0" collapsed="false">
      <c r="I99" s="146"/>
    </row>
    <row r="100" customFormat="false" ht="12.75" hidden="false" customHeight="false" outlineLevel="0" collapsed="false">
      <c r="I100" s="146"/>
    </row>
    <row r="101" customFormat="false" ht="12.75" hidden="false" customHeight="false" outlineLevel="0" collapsed="false">
      <c r="I101" s="146"/>
    </row>
    <row r="102" customFormat="false" ht="12.75" hidden="false" customHeight="false" outlineLevel="0" collapsed="false">
      <c r="I102" s="146"/>
    </row>
    <row r="103" customFormat="false" ht="12.75" hidden="false" customHeight="false" outlineLevel="0" collapsed="false">
      <c r="I103" s="146"/>
    </row>
    <row r="104" customFormat="false" ht="12.75" hidden="false" customHeight="false" outlineLevel="0" collapsed="false">
      <c r="I104" s="146"/>
    </row>
    <row r="105" customFormat="false" ht="12.75" hidden="false" customHeight="false" outlineLevel="0" collapsed="false">
      <c r="I105" s="146"/>
    </row>
    <row r="106" customFormat="false" ht="12.75" hidden="false" customHeight="false" outlineLevel="0" collapsed="false">
      <c r="I106" s="146"/>
    </row>
    <row r="107" customFormat="false" ht="12.75" hidden="false" customHeight="false" outlineLevel="0" collapsed="false">
      <c r="I107" s="146"/>
    </row>
    <row r="108" customFormat="false" ht="12.75" hidden="false" customHeight="false" outlineLevel="0" collapsed="false">
      <c r="I108" s="146"/>
    </row>
    <row r="109" customFormat="false" ht="12.75" hidden="false" customHeight="false" outlineLevel="0" collapsed="false">
      <c r="I109" s="146"/>
    </row>
    <row r="110" customFormat="false" ht="12.75" hidden="false" customHeight="false" outlineLevel="0" collapsed="false">
      <c r="I110" s="146"/>
    </row>
    <row r="111" customFormat="false" ht="12.75" hidden="false" customHeight="false" outlineLevel="0" collapsed="false">
      <c r="I111" s="146"/>
    </row>
    <row r="112" customFormat="false" ht="12.75" hidden="false" customHeight="false" outlineLevel="0" collapsed="false">
      <c r="I112" s="146"/>
    </row>
    <row r="113" customFormat="false" ht="12.75" hidden="false" customHeight="false" outlineLevel="0" collapsed="false">
      <c r="I113" s="146"/>
    </row>
    <row r="114" customFormat="false" ht="12.75" hidden="false" customHeight="false" outlineLevel="0" collapsed="false">
      <c r="I114" s="146"/>
    </row>
    <row r="115" customFormat="false" ht="12.75" hidden="false" customHeight="false" outlineLevel="0" collapsed="false">
      <c r="I115" s="146"/>
    </row>
    <row r="116" customFormat="false" ht="12.75" hidden="false" customHeight="false" outlineLevel="0" collapsed="false">
      <c r="I116" s="146"/>
    </row>
    <row r="117" customFormat="false" ht="12.75" hidden="false" customHeight="false" outlineLevel="0" collapsed="false">
      <c r="I117" s="146"/>
    </row>
    <row r="118" customFormat="false" ht="12.75" hidden="false" customHeight="false" outlineLevel="0" collapsed="false">
      <c r="I118" s="146"/>
    </row>
    <row r="119" customFormat="false" ht="12.75" hidden="false" customHeight="false" outlineLevel="0" collapsed="false">
      <c r="I119" s="146"/>
    </row>
    <row r="120" customFormat="false" ht="12.75" hidden="false" customHeight="false" outlineLevel="0" collapsed="false">
      <c r="I120" s="146"/>
    </row>
    <row r="121" customFormat="false" ht="12.75" hidden="false" customHeight="false" outlineLevel="0" collapsed="false">
      <c r="I121" s="146"/>
    </row>
    <row r="122" customFormat="false" ht="12.75" hidden="false" customHeight="false" outlineLevel="0" collapsed="false">
      <c r="I122" s="146"/>
    </row>
    <row r="123" customFormat="false" ht="12.75" hidden="false" customHeight="false" outlineLevel="0" collapsed="false">
      <c r="I123" s="146"/>
    </row>
    <row r="124" customFormat="false" ht="12.75" hidden="false" customHeight="false" outlineLevel="0" collapsed="false">
      <c r="I124" s="146"/>
    </row>
    <row r="125" customFormat="false" ht="12.75" hidden="false" customHeight="false" outlineLevel="0" collapsed="false">
      <c r="I125" s="146"/>
    </row>
    <row r="126" customFormat="false" ht="12.75" hidden="false" customHeight="false" outlineLevel="0" collapsed="false">
      <c r="I126" s="146"/>
    </row>
    <row r="127" customFormat="false" ht="12.75" hidden="false" customHeight="false" outlineLevel="0" collapsed="false">
      <c r="I127" s="146"/>
    </row>
    <row r="128" customFormat="false" ht="12.75" hidden="false" customHeight="false" outlineLevel="0" collapsed="false">
      <c r="I128" s="146"/>
    </row>
    <row r="129" customFormat="false" ht="12.75" hidden="false" customHeight="false" outlineLevel="0" collapsed="false">
      <c r="I129" s="146"/>
    </row>
    <row r="130" customFormat="false" ht="12.75" hidden="false" customHeight="false" outlineLevel="0" collapsed="false">
      <c r="I130" s="146"/>
    </row>
    <row r="131" customFormat="false" ht="12.75" hidden="false" customHeight="false" outlineLevel="0" collapsed="false">
      <c r="I131" s="146"/>
    </row>
    <row r="132" customFormat="false" ht="12.75" hidden="false" customHeight="false" outlineLevel="0" collapsed="false">
      <c r="I132" s="146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99" t="s">
        <v>99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136" t="s">
        <v>127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24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128</v>
      </c>
      <c r="H8" s="110" t="s">
        <v>128</v>
      </c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36465</v>
      </c>
      <c r="B9" s="114" t="n">
        <v>105706</v>
      </c>
      <c r="C9" s="115" t="s">
        <v>56</v>
      </c>
      <c r="D9" s="116"/>
      <c r="E9" s="114"/>
      <c r="F9" s="117" t="n">
        <v>40000</v>
      </c>
      <c r="G9" s="116" t="n">
        <v>3.04</v>
      </c>
      <c r="H9" s="116"/>
      <c r="I9" s="118" t="n">
        <f aca="false">+G9*F9</f>
        <v>121600</v>
      </c>
      <c r="J9" s="119" t="n">
        <f aca="false">+I9</f>
        <v>121600</v>
      </c>
      <c r="K9" s="119"/>
    </row>
    <row r="10" customFormat="false" ht="12.75" hidden="false" customHeight="false" outlineLevel="0" collapsed="false">
      <c r="A10" s="113" t="n">
        <v>36495</v>
      </c>
      <c r="B10" s="114" t="n">
        <v>105706</v>
      </c>
      <c r="C10" s="115" t="s">
        <v>56</v>
      </c>
      <c r="D10" s="116"/>
      <c r="E10" s="114"/>
      <c r="F10" s="117" t="n">
        <v>40000</v>
      </c>
      <c r="G10" s="116" t="n">
        <v>2.11</v>
      </c>
      <c r="H10" s="116"/>
      <c r="I10" s="118" t="n">
        <f aca="false">+G10*F10</f>
        <v>84400</v>
      </c>
      <c r="J10" s="119" t="n">
        <f aca="false">+I10</f>
        <v>84400</v>
      </c>
      <c r="K10" s="119"/>
    </row>
    <row r="11" customFormat="false" ht="12.75" hidden="false" customHeight="false" outlineLevel="0" collapsed="false">
      <c r="A11" s="113" t="n">
        <v>36526</v>
      </c>
      <c r="B11" s="114" t="n">
        <v>105706</v>
      </c>
      <c r="C11" s="115" t="s">
        <v>56</v>
      </c>
      <c r="D11" s="116"/>
      <c r="E11" s="114"/>
      <c r="F11" s="117" t="n">
        <v>40000</v>
      </c>
      <c r="G11" s="116" t="n">
        <v>2.33</v>
      </c>
      <c r="H11" s="116"/>
      <c r="I11" s="118" t="n">
        <f aca="false">+G11*F11</f>
        <v>93200</v>
      </c>
      <c r="J11" s="119" t="n">
        <f aca="false">+I11</f>
        <v>93200</v>
      </c>
      <c r="K11" s="119"/>
    </row>
    <row r="12" customFormat="false" ht="12.75" hidden="false" customHeight="false" outlineLevel="0" collapsed="false">
      <c r="A12" s="113" t="n">
        <v>36557</v>
      </c>
      <c r="B12" s="114" t="n">
        <v>105706</v>
      </c>
      <c r="C12" s="115" t="s">
        <v>56</v>
      </c>
      <c r="D12" s="116"/>
      <c r="E12" s="114"/>
      <c r="F12" s="117" t="n">
        <v>40000</v>
      </c>
      <c r="G12" s="116" t="n">
        <v>2.58</v>
      </c>
      <c r="H12" s="116"/>
      <c r="I12" s="118" t="n">
        <f aca="false">+G12*F12</f>
        <v>103200</v>
      </c>
      <c r="J12" s="119" t="n">
        <f aca="false">+I12</f>
        <v>103200</v>
      </c>
      <c r="K12" s="119"/>
    </row>
    <row r="13" customFormat="false" ht="12.75" hidden="false" customHeight="false" outlineLevel="0" collapsed="false">
      <c r="A13" s="113" t="n">
        <v>36586</v>
      </c>
      <c r="B13" s="114" t="n">
        <v>105706</v>
      </c>
      <c r="C13" s="115" t="s">
        <v>56</v>
      </c>
      <c r="D13" s="116"/>
      <c r="E13" s="114"/>
      <c r="F13" s="117" t="n">
        <v>40000</v>
      </c>
      <c r="G13" s="116" t="n">
        <v>2.55</v>
      </c>
      <c r="H13" s="116"/>
      <c r="I13" s="118" t="n">
        <f aca="false">+G13*F13</f>
        <v>102000</v>
      </c>
      <c r="J13" s="119" t="n">
        <f aca="false">+I13</f>
        <v>102000</v>
      </c>
      <c r="K13" s="119"/>
    </row>
    <row r="14" customFormat="false" ht="12.75" hidden="false" customHeight="false" outlineLevel="0" collapsed="false">
      <c r="A14" s="113" t="n">
        <v>36617</v>
      </c>
      <c r="B14" s="114" t="n">
        <v>105706</v>
      </c>
      <c r="C14" s="115" t="s">
        <v>56</v>
      </c>
      <c r="D14" s="116"/>
      <c r="E14" s="114"/>
      <c r="F14" s="138" t="n">
        <v>30000</v>
      </c>
      <c r="G14" s="116" t="n">
        <v>2.8</v>
      </c>
      <c r="H14" s="116"/>
      <c r="I14" s="139" t="n">
        <f aca="false">+G14*F14</f>
        <v>84000</v>
      </c>
      <c r="J14" s="158" t="n">
        <f aca="false">+I14</f>
        <v>84000</v>
      </c>
      <c r="K14" s="140"/>
    </row>
    <row r="15" customFormat="false" ht="12.75" hidden="false" customHeight="false" outlineLevel="0" collapsed="false">
      <c r="A15" s="113"/>
      <c r="B15" s="114"/>
      <c r="C15" s="115"/>
      <c r="D15" s="116"/>
      <c r="E15" s="114"/>
      <c r="F15" s="117" t="n">
        <f aca="false">SUM(F9:F14)</f>
        <v>230000</v>
      </c>
      <c r="G15" s="114"/>
      <c r="H15" s="116"/>
      <c r="I15" s="118" t="n">
        <f aca="false">SUM(I9:I14)</f>
        <v>588400</v>
      </c>
      <c r="J15" s="118" t="n">
        <f aca="false">SUM(J9:J14)</f>
        <v>588400</v>
      </c>
      <c r="K15" s="118" t="n">
        <f aca="false">SUM(K9:K14)</f>
        <v>0</v>
      </c>
    </row>
    <row r="16" customFormat="false" ht="12.75" hidden="false" customHeight="false" outlineLevel="0" collapsed="false">
      <c r="A16" s="113"/>
      <c r="B16" s="114"/>
      <c r="C16" s="115"/>
      <c r="D16" s="116"/>
      <c r="E16" s="114"/>
      <c r="G16" s="114"/>
      <c r="H16" s="116"/>
      <c r="I16" s="118"/>
      <c r="J16" s="118"/>
      <c r="K16" s="118"/>
    </row>
    <row r="17" customFormat="false" ht="12.75" hidden="false" customHeight="false" outlineLevel="0" collapsed="false">
      <c r="A17" s="113"/>
      <c r="B17" s="114"/>
      <c r="C17" s="115"/>
      <c r="D17" s="116"/>
      <c r="E17" s="114"/>
      <c r="G17" s="114"/>
      <c r="H17" s="116"/>
      <c r="I17" s="118"/>
      <c r="J17" s="141"/>
      <c r="K17" s="141"/>
    </row>
    <row r="18" customFormat="false" ht="12.75" hidden="false" customHeight="false" outlineLevel="0" collapsed="false">
      <c r="A18" s="113"/>
      <c r="B18" s="114"/>
      <c r="C18" s="115"/>
      <c r="D18" s="116"/>
      <c r="E18" s="114"/>
      <c r="F18" s="117"/>
      <c r="G18" s="114"/>
      <c r="H18" s="159" t="s">
        <v>129</v>
      </c>
      <c r="I18" s="118"/>
      <c r="J18" s="120"/>
      <c r="K18" s="141"/>
    </row>
    <row r="19" customFormat="false" ht="12.75" hidden="false" customHeight="false" outlineLevel="0" collapsed="false">
      <c r="A19" s="113"/>
      <c r="B19" s="114"/>
      <c r="C19" s="115"/>
      <c r="D19" s="116"/>
      <c r="E19" s="114"/>
      <c r="F19" s="117"/>
      <c r="G19" s="114"/>
      <c r="H19" s="116"/>
      <c r="I19" s="118"/>
      <c r="J19" s="120"/>
      <c r="K19" s="141"/>
    </row>
    <row r="20" customFormat="false" ht="12.75" hidden="false" customHeight="false" outlineLevel="0" collapsed="false">
      <c r="A20" s="113" t="n">
        <v>36465</v>
      </c>
      <c r="B20" s="114" t="n">
        <v>105706</v>
      </c>
      <c r="C20" s="115" t="s">
        <v>56</v>
      </c>
      <c r="D20" s="116"/>
      <c r="E20" s="114"/>
      <c r="F20" s="117" t="n">
        <v>-40000</v>
      </c>
      <c r="G20" s="116" t="n">
        <v>3.131</v>
      </c>
      <c r="H20" s="116"/>
      <c r="I20" s="118" t="n">
        <f aca="false">+G20*F20</f>
        <v>-125240</v>
      </c>
      <c r="J20" s="119" t="n">
        <f aca="false">+I20</f>
        <v>-125240</v>
      </c>
      <c r="K20" s="119"/>
    </row>
    <row r="21" customFormat="false" ht="12.75" hidden="false" customHeight="false" outlineLevel="0" collapsed="false">
      <c r="A21" s="113" t="n">
        <v>36495</v>
      </c>
      <c r="B21" s="114" t="n">
        <v>105706</v>
      </c>
      <c r="C21" s="115" t="s">
        <v>56</v>
      </c>
      <c r="D21" s="116"/>
      <c r="E21" s="114"/>
      <c r="F21" s="117" t="n">
        <v>-40000</v>
      </c>
      <c r="G21" s="116" t="n">
        <v>2.2</v>
      </c>
      <c r="H21" s="116"/>
      <c r="I21" s="118" t="n">
        <f aca="false">+G21*F21</f>
        <v>-88000</v>
      </c>
      <c r="J21" s="119" t="n">
        <f aca="false">+I21</f>
        <v>-88000</v>
      </c>
      <c r="K21" s="119"/>
    </row>
    <row r="22" customFormat="false" ht="12.75" hidden="false" customHeight="false" outlineLevel="0" collapsed="false">
      <c r="A22" s="113" t="n">
        <v>36526</v>
      </c>
      <c r="B22" s="114" t="n">
        <v>105706</v>
      </c>
      <c r="C22" s="115" t="s">
        <v>56</v>
      </c>
      <c r="D22" s="116"/>
      <c r="E22" s="114"/>
      <c r="F22" s="117" t="n">
        <v>-40000</v>
      </c>
      <c r="G22" s="116" t="n">
        <v>2.44</v>
      </c>
      <c r="H22" s="116"/>
      <c r="I22" s="118" t="n">
        <f aca="false">+G22*F22</f>
        <v>-97600</v>
      </c>
      <c r="J22" s="119" t="n">
        <f aca="false">+I22</f>
        <v>-97600</v>
      </c>
      <c r="K22" s="119"/>
    </row>
    <row r="23" customFormat="false" ht="12.75" hidden="false" customHeight="false" outlineLevel="0" collapsed="false">
      <c r="A23" s="113" t="n">
        <v>36557</v>
      </c>
      <c r="B23" s="114" t="n">
        <v>105706</v>
      </c>
      <c r="C23" s="115" t="s">
        <v>56</v>
      </c>
      <c r="D23" s="116"/>
      <c r="E23" s="114"/>
      <c r="F23" s="117" t="n">
        <v>-40000</v>
      </c>
      <c r="G23" s="116" t="n">
        <v>2.68</v>
      </c>
      <c r="H23" s="116"/>
      <c r="I23" s="118" t="n">
        <f aca="false">+G23*F23</f>
        <v>-107200</v>
      </c>
      <c r="J23" s="119" t="n">
        <f aca="false">+I23</f>
        <v>-107200</v>
      </c>
      <c r="K23" s="119"/>
    </row>
    <row r="24" customFormat="false" ht="12.75" hidden="false" customHeight="false" outlineLevel="0" collapsed="false">
      <c r="A24" s="113" t="n">
        <v>36586</v>
      </c>
      <c r="B24" s="114" t="n">
        <v>105706</v>
      </c>
      <c r="C24" s="115" t="s">
        <v>56</v>
      </c>
      <c r="D24" s="116"/>
      <c r="E24" s="114"/>
      <c r="F24" s="117" t="n">
        <v>-40000</v>
      </c>
      <c r="G24" s="116" t="n">
        <v>2.53</v>
      </c>
      <c r="H24" s="116"/>
      <c r="I24" s="118" t="n">
        <f aca="false">+G24*F24</f>
        <v>-101200</v>
      </c>
      <c r="J24" s="119" t="n">
        <f aca="false">+I24</f>
        <v>-101200</v>
      </c>
      <c r="K24" s="119"/>
    </row>
    <row r="25" customFormat="false" ht="12.75" hidden="false" customHeight="false" outlineLevel="0" collapsed="false">
      <c r="A25" s="113" t="n">
        <v>36617</v>
      </c>
      <c r="B25" s="114" t="n">
        <v>105706</v>
      </c>
      <c r="C25" s="115" t="s">
        <v>56</v>
      </c>
      <c r="D25" s="116"/>
      <c r="E25" s="114"/>
      <c r="F25" s="138" t="n">
        <v>-30000</v>
      </c>
      <c r="G25" s="116" t="n">
        <v>2.93</v>
      </c>
      <c r="H25" s="116"/>
      <c r="I25" s="139" t="n">
        <f aca="false">+G25*F25</f>
        <v>-87900</v>
      </c>
      <c r="J25" s="158" t="n">
        <f aca="false">+I25</f>
        <v>-87900</v>
      </c>
      <c r="K25" s="140"/>
    </row>
    <row r="26" customFormat="false" ht="12.75" hidden="false" customHeight="false" outlineLevel="0" collapsed="false">
      <c r="A26" s="113"/>
      <c r="B26" s="114"/>
      <c r="C26" s="115"/>
      <c r="D26" s="116"/>
      <c r="E26" s="114"/>
      <c r="F26" s="117" t="n">
        <f aca="false">SUM(F20:F25)</f>
        <v>-230000</v>
      </c>
      <c r="G26" s="114"/>
      <c r="H26" s="116"/>
      <c r="I26" s="160" t="n">
        <f aca="false">SUM(I20:I25)</f>
        <v>-607140</v>
      </c>
      <c r="J26" s="160" t="n">
        <f aca="false">SUM(J20:J25)</f>
        <v>-607140</v>
      </c>
      <c r="K26" s="160" t="n">
        <f aca="false">SUM(K20:K25)</f>
        <v>0</v>
      </c>
      <c r="L26" s="151"/>
    </row>
    <row r="27" customFormat="false" ht="12.75" hidden="false" customHeight="false" outlineLevel="0" collapsed="false">
      <c r="A27" s="113"/>
      <c r="B27" s="114"/>
      <c r="C27" s="115"/>
      <c r="D27" s="116"/>
      <c r="E27" s="114"/>
      <c r="F27" s="117"/>
      <c r="G27" s="114"/>
      <c r="H27" s="116"/>
      <c r="I27" s="118"/>
      <c r="J27" s="120"/>
      <c r="K27" s="141"/>
    </row>
    <row r="28" customFormat="false" ht="13.5" hidden="false" customHeight="false" outlineLevel="0" collapsed="false">
      <c r="A28" s="113"/>
      <c r="B28" s="114"/>
      <c r="C28" s="115"/>
      <c r="D28" s="116"/>
      <c r="E28" s="114"/>
      <c r="F28" s="142" t="n">
        <f aca="false">+F26+F15</f>
        <v>0</v>
      </c>
      <c r="G28" s="114"/>
      <c r="H28" s="116"/>
      <c r="I28" s="143" t="n">
        <f aca="false">+I26+I15</f>
        <v>-18740</v>
      </c>
      <c r="J28" s="143" t="n">
        <f aca="false">+J26+J15</f>
        <v>-18740</v>
      </c>
      <c r="K28" s="143" t="n">
        <f aca="false">+K26+K15</f>
        <v>0</v>
      </c>
    </row>
    <row r="29" customFormat="false" ht="13.5" hidden="false" customHeight="false" outlineLevel="0" collapsed="false">
      <c r="A29" s="133"/>
      <c r="B29" s="133"/>
      <c r="C29" s="133"/>
      <c r="D29" s="133"/>
      <c r="E29" s="133"/>
      <c r="F29" s="133"/>
      <c r="G29" s="133"/>
      <c r="H29" s="133"/>
      <c r="I29" s="133"/>
      <c r="J29" s="134"/>
      <c r="K29" s="134"/>
    </row>
    <row r="31" customFormat="false" ht="12.75" hidden="false" customHeight="false" outlineLevel="0" collapsed="false">
      <c r="A31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146" width="12.14"/>
    <col collapsed="false" customWidth="true" hidden="false" outlineLevel="0" max="11" min="11" style="146" width="13.7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130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99" t="s">
        <v>131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customFormat="false" ht="15.75" hidden="false" customHeight="false" outlineLevel="0" collapsed="false">
      <c r="A5" s="100"/>
      <c r="B5" s="100"/>
      <c r="C5" s="100"/>
      <c r="D5" s="100"/>
      <c r="E5" s="100"/>
      <c r="F5" s="100"/>
      <c r="G5" s="100"/>
      <c r="H5" s="100"/>
      <c r="I5" s="100"/>
      <c r="J5" s="147"/>
      <c r="K5" s="147"/>
    </row>
    <row r="7" customFormat="false" ht="12.75" hidden="false" customHeight="false" outlineLevel="0" collapsed="false">
      <c r="A7" s="102" t="s">
        <v>89</v>
      </c>
      <c r="B7" s="103" t="s">
        <v>7</v>
      </c>
      <c r="C7" s="103" t="s">
        <v>7</v>
      </c>
      <c r="D7" s="103" t="s">
        <v>90</v>
      </c>
      <c r="E7" s="103"/>
      <c r="F7" s="103" t="s">
        <v>14</v>
      </c>
      <c r="G7" s="103" t="s">
        <v>91</v>
      </c>
      <c r="H7" s="103" t="s">
        <v>28</v>
      </c>
      <c r="I7" s="104" t="s">
        <v>92</v>
      </c>
      <c r="J7" s="104"/>
      <c r="K7" s="104"/>
    </row>
    <row r="8" customFormat="false" ht="12.75" hidden="false" customHeight="false" outlineLevel="0" collapsed="false">
      <c r="A8" s="105" t="s">
        <v>21</v>
      </c>
      <c r="B8" s="106" t="s">
        <v>17</v>
      </c>
      <c r="C8" s="106" t="s">
        <v>16</v>
      </c>
      <c r="D8" s="106" t="s">
        <v>22</v>
      </c>
      <c r="E8" s="106"/>
      <c r="F8" s="106" t="s">
        <v>93</v>
      </c>
      <c r="G8" s="106" t="s">
        <v>22</v>
      </c>
      <c r="H8" s="106" t="s">
        <v>22</v>
      </c>
      <c r="I8" s="106" t="s">
        <v>30</v>
      </c>
      <c r="J8" s="106" t="s">
        <v>31</v>
      </c>
      <c r="K8" s="107" t="s">
        <v>32</v>
      </c>
    </row>
    <row r="9" customFormat="false" ht="12.75" hidden="false" customHeight="false" outlineLevel="0" collapsed="false">
      <c r="A9" s="108"/>
      <c r="B9" s="109"/>
      <c r="C9" s="109"/>
      <c r="D9" s="109"/>
      <c r="E9" s="109"/>
      <c r="F9" s="109"/>
      <c r="G9" s="148" t="s">
        <v>114</v>
      </c>
      <c r="H9" s="111"/>
      <c r="I9" s="111" t="s">
        <v>95</v>
      </c>
      <c r="J9" s="111" t="s">
        <v>95</v>
      </c>
      <c r="K9" s="112" t="s">
        <v>95</v>
      </c>
    </row>
    <row r="10" customFormat="false" ht="12.75" hidden="false" customHeight="false" outlineLevel="0" collapsed="false">
      <c r="A10" s="161" t="n">
        <v>35947</v>
      </c>
      <c r="B10" s="114"/>
      <c r="C10" s="115" t="s">
        <v>37</v>
      </c>
      <c r="D10" s="118" t="n">
        <f aca="false">2.22</f>
        <v>2.22</v>
      </c>
      <c r="E10" s="118"/>
      <c r="F10" s="117" t="n">
        <f aca="false">250*30</f>
        <v>7500</v>
      </c>
      <c r="G10" s="118" t="n">
        <f aca="false">1.82</f>
        <v>1.82</v>
      </c>
      <c r="H10" s="118"/>
      <c r="I10" s="141" t="n">
        <f aca="false">SUM(D10-G10)*F10</f>
        <v>3000</v>
      </c>
      <c r="J10" s="141" t="n">
        <f aca="false">+I10</f>
        <v>3000</v>
      </c>
      <c r="K10" s="141"/>
    </row>
    <row r="11" customFormat="false" ht="12.75" hidden="false" customHeight="false" outlineLevel="0" collapsed="false">
      <c r="A11" s="161" t="n">
        <v>35977</v>
      </c>
      <c r="B11" s="114"/>
      <c r="C11" s="115" t="s">
        <v>37</v>
      </c>
      <c r="D11" s="118" t="n">
        <f aca="false">2.22</f>
        <v>2.22</v>
      </c>
      <c r="E11" s="118"/>
      <c r="F11" s="117" t="n">
        <f aca="false">250*31</f>
        <v>7750</v>
      </c>
      <c r="G11" s="118" t="n">
        <f aca="false">1.86</f>
        <v>1.86</v>
      </c>
      <c r="H11" s="118"/>
      <c r="I11" s="141" t="n">
        <f aca="false">SUM(D11-G11)*F11</f>
        <v>2790</v>
      </c>
      <c r="J11" s="141" t="n">
        <f aca="false">+I11</f>
        <v>2790</v>
      </c>
      <c r="K11" s="141"/>
    </row>
    <row r="12" customFormat="false" ht="12.75" hidden="false" customHeight="false" outlineLevel="0" collapsed="false">
      <c r="A12" s="161" t="n">
        <v>36008</v>
      </c>
      <c r="B12" s="114"/>
      <c r="C12" s="115" t="s">
        <v>37</v>
      </c>
      <c r="D12" s="118" t="n">
        <f aca="false">2.22</f>
        <v>2.22</v>
      </c>
      <c r="E12" s="118"/>
      <c r="F12" s="117" t="n">
        <f aca="false">250*31</f>
        <v>7750</v>
      </c>
      <c r="G12" s="118" t="n">
        <f aca="false">1.81</f>
        <v>1.81</v>
      </c>
      <c r="H12" s="118"/>
      <c r="I12" s="141" t="n">
        <f aca="false">SUM(D12-G12)*F12</f>
        <v>3177.5</v>
      </c>
      <c r="J12" s="141" t="n">
        <f aca="false">+I12</f>
        <v>3177.5</v>
      </c>
      <c r="K12" s="141"/>
    </row>
    <row r="13" customFormat="false" ht="12.75" hidden="false" customHeight="false" outlineLevel="0" collapsed="false">
      <c r="A13" s="161" t="n">
        <v>36039</v>
      </c>
      <c r="B13" s="114"/>
      <c r="C13" s="115" t="s">
        <v>37</v>
      </c>
      <c r="D13" s="118" t="n">
        <f aca="false">2.22</f>
        <v>2.22</v>
      </c>
      <c r="E13" s="118"/>
      <c r="F13" s="117" t="n">
        <f aca="false">250*30</f>
        <v>7500</v>
      </c>
      <c r="G13" s="118" t="n">
        <f aca="false">1.55</f>
        <v>1.55</v>
      </c>
      <c r="H13" s="118"/>
      <c r="I13" s="141" t="n">
        <f aca="false">SUM(D13-G13)*F13</f>
        <v>5025</v>
      </c>
      <c r="J13" s="141" t="n">
        <f aca="false">+I13</f>
        <v>5025</v>
      </c>
      <c r="K13" s="141"/>
    </row>
    <row r="14" customFormat="false" ht="12.75" hidden="false" customHeight="false" outlineLevel="0" collapsed="false">
      <c r="A14" s="161" t="n">
        <v>36069</v>
      </c>
      <c r="B14" s="114"/>
      <c r="C14" s="115" t="s">
        <v>37</v>
      </c>
      <c r="D14" s="118" t="n">
        <f aca="false">2.22</f>
        <v>2.22</v>
      </c>
      <c r="E14" s="118"/>
      <c r="F14" s="117" t="n">
        <f aca="false">250*31</f>
        <v>7750</v>
      </c>
      <c r="G14" s="118" t="n">
        <f aca="false">1.67</f>
        <v>1.67</v>
      </c>
      <c r="H14" s="118"/>
      <c r="I14" s="141" t="n">
        <f aca="false">SUM(D14-G14)*F14</f>
        <v>4262.5</v>
      </c>
      <c r="J14" s="141" t="n">
        <f aca="false">+I14</f>
        <v>4262.5</v>
      </c>
      <c r="K14" s="141"/>
    </row>
    <row r="15" customFormat="false" ht="12.75" hidden="false" customHeight="false" outlineLevel="0" collapsed="false">
      <c r="A15" s="161" t="n">
        <v>36100</v>
      </c>
      <c r="B15" s="114"/>
      <c r="C15" s="115" t="s">
        <v>37</v>
      </c>
      <c r="D15" s="118" t="n">
        <f aca="false">2.22</f>
        <v>2.22</v>
      </c>
      <c r="E15" s="118"/>
      <c r="F15" s="117" t="n">
        <f aca="false">250*30</f>
        <v>7500</v>
      </c>
      <c r="G15" s="118" t="n">
        <v>1.88</v>
      </c>
      <c r="H15" s="118"/>
      <c r="I15" s="141" t="n">
        <f aca="false">SUM(D15-G15)*F15</f>
        <v>2550</v>
      </c>
      <c r="J15" s="141" t="n">
        <f aca="false">+I15</f>
        <v>2550</v>
      </c>
      <c r="K15" s="141"/>
    </row>
    <row r="16" customFormat="false" ht="12.75" hidden="false" customHeight="false" outlineLevel="0" collapsed="false">
      <c r="A16" s="161" t="n">
        <v>36130</v>
      </c>
      <c r="B16" s="114"/>
      <c r="C16" s="115" t="s">
        <v>37</v>
      </c>
      <c r="D16" s="118" t="n">
        <f aca="false">2.22</f>
        <v>2.22</v>
      </c>
      <c r="E16" s="118"/>
      <c r="F16" s="117" t="n">
        <f aca="false">250*31</f>
        <v>7750</v>
      </c>
      <c r="G16" s="118" t="n">
        <v>1.96</v>
      </c>
      <c r="H16" s="118"/>
      <c r="I16" s="141" t="n">
        <f aca="false">SUM(D16-G16)*F16</f>
        <v>2015</v>
      </c>
      <c r="J16" s="141" t="n">
        <f aca="false">+I16</f>
        <v>2015</v>
      </c>
      <c r="K16" s="141"/>
    </row>
    <row r="17" customFormat="false" ht="12.75" hidden="false" customHeight="false" outlineLevel="0" collapsed="false">
      <c r="A17" s="161" t="n">
        <v>36161</v>
      </c>
      <c r="B17" s="114"/>
      <c r="C17" s="115" t="s">
        <v>37</v>
      </c>
      <c r="D17" s="118" t="n">
        <f aca="false">2.22</f>
        <v>2.22</v>
      </c>
      <c r="E17" s="118"/>
      <c r="F17" s="117" t="n">
        <f aca="false">250*31</f>
        <v>7750</v>
      </c>
      <c r="G17" s="118" t="n">
        <v>1.72</v>
      </c>
      <c r="H17" s="118"/>
      <c r="I17" s="141" t="n">
        <f aca="false">SUM(D17-G17)*F17</f>
        <v>3875</v>
      </c>
      <c r="J17" s="141" t="n">
        <f aca="false">+I17</f>
        <v>3875</v>
      </c>
      <c r="K17" s="141"/>
    </row>
    <row r="18" customFormat="false" ht="12.75" hidden="false" customHeight="false" outlineLevel="0" collapsed="false">
      <c r="A18" s="161" t="n">
        <v>36192</v>
      </c>
      <c r="B18" s="114"/>
      <c r="C18" s="115" t="s">
        <v>37</v>
      </c>
      <c r="D18" s="118" t="n">
        <f aca="false">2.22</f>
        <v>2.22</v>
      </c>
      <c r="E18" s="118"/>
      <c r="F18" s="117" t="n">
        <f aca="false">250*28</f>
        <v>7000</v>
      </c>
      <c r="G18" s="118" t="n">
        <v>1.63</v>
      </c>
      <c r="H18" s="118"/>
      <c r="I18" s="141" t="n">
        <f aca="false">SUM(D18-G18)*F18</f>
        <v>4130</v>
      </c>
      <c r="J18" s="141" t="n">
        <f aca="false">+I18</f>
        <v>4130</v>
      </c>
      <c r="K18" s="141"/>
    </row>
    <row r="19" customFormat="false" ht="12.75" hidden="false" customHeight="false" outlineLevel="0" collapsed="false">
      <c r="A19" s="161" t="n">
        <v>36220</v>
      </c>
      <c r="B19" s="114"/>
      <c r="C19" s="115" t="s">
        <v>37</v>
      </c>
      <c r="D19" s="118" t="n">
        <f aca="false">2.22</f>
        <v>2.22</v>
      </c>
      <c r="E19" s="118"/>
      <c r="F19" s="117" t="n">
        <f aca="false">250*31</f>
        <v>7750</v>
      </c>
      <c r="G19" s="118" t="n">
        <v>1.51</v>
      </c>
      <c r="H19" s="118"/>
      <c r="I19" s="141" t="n">
        <f aca="false">SUM(D19-G19)*F19</f>
        <v>5502.5</v>
      </c>
      <c r="J19" s="141" t="n">
        <f aca="false">+I19</f>
        <v>5502.5</v>
      </c>
      <c r="K19" s="141"/>
    </row>
    <row r="20" customFormat="false" ht="12.75" hidden="false" customHeight="false" outlineLevel="0" collapsed="false">
      <c r="A20" s="161" t="n">
        <v>36251</v>
      </c>
      <c r="B20" s="114"/>
      <c r="C20" s="115" t="s">
        <v>37</v>
      </c>
      <c r="D20" s="118" t="n">
        <f aca="false">2.22</f>
        <v>2.22</v>
      </c>
      <c r="E20" s="118"/>
      <c r="F20" s="117" t="n">
        <f aca="false">250*30</f>
        <v>7500</v>
      </c>
      <c r="G20" s="118" t="n">
        <v>1.59</v>
      </c>
      <c r="H20" s="118"/>
      <c r="I20" s="141" t="n">
        <f aca="false">SUM(D20-G20)*F20</f>
        <v>4725</v>
      </c>
      <c r="J20" s="141" t="n">
        <f aca="false">+I20</f>
        <v>4725</v>
      </c>
      <c r="K20" s="141"/>
    </row>
    <row r="21" customFormat="false" ht="12.75" hidden="false" customHeight="false" outlineLevel="0" collapsed="false">
      <c r="A21" s="161" t="n">
        <v>36281</v>
      </c>
      <c r="B21" s="114"/>
      <c r="C21" s="115" t="s">
        <v>37</v>
      </c>
      <c r="D21" s="118" t="n">
        <f aca="false">2.22</f>
        <v>2.22</v>
      </c>
      <c r="E21" s="118"/>
      <c r="F21" s="117" t="n">
        <f aca="false">250*31</f>
        <v>7750</v>
      </c>
      <c r="G21" s="118" t="n">
        <v>2.03</v>
      </c>
      <c r="H21" s="118"/>
      <c r="I21" s="141" t="n">
        <f aca="false">SUM(D21-G21)*F21</f>
        <v>1472.5</v>
      </c>
      <c r="J21" s="141" t="n">
        <f aca="false">+I21</f>
        <v>1472.5</v>
      </c>
      <c r="K21" s="141"/>
    </row>
    <row r="22" customFormat="false" ht="12.75" hidden="false" customHeight="false" outlineLevel="0" collapsed="false">
      <c r="A22" s="151"/>
      <c r="B22" s="114"/>
      <c r="C22" s="114"/>
      <c r="D22" s="114"/>
      <c r="E22" s="114"/>
      <c r="F22" s="121" t="n">
        <f aca="false">SUM(F10:F21)</f>
        <v>91250</v>
      </c>
      <c r="G22" s="114"/>
      <c r="H22" s="114"/>
      <c r="I22" s="152" t="n">
        <f aca="false">SUM(I10:I21)</f>
        <v>42525</v>
      </c>
      <c r="J22" s="152" t="n">
        <f aca="false">SUM(J10:J21)</f>
        <v>42525</v>
      </c>
      <c r="K22" s="152" t="n">
        <f aca="false">SUM(K10:K21)</f>
        <v>0</v>
      </c>
      <c r="L22" s="153" t="n">
        <f aca="false">+J22+K22-I22</f>
        <v>0</v>
      </c>
    </row>
    <row r="23" customFormat="false" ht="12.75" hidden="false" customHeight="false" outlineLevel="0" collapsed="false">
      <c r="A23" s="151"/>
      <c r="B23" s="114"/>
      <c r="C23" s="114"/>
      <c r="D23" s="114"/>
      <c r="E23" s="114"/>
      <c r="F23" s="123"/>
      <c r="G23" s="114"/>
      <c r="H23" s="114"/>
      <c r="I23" s="125"/>
      <c r="J23" s="125"/>
      <c r="K23" s="125"/>
      <c r="L23" s="153"/>
    </row>
    <row r="24" customFormat="false" ht="12.75" hidden="false" customHeight="false" outlineLevel="0" collapsed="false">
      <c r="A24" s="151"/>
      <c r="B24" s="114"/>
      <c r="C24" s="114"/>
      <c r="D24" s="114"/>
      <c r="E24" s="114"/>
      <c r="F24" s="114"/>
      <c r="G24" s="126" t="s">
        <v>96</v>
      </c>
      <c r="H24" s="114"/>
      <c r="I24" s="141"/>
      <c r="J24" s="141"/>
      <c r="K24" s="141"/>
    </row>
    <row r="25" customFormat="false" ht="12.75" hidden="false" customHeight="false" outlineLevel="0" collapsed="false">
      <c r="A25" s="151"/>
      <c r="B25" s="114"/>
      <c r="C25" s="114"/>
      <c r="D25" s="114"/>
      <c r="E25" s="114"/>
      <c r="F25" s="114"/>
      <c r="G25" s="154"/>
      <c r="H25" s="114"/>
      <c r="I25" s="141"/>
      <c r="J25" s="141"/>
      <c r="K25" s="141"/>
    </row>
    <row r="26" customFormat="false" ht="12.75" hidden="false" customHeight="false" outlineLevel="0" collapsed="false">
      <c r="A26" s="161" t="n">
        <v>35947</v>
      </c>
      <c r="B26" s="115" t="n">
        <f aca="false">26125</f>
        <v>26125</v>
      </c>
      <c r="C26" s="115" t="s">
        <v>39</v>
      </c>
      <c r="D26" s="118" t="n">
        <f aca="false">2.22</f>
        <v>2.22</v>
      </c>
      <c r="E26" s="117" t="n">
        <f aca="false">-8600*30</f>
        <v>-258000</v>
      </c>
      <c r="F26" s="117" t="n">
        <v>-7500</v>
      </c>
      <c r="G26" s="118" t="n">
        <f aca="false">1.84</f>
        <v>1.84</v>
      </c>
      <c r="H26" s="118"/>
      <c r="K26" s="141"/>
    </row>
    <row r="27" customFormat="false" ht="12.75" hidden="false" customHeight="false" outlineLevel="0" collapsed="false">
      <c r="A27" s="161" t="n">
        <v>35977</v>
      </c>
      <c r="B27" s="115" t="n">
        <f aca="false">26125</f>
        <v>26125</v>
      </c>
      <c r="C27" s="115" t="s">
        <v>39</v>
      </c>
      <c r="D27" s="118" t="n">
        <f aca="false">2.22</f>
        <v>2.22</v>
      </c>
      <c r="E27" s="117" t="n">
        <f aca="false">-8600*31</f>
        <v>-266600</v>
      </c>
      <c r="F27" s="117" t="n">
        <v>-7750</v>
      </c>
      <c r="G27" s="118" t="n">
        <f aca="false">2.02</f>
        <v>2.02</v>
      </c>
      <c r="H27" s="118"/>
      <c r="I27" s="141" t="n">
        <f aca="false">SUM(D27-G27)*F27</f>
        <v>-1550</v>
      </c>
      <c r="J27" s="141" t="n">
        <f aca="false">+I27</f>
        <v>-1550</v>
      </c>
      <c r="K27" s="141"/>
    </row>
    <row r="28" customFormat="false" ht="12.75" hidden="false" customHeight="false" outlineLevel="0" collapsed="false">
      <c r="A28" s="161" t="n">
        <v>36008</v>
      </c>
      <c r="B28" s="115" t="n">
        <f aca="false">26125</f>
        <v>26125</v>
      </c>
      <c r="C28" s="115" t="s">
        <v>39</v>
      </c>
      <c r="D28" s="118" t="n">
        <f aca="false">2.22</f>
        <v>2.22</v>
      </c>
      <c r="E28" s="117" t="n">
        <f aca="false">-8600*31</f>
        <v>-266600</v>
      </c>
      <c r="F28" s="117" t="n">
        <v>-7750</v>
      </c>
      <c r="G28" s="118" t="n">
        <f aca="false">1.75</f>
        <v>1.75</v>
      </c>
      <c r="H28" s="118"/>
      <c r="I28" s="141" t="n">
        <f aca="false">SUM(D28-G28)*F28</f>
        <v>-3642.5</v>
      </c>
      <c r="J28" s="141" t="n">
        <f aca="false">+I28</f>
        <v>-3642.5</v>
      </c>
      <c r="K28" s="141"/>
    </row>
    <row r="29" customFormat="false" ht="12.75" hidden="false" customHeight="false" outlineLevel="0" collapsed="false">
      <c r="A29" s="161" t="n">
        <v>36039</v>
      </c>
      <c r="B29" s="115" t="n">
        <f aca="false">26125</f>
        <v>26125</v>
      </c>
      <c r="C29" s="115" t="s">
        <v>39</v>
      </c>
      <c r="D29" s="118" t="n">
        <f aca="false">2.22</f>
        <v>2.22</v>
      </c>
      <c r="E29" s="117" t="n">
        <f aca="false">-8600*30</f>
        <v>-258000</v>
      </c>
      <c r="F29" s="117" t="n">
        <v>-7500</v>
      </c>
      <c r="G29" s="118" t="n">
        <f aca="false">1.76</f>
        <v>1.76</v>
      </c>
      <c r="H29" s="118"/>
      <c r="I29" s="141" t="n">
        <f aca="false">SUM(D29-G29)*F29</f>
        <v>-3450</v>
      </c>
      <c r="J29" s="141" t="n">
        <f aca="false">+I29</f>
        <v>-3450</v>
      </c>
      <c r="K29" s="141"/>
    </row>
    <row r="30" customFormat="false" ht="12.75" hidden="false" customHeight="false" outlineLevel="0" collapsed="false">
      <c r="A30" s="161" t="n">
        <v>36069</v>
      </c>
      <c r="B30" s="115" t="n">
        <f aca="false">26125</f>
        <v>26125</v>
      </c>
      <c r="C30" s="115" t="s">
        <v>39</v>
      </c>
      <c r="D30" s="118" t="n">
        <f aca="false">2.22</f>
        <v>2.22</v>
      </c>
      <c r="E30" s="117" t="n">
        <f aca="false">-8600*31</f>
        <v>-266600</v>
      </c>
      <c r="F30" s="117" t="n">
        <v>-7750</v>
      </c>
      <c r="G30" s="118" t="n">
        <v>1.78</v>
      </c>
      <c r="H30" s="118"/>
      <c r="I30" s="141" t="n">
        <f aca="false">SUM(D30-G30)*F30</f>
        <v>-3410</v>
      </c>
      <c r="J30" s="141" t="n">
        <f aca="false">+I30</f>
        <v>-3410</v>
      </c>
      <c r="K30" s="141"/>
    </row>
    <row r="31" customFormat="false" ht="12.75" hidden="false" customHeight="false" outlineLevel="0" collapsed="false">
      <c r="A31" s="161" t="n">
        <v>36100</v>
      </c>
      <c r="B31" s="115" t="n">
        <f aca="false">26125</f>
        <v>26125</v>
      </c>
      <c r="C31" s="115" t="s">
        <v>39</v>
      </c>
      <c r="D31" s="118" t="n">
        <f aca="false">2.22</f>
        <v>2.22</v>
      </c>
      <c r="E31" s="117" t="n">
        <f aca="false">-8600*30</f>
        <v>-258000</v>
      </c>
      <c r="F31" s="117" t="n">
        <v>-7500</v>
      </c>
      <c r="G31" s="118" t="n">
        <v>1.99</v>
      </c>
      <c r="H31" s="118"/>
      <c r="I31" s="141" t="n">
        <f aca="false">SUM(D31-G31)*F31</f>
        <v>-1725</v>
      </c>
      <c r="J31" s="141" t="n">
        <f aca="false">+I31</f>
        <v>-1725</v>
      </c>
      <c r="K31" s="141"/>
    </row>
    <row r="32" customFormat="false" ht="12.75" hidden="false" customHeight="false" outlineLevel="0" collapsed="false">
      <c r="A32" s="161" t="n">
        <v>36130</v>
      </c>
      <c r="B32" s="115" t="n">
        <f aca="false">26125</f>
        <v>26125</v>
      </c>
      <c r="C32" s="115" t="s">
        <v>39</v>
      </c>
      <c r="D32" s="118" t="n">
        <f aca="false">2.22</f>
        <v>2.22</v>
      </c>
      <c r="E32" s="117" t="n">
        <f aca="false">-8600*31</f>
        <v>-266600</v>
      </c>
      <c r="F32" s="117" t="n">
        <v>-7750</v>
      </c>
      <c r="G32" s="118" t="n">
        <v>1.74</v>
      </c>
      <c r="H32" s="118"/>
      <c r="I32" s="141" t="n">
        <f aca="false">SUM(D32-G32)*F32</f>
        <v>-3720</v>
      </c>
      <c r="J32" s="141" t="n">
        <f aca="false">+I32</f>
        <v>-3720</v>
      </c>
      <c r="K32" s="141"/>
    </row>
    <row r="33" customFormat="false" ht="12.75" hidden="false" customHeight="false" outlineLevel="0" collapsed="false">
      <c r="A33" s="161" t="n">
        <v>36161</v>
      </c>
      <c r="B33" s="115" t="n">
        <f aca="false">26125</f>
        <v>26125</v>
      </c>
      <c r="C33" s="115" t="s">
        <v>39</v>
      </c>
      <c r="D33" s="118" t="n">
        <f aca="false">2.22</f>
        <v>2.22</v>
      </c>
      <c r="E33" s="117" t="n">
        <f aca="false">-8600*31</f>
        <v>-266600</v>
      </c>
      <c r="F33" s="117" t="n">
        <v>-7750</v>
      </c>
      <c r="G33" s="118" t="n">
        <v>1.73</v>
      </c>
      <c r="H33" s="118"/>
      <c r="I33" s="141" t="n">
        <f aca="false">SUM(D33-G33)*F33</f>
        <v>-3797.5</v>
      </c>
      <c r="J33" s="141" t="n">
        <f aca="false">+I33</f>
        <v>-3797.5</v>
      </c>
      <c r="K33" s="141"/>
    </row>
    <row r="34" customFormat="false" ht="12.75" hidden="false" customHeight="false" outlineLevel="0" collapsed="false">
      <c r="A34" s="161" t="n">
        <v>36192</v>
      </c>
      <c r="B34" s="115" t="n">
        <f aca="false">26125</f>
        <v>26125</v>
      </c>
      <c r="C34" s="115" t="s">
        <v>39</v>
      </c>
      <c r="D34" s="118" t="n">
        <f aca="false">2.22</f>
        <v>2.22</v>
      </c>
      <c r="E34" s="117" t="n">
        <f aca="false">-8600*28</f>
        <v>-240800</v>
      </c>
      <c r="F34" s="117" t="n">
        <v>-7000</v>
      </c>
      <c r="G34" s="118" t="n">
        <v>1.63</v>
      </c>
      <c r="H34" s="118"/>
      <c r="I34" s="141" t="n">
        <f aca="false">SUM(D34-G34)*F34</f>
        <v>-4130</v>
      </c>
      <c r="J34" s="141" t="n">
        <f aca="false">+I34</f>
        <v>-4130</v>
      </c>
      <c r="K34" s="141"/>
    </row>
    <row r="35" customFormat="false" ht="12.75" hidden="false" customHeight="false" outlineLevel="0" collapsed="false">
      <c r="A35" s="161" t="n">
        <v>36220</v>
      </c>
      <c r="B35" s="115" t="n">
        <f aca="false">26125</f>
        <v>26125</v>
      </c>
      <c r="C35" s="115" t="s">
        <v>39</v>
      </c>
      <c r="D35" s="118" t="n">
        <f aca="false">2.22</f>
        <v>2.22</v>
      </c>
      <c r="E35" s="117" t="n">
        <f aca="false">-8600*31</f>
        <v>-266600</v>
      </c>
      <c r="F35" s="117" t="n">
        <v>-7750</v>
      </c>
      <c r="G35" s="118" t="n">
        <v>1.59</v>
      </c>
      <c r="H35" s="118"/>
      <c r="I35" s="141" t="n">
        <f aca="false">SUM(D35-G35)*F35</f>
        <v>-4882.5</v>
      </c>
      <c r="J35" s="141" t="n">
        <f aca="false">+I35</f>
        <v>-4882.5</v>
      </c>
      <c r="K35" s="141"/>
    </row>
    <row r="36" customFormat="false" ht="12.75" hidden="false" customHeight="false" outlineLevel="0" collapsed="false">
      <c r="A36" s="161" t="n">
        <v>36251</v>
      </c>
      <c r="B36" s="115" t="n">
        <f aca="false">26125</f>
        <v>26125</v>
      </c>
      <c r="C36" s="115" t="s">
        <v>39</v>
      </c>
      <c r="D36" s="118" t="n">
        <f aca="false">2.22</f>
        <v>2.22</v>
      </c>
      <c r="E36" s="117" t="n">
        <f aca="false">-8600*30</f>
        <v>-258000</v>
      </c>
      <c r="F36" s="117" t="n">
        <v>-7500</v>
      </c>
      <c r="G36" s="162" t="n">
        <v>1.94</v>
      </c>
      <c r="H36" s="162"/>
      <c r="I36" s="141" t="n">
        <f aca="false">SUM(D36-G36)*F36</f>
        <v>-2100</v>
      </c>
      <c r="J36" s="141" t="n">
        <f aca="false">+I36</f>
        <v>-2100</v>
      </c>
      <c r="K36" s="141"/>
    </row>
    <row r="37" customFormat="false" ht="12.75" hidden="false" customHeight="false" outlineLevel="0" collapsed="false">
      <c r="A37" s="161" t="n">
        <v>36281</v>
      </c>
      <c r="B37" s="115" t="n">
        <f aca="false">26125</f>
        <v>26125</v>
      </c>
      <c r="C37" s="115" t="s">
        <v>39</v>
      </c>
      <c r="D37" s="118" t="n">
        <f aca="false">2.22</f>
        <v>2.22</v>
      </c>
      <c r="E37" s="117" t="n">
        <f aca="false">-8600*31</f>
        <v>-266600</v>
      </c>
      <c r="F37" s="117" t="n">
        <v>-7750</v>
      </c>
      <c r="G37" s="118" t="n">
        <v>2.06</v>
      </c>
      <c r="H37" s="118"/>
      <c r="I37" s="141" t="n">
        <f aca="false">SUM(D37-G37)*F37</f>
        <v>-1240</v>
      </c>
      <c r="J37" s="141" t="n">
        <f aca="false">+I37</f>
        <v>-1240</v>
      </c>
      <c r="K37" s="141"/>
    </row>
    <row r="38" customFormat="false" ht="12.75" hidden="false" customHeight="false" outlineLevel="0" collapsed="false">
      <c r="A38" s="151"/>
      <c r="B38" s="114"/>
      <c r="C38" s="114"/>
      <c r="D38" s="114"/>
      <c r="E38" s="114"/>
      <c r="F38" s="121" t="n">
        <f aca="false">SUM(F26:F37)</f>
        <v>-91250</v>
      </c>
      <c r="G38" s="114"/>
      <c r="H38" s="114"/>
      <c r="I38" s="152" t="n">
        <f aca="false">SUM(I27:I37)</f>
        <v>-33647.5</v>
      </c>
      <c r="J38" s="152" t="n">
        <f aca="false">SUM(J27:J37)</f>
        <v>-33647.5</v>
      </c>
      <c r="K38" s="152" t="n">
        <f aca="false">SUM(K27:K37)</f>
        <v>0</v>
      </c>
      <c r="L38" s="153" t="n">
        <f aca="false">+J38+K38-I38</f>
        <v>0</v>
      </c>
    </row>
    <row r="39" customFormat="false" ht="12.75" hidden="false" customHeight="false" outlineLevel="0" collapsed="false">
      <c r="A39" s="151"/>
      <c r="B39" s="114"/>
      <c r="C39" s="114"/>
      <c r="D39" s="114"/>
      <c r="E39" s="114"/>
      <c r="F39" s="114"/>
      <c r="G39" s="114"/>
      <c r="H39" s="114"/>
      <c r="I39" s="141"/>
      <c r="J39" s="141"/>
      <c r="K39" s="141"/>
    </row>
    <row r="40" customFormat="false" ht="13.5" hidden="false" customHeight="false" outlineLevel="0" collapsed="false">
      <c r="A40" s="151"/>
      <c r="B40" s="114"/>
      <c r="C40" s="114"/>
      <c r="D40" s="114"/>
      <c r="E40" s="114"/>
      <c r="F40" s="131" t="n">
        <f aca="false">+F22+F38</f>
        <v>0</v>
      </c>
      <c r="G40" s="114"/>
      <c r="H40" s="114"/>
      <c r="I40" s="145" t="n">
        <f aca="false">+I22+I38</f>
        <v>8877.5</v>
      </c>
      <c r="J40" s="145" t="n">
        <f aca="false">+J22+J38</f>
        <v>8877.5</v>
      </c>
      <c r="K40" s="145" t="n">
        <f aca="false">+K22+K38</f>
        <v>0</v>
      </c>
      <c r="L40" s="153" t="n">
        <f aca="false">+J40+K40-I40</f>
        <v>0</v>
      </c>
    </row>
    <row r="41" customFormat="false" ht="13.5" hidden="false" customHeight="false" outlineLevel="0" collapsed="false">
      <c r="A41" s="155"/>
      <c r="B41" s="133"/>
      <c r="C41" s="133"/>
      <c r="D41" s="133"/>
      <c r="E41" s="133"/>
      <c r="F41" s="133"/>
      <c r="G41" s="133"/>
      <c r="H41" s="133"/>
      <c r="I41" s="156"/>
      <c r="J41" s="156"/>
      <c r="K41" s="156"/>
    </row>
    <row r="42" customFormat="false" ht="12.75" hidden="false" customHeight="false" outlineLevel="0" collapsed="false">
      <c r="I42" s="146"/>
    </row>
    <row r="43" customFormat="false" ht="12.75" hidden="false" customHeight="false" outlineLevel="0" collapsed="false">
      <c r="A43" s="98" t="s">
        <v>98</v>
      </c>
      <c r="J43" s="0"/>
      <c r="K43" s="0"/>
    </row>
    <row r="44" customFormat="false" ht="11.25" hidden="false" customHeight="false" outlineLevel="0" collapsed="false">
      <c r="A44" s="98"/>
      <c r="B44" s="98"/>
      <c r="C44" s="98"/>
      <c r="D44" s="98"/>
      <c r="E44" s="98"/>
      <c r="F44" s="98"/>
      <c r="G44" s="98"/>
      <c r="H44" s="98"/>
      <c r="I44" s="157"/>
      <c r="J44" s="157"/>
      <c r="K44" s="157"/>
    </row>
    <row r="45" customFormat="false" ht="12.75" hidden="false" customHeight="false" outlineLevel="0" collapsed="false">
      <c r="I45" s="146"/>
    </row>
    <row r="46" customFormat="false" ht="12.75" hidden="false" customHeight="false" outlineLevel="0" collapsed="false">
      <c r="I46" s="146"/>
    </row>
    <row r="47" customFormat="false" ht="12.75" hidden="false" customHeight="false" outlineLevel="0" collapsed="false">
      <c r="I47" s="146"/>
    </row>
    <row r="48" customFormat="false" ht="12.75" hidden="false" customHeight="false" outlineLevel="0" collapsed="false">
      <c r="I48" s="146"/>
    </row>
    <row r="49" customFormat="false" ht="12.75" hidden="false" customHeight="false" outlineLevel="0" collapsed="false">
      <c r="I49" s="146"/>
    </row>
    <row r="50" customFormat="false" ht="12.75" hidden="false" customHeight="false" outlineLevel="0" collapsed="false">
      <c r="I50" s="146"/>
    </row>
    <row r="51" customFormat="false" ht="12.75" hidden="false" customHeight="false" outlineLevel="0" collapsed="false">
      <c r="I51" s="146"/>
    </row>
    <row r="52" customFormat="false" ht="12.75" hidden="false" customHeight="false" outlineLevel="0" collapsed="false">
      <c r="I52" s="146"/>
    </row>
    <row r="53" customFormat="false" ht="12.75" hidden="false" customHeight="false" outlineLevel="0" collapsed="false">
      <c r="I53" s="146"/>
    </row>
    <row r="54" customFormat="false" ht="12.75" hidden="false" customHeight="false" outlineLevel="0" collapsed="false">
      <c r="I54" s="146"/>
    </row>
    <row r="55" customFormat="false" ht="12.75" hidden="false" customHeight="false" outlineLevel="0" collapsed="false">
      <c r="I55" s="146"/>
    </row>
    <row r="56" customFormat="false" ht="12.75" hidden="false" customHeight="false" outlineLevel="0" collapsed="false">
      <c r="I56" s="146"/>
    </row>
    <row r="57" customFormat="false" ht="12.75" hidden="false" customHeight="false" outlineLevel="0" collapsed="false">
      <c r="I57" s="146"/>
    </row>
    <row r="58" customFormat="false" ht="12.75" hidden="false" customHeight="false" outlineLevel="0" collapsed="false">
      <c r="I58" s="146"/>
    </row>
    <row r="59" customFormat="false" ht="12.75" hidden="false" customHeight="false" outlineLevel="0" collapsed="false">
      <c r="I59" s="146"/>
    </row>
    <row r="60" customFormat="false" ht="12.75" hidden="false" customHeight="false" outlineLevel="0" collapsed="false">
      <c r="I60" s="146"/>
    </row>
    <row r="61" customFormat="false" ht="12.75" hidden="false" customHeight="false" outlineLevel="0" collapsed="false">
      <c r="I61" s="146"/>
    </row>
    <row r="62" customFormat="false" ht="12.75" hidden="false" customHeight="false" outlineLevel="0" collapsed="false">
      <c r="I62" s="146"/>
    </row>
    <row r="63" customFormat="false" ht="12.75" hidden="false" customHeight="false" outlineLevel="0" collapsed="false">
      <c r="I63" s="146"/>
    </row>
    <row r="64" customFormat="false" ht="12.75" hidden="false" customHeight="false" outlineLevel="0" collapsed="false">
      <c r="I64" s="146"/>
    </row>
    <row r="65" customFormat="false" ht="12.75" hidden="false" customHeight="false" outlineLevel="0" collapsed="false">
      <c r="I65" s="146"/>
    </row>
    <row r="66" customFormat="false" ht="12.75" hidden="false" customHeight="false" outlineLevel="0" collapsed="false">
      <c r="I66" s="146"/>
    </row>
    <row r="67" customFormat="false" ht="12.75" hidden="false" customHeight="false" outlineLevel="0" collapsed="false">
      <c r="I67" s="146"/>
    </row>
    <row r="68" customFormat="false" ht="12.75" hidden="false" customHeight="false" outlineLevel="0" collapsed="false">
      <c r="I68" s="146"/>
    </row>
    <row r="69" customFormat="false" ht="12.75" hidden="false" customHeight="false" outlineLevel="0" collapsed="false">
      <c r="I69" s="146"/>
    </row>
    <row r="70" customFormat="false" ht="12.75" hidden="false" customHeight="false" outlineLevel="0" collapsed="false">
      <c r="I70" s="146"/>
    </row>
    <row r="71" customFormat="false" ht="12.75" hidden="false" customHeight="false" outlineLevel="0" collapsed="false">
      <c r="I71" s="146"/>
    </row>
    <row r="72" customFormat="false" ht="12.75" hidden="false" customHeight="false" outlineLevel="0" collapsed="false">
      <c r="I72" s="146"/>
    </row>
    <row r="73" customFormat="false" ht="12.75" hidden="false" customHeight="false" outlineLevel="0" collapsed="false">
      <c r="I73" s="146"/>
    </row>
    <row r="74" customFormat="false" ht="12.75" hidden="false" customHeight="false" outlineLevel="0" collapsed="false">
      <c r="I74" s="146"/>
    </row>
    <row r="75" customFormat="false" ht="12.75" hidden="false" customHeight="false" outlineLevel="0" collapsed="false">
      <c r="I75" s="146"/>
    </row>
    <row r="76" customFormat="false" ht="12.75" hidden="false" customHeight="false" outlineLevel="0" collapsed="false">
      <c r="I76" s="146"/>
    </row>
    <row r="77" customFormat="false" ht="12.75" hidden="false" customHeight="false" outlineLevel="0" collapsed="false">
      <c r="I77" s="146"/>
    </row>
    <row r="78" customFormat="false" ht="12.75" hidden="false" customHeight="false" outlineLevel="0" collapsed="false">
      <c r="I78" s="146"/>
    </row>
    <row r="79" customFormat="false" ht="12.75" hidden="false" customHeight="false" outlineLevel="0" collapsed="false">
      <c r="I79" s="146"/>
    </row>
    <row r="80" customFormat="false" ht="12.75" hidden="false" customHeight="false" outlineLevel="0" collapsed="false">
      <c r="I80" s="146"/>
    </row>
    <row r="81" customFormat="false" ht="12.75" hidden="false" customHeight="false" outlineLevel="0" collapsed="false">
      <c r="I81" s="146"/>
    </row>
    <row r="82" customFormat="false" ht="12.75" hidden="false" customHeight="false" outlineLevel="0" collapsed="false">
      <c r="I82" s="146"/>
    </row>
    <row r="83" customFormat="false" ht="12.75" hidden="false" customHeight="false" outlineLevel="0" collapsed="false">
      <c r="I83" s="146"/>
    </row>
    <row r="84" customFormat="false" ht="12.75" hidden="false" customHeight="false" outlineLevel="0" collapsed="false">
      <c r="I84" s="146"/>
    </row>
    <row r="85" customFormat="false" ht="12.75" hidden="false" customHeight="false" outlineLevel="0" collapsed="false">
      <c r="I85" s="146"/>
    </row>
    <row r="86" customFormat="false" ht="12.75" hidden="false" customHeight="false" outlineLevel="0" collapsed="false">
      <c r="I86" s="146"/>
    </row>
    <row r="87" customFormat="false" ht="12.75" hidden="false" customHeight="false" outlineLevel="0" collapsed="false">
      <c r="I87" s="146"/>
    </row>
    <row r="88" customFormat="false" ht="12.75" hidden="false" customHeight="false" outlineLevel="0" collapsed="false">
      <c r="I88" s="146"/>
    </row>
    <row r="89" customFormat="false" ht="12.75" hidden="false" customHeight="false" outlineLevel="0" collapsed="false">
      <c r="I89" s="146"/>
    </row>
    <row r="90" customFormat="false" ht="12.75" hidden="false" customHeight="false" outlineLevel="0" collapsed="false">
      <c r="I90" s="146"/>
    </row>
    <row r="91" customFormat="false" ht="12.75" hidden="false" customHeight="false" outlineLevel="0" collapsed="false">
      <c r="I91" s="146"/>
    </row>
    <row r="92" customFormat="false" ht="12.75" hidden="false" customHeight="false" outlineLevel="0" collapsed="false">
      <c r="I92" s="146"/>
    </row>
    <row r="93" customFormat="false" ht="12.75" hidden="false" customHeight="false" outlineLevel="0" collapsed="false">
      <c r="I93" s="146"/>
    </row>
    <row r="94" customFormat="false" ht="12.75" hidden="false" customHeight="false" outlineLevel="0" collapsed="false">
      <c r="I94" s="146"/>
    </row>
    <row r="95" customFormat="false" ht="12.75" hidden="false" customHeight="false" outlineLevel="0" collapsed="false">
      <c r="I95" s="146"/>
    </row>
    <row r="96" customFormat="false" ht="12.75" hidden="false" customHeight="false" outlineLevel="0" collapsed="false">
      <c r="I96" s="146"/>
    </row>
    <row r="97" customFormat="false" ht="12.75" hidden="false" customHeight="false" outlineLevel="0" collapsed="false">
      <c r="I97" s="146"/>
    </row>
    <row r="98" customFormat="false" ht="12.75" hidden="false" customHeight="false" outlineLevel="0" collapsed="false">
      <c r="I98" s="146"/>
    </row>
    <row r="99" customFormat="false" ht="12.75" hidden="false" customHeight="false" outlineLevel="0" collapsed="false">
      <c r="I99" s="146"/>
    </row>
    <row r="100" customFormat="false" ht="12.75" hidden="false" customHeight="false" outlineLevel="0" collapsed="false">
      <c r="I100" s="146"/>
    </row>
    <row r="101" customFormat="false" ht="12.75" hidden="false" customHeight="false" outlineLevel="0" collapsed="false">
      <c r="I101" s="146"/>
    </row>
    <row r="102" customFormat="false" ht="12.75" hidden="false" customHeight="false" outlineLevel="0" collapsed="false">
      <c r="I102" s="146"/>
    </row>
    <row r="103" customFormat="false" ht="12.75" hidden="false" customHeight="false" outlineLevel="0" collapsed="false">
      <c r="I103" s="146"/>
    </row>
    <row r="104" customFormat="false" ht="12.75" hidden="false" customHeight="false" outlineLevel="0" collapsed="false">
      <c r="I104" s="146"/>
    </row>
    <row r="105" customFormat="false" ht="12.75" hidden="false" customHeight="false" outlineLevel="0" collapsed="false">
      <c r="I105" s="146"/>
    </row>
    <row r="106" customFormat="false" ht="12.75" hidden="false" customHeight="false" outlineLevel="0" collapsed="false">
      <c r="I106" s="146"/>
    </row>
    <row r="107" customFormat="false" ht="12.75" hidden="false" customHeight="false" outlineLevel="0" collapsed="false">
      <c r="I107" s="146"/>
    </row>
    <row r="108" customFormat="false" ht="12.75" hidden="false" customHeight="false" outlineLevel="0" collapsed="false">
      <c r="I108" s="146"/>
    </row>
    <row r="109" customFormat="false" ht="12.75" hidden="false" customHeight="false" outlineLevel="0" collapsed="false">
      <c r="I109" s="146"/>
    </row>
    <row r="110" customFormat="false" ht="12.75" hidden="false" customHeight="false" outlineLevel="0" collapsed="false">
      <c r="I110" s="146"/>
    </row>
    <row r="111" customFormat="false" ht="12.75" hidden="false" customHeight="false" outlineLevel="0" collapsed="false">
      <c r="I111" s="146"/>
    </row>
    <row r="112" customFormat="false" ht="12.75" hidden="false" customHeight="false" outlineLevel="0" collapsed="false">
      <c r="I112" s="146"/>
    </row>
    <row r="113" customFormat="false" ht="12.75" hidden="false" customHeight="false" outlineLevel="0" collapsed="false">
      <c r="I113" s="146"/>
    </row>
    <row r="114" customFormat="false" ht="12.75" hidden="false" customHeight="false" outlineLevel="0" collapsed="false">
      <c r="I114" s="146"/>
    </row>
    <row r="115" customFormat="false" ht="12.75" hidden="false" customHeight="false" outlineLevel="0" collapsed="false">
      <c r="I115" s="146"/>
    </row>
    <row r="116" customFormat="false" ht="12.75" hidden="false" customHeight="false" outlineLevel="0" collapsed="false">
      <c r="I116" s="146"/>
    </row>
    <row r="117" customFormat="false" ht="12.75" hidden="false" customHeight="false" outlineLevel="0" collapsed="false">
      <c r="I117" s="146"/>
    </row>
    <row r="118" customFormat="false" ht="12.75" hidden="false" customHeight="false" outlineLevel="0" collapsed="false">
      <c r="I118" s="146"/>
    </row>
    <row r="119" customFormat="false" ht="12.75" hidden="false" customHeight="false" outlineLevel="0" collapsed="false">
      <c r="I119" s="146"/>
    </row>
    <row r="120" customFormat="false" ht="12.75" hidden="false" customHeight="false" outlineLevel="0" collapsed="false">
      <c r="I120" s="146"/>
    </row>
    <row r="121" customFormat="false" ht="12.75" hidden="false" customHeight="false" outlineLevel="0" collapsed="false">
      <c r="I121" s="146"/>
    </row>
    <row r="122" customFormat="false" ht="12.75" hidden="false" customHeight="false" outlineLevel="0" collapsed="false">
      <c r="I122" s="146"/>
    </row>
    <row r="123" customFormat="false" ht="12.75" hidden="false" customHeight="false" outlineLevel="0" collapsed="false">
      <c r="I123" s="146"/>
    </row>
    <row r="124" customFormat="false" ht="12.75" hidden="false" customHeight="false" outlineLevel="0" collapsed="false">
      <c r="I124" s="146"/>
    </row>
    <row r="125" customFormat="false" ht="12.75" hidden="false" customHeight="false" outlineLevel="0" collapsed="false">
      <c r="I125" s="146"/>
    </row>
    <row r="126" customFormat="false" ht="12.75" hidden="false" customHeight="false" outlineLevel="0" collapsed="false">
      <c r="I126" s="146"/>
    </row>
    <row r="127" customFormat="false" ht="12.75" hidden="false" customHeight="false" outlineLevel="0" collapsed="false">
      <c r="I127" s="146"/>
    </row>
    <row r="128" customFormat="false" ht="12.75" hidden="false" customHeight="false" outlineLevel="0" collapsed="false">
      <c r="I128" s="146"/>
    </row>
    <row r="129" customFormat="false" ht="12.75" hidden="false" customHeight="false" outlineLevel="0" collapsed="false">
      <c r="I129" s="146"/>
    </row>
    <row r="130" customFormat="false" ht="12.75" hidden="false" customHeight="false" outlineLevel="0" collapsed="false">
      <c r="I130" s="146"/>
    </row>
    <row r="131" customFormat="false" ht="12.75" hidden="false" customHeight="false" outlineLevel="0" collapsed="false">
      <c r="I131" s="146"/>
    </row>
    <row r="132" customFormat="false" ht="12.75" hidden="false" customHeight="false" outlineLevel="0" collapsed="false">
      <c r="I132" s="146"/>
    </row>
    <row r="133" customFormat="false" ht="12.75" hidden="false" customHeight="false" outlineLevel="0" collapsed="false">
      <c r="I133" s="146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:IV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146" width="13.41"/>
    <col collapsed="false" customWidth="true" hidden="false" outlineLevel="0" max="11" min="11" style="146" width="13.7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132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99" t="s">
        <v>131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36069</v>
      </c>
      <c r="B9" s="114"/>
      <c r="C9" s="115" t="s">
        <v>37</v>
      </c>
      <c r="D9" s="116" t="n">
        <f aca="false">2.005</f>
        <v>2.005</v>
      </c>
      <c r="E9" s="114"/>
      <c r="F9" s="117" t="n">
        <f aca="false">-2500*31</f>
        <v>-77500</v>
      </c>
      <c r="G9" s="116" t="n">
        <f aca="false">1.82</f>
        <v>1.82</v>
      </c>
      <c r="H9" s="114"/>
      <c r="I9" s="118" t="n">
        <f aca="false">SUM(D9-G9)*F9</f>
        <v>-14337.5</v>
      </c>
      <c r="J9" s="141" t="n">
        <f aca="false">+I9</f>
        <v>-14337.5</v>
      </c>
      <c r="K9" s="141"/>
    </row>
    <row r="10" customFormat="false" ht="12.75" hidden="false" customHeight="false" outlineLevel="0" collapsed="false">
      <c r="A10" s="113" t="n">
        <v>36100</v>
      </c>
      <c r="B10" s="114"/>
      <c r="C10" s="115" t="s">
        <v>37</v>
      </c>
      <c r="D10" s="116" t="n">
        <f aca="false">2.005</f>
        <v>2.005</v>
      </c>
      <c r="E10" s="114"/>
      <c r="F10" s="117" t="n">
        <f aca="false">-2500*30</f>
        <v>-75000</v>
      </c>
      <c r="G10" s="116" t="n">
        <v>1.92</v>
      </c>
      <c r="H10" s="116"/>
      <c r="I10" s="118" t="n">
        <f aca="false">SUM(D10-G10)*F10</f>
        <v>-6375</v>
      </c>
      <c r="J10" s="141" t="n">
        <f aca="false">+I10</f>
        <v>-6375</v>
      </c>
      <c r="K10" s="141"/>
    </row>
    <row r="11" customFormat="false" ht="12.75" hidden="false" customHeight="false" outlineLevel="0" collapsed="false">
      <c r="A11" s="113" t="n">
        <v>36130</v>
      </c>
      <c r="B11" s="114"/>
      <c r="C11" s="115" t="s">
        <v>37</v>
      </c>
      <c r="D11" s="116" t="n">
        <f aca="false">2.005</f>
        <v>2.005</v>
      </c>
      <c r="E11" s="114"/>
      <c r="F11" s="117" t="n">
        <f aca="false">-2500*31</f>
        <v>-77500</v>
      </c>
      <c r="G11" s="116" t="n">
        <v>1.99</v>
      </c>
      <c r="H11" s="116"/>
      <c r="I11" s="118" t="n">
        <f aca="false">SUM(D11-G11)*F11</f>
        <v>-1162.49999999999</v>
      </c>
      <c r="J11" s="141" t="n">
        <f aca="false">+I11</f>
        <v>-1162.49999999999</v>
      </c>
      <c r="K11" s="141"/>
    </row>
    <row r="12" customFormat="false" ht="12.75" hidden="false" customHeight="false" outlineLevel="0" collapsed="false">
      <c r="A12" s="113" t="n">
        <v>36161</v>
      </c>
      <c r="B12" s="114"/>
      <c r="C12" s="115" t="s">
        <v>37</v>
      </c>
      <c r="D12" s="116" t="n">
        <f aca="false">2.005</f>
        <v>2.005</v>
      </c>
      <c r="E12" s="114"/>
      <c r="F12" s="117" t="n">
        <f aca="false">-2500*31</f>
        <v>-77500</v>
      </c>
      <c r="G12" s="116" t="n">
        <v>1.73</v>
      </c>
      <c r="H12" s="116"/>
      <c r="I12" s="118" t="n">
        <f aca="false">SUM(D12-G12)*F12</f>
        <v>-21312.5</v>
      </c>
      <c r="J12" s="141" t="n">
        <f aca="false">+I12</f>
        <v>-21312.5</v>
      </c>
      <c r="K12" s="141"/>
    </row>
    <row r="13" customFormat="false" ht="12.75" hidden="false" customHeight="false" outlineLevel="0" collapsed="false">
      <c r="A13" s="113" t="n">
        <v>36192</v>
      </c>
      <c r="B13" s="114"/>
      <c r="C13" s="115" t="s">
        <v>37</v>
      </c>
      <c r="D13" s="116" t="n">
        <f aca="false">2.005</f>
        <v>2.005</v>
      </c>
      <c r="E13" s="114"/>
      <c r="F13" s="117" t="n">
        <f aca="false">-2500*28</f>
        <v>-70000</v>
      </c>
      <c r="G13" s="116" t="n">
        <v>1.66</v>
      </c>
      <c r="H13" s="116"/>
      <c r="I13" s="118" t="n">
        <f aca="false">SUM(D13-G13)*F13</f>
        <v>-24150</v>
      </c>
      <c r="J13" s="141" t="n">
        <f aca="false">+I13</f>
        <v>-24150</v>
      </c>
      <c r="K13" s="141"/>
    </row>
    <row r="14" customFormat="false" ht="12.75" hidden="false" customHeight="false" outlineLevel="0" collapsed="false">
      <c r="A14" s="113" t="n">
        <v>36220</v>
      </c>
      <c r="B14" s="114"/>
      <c r="C14" s="115" t="s">
        <v>37</v>
      </c>
      <c r="D14" s="116" t="n">
        <f aca="false">2.005</f>
        <v>2.005</v>
      </c>
      <c r="E14" s="114"/>
      <c r="F14" s="117" t="n">
        <f aca="false">-2500*31</f>
        <v>-77500</v>
      </c>
      <c r="G14" s="116" t="n">
        <v>1.54</v>
      </c>
      <c r="H14" s="116"/>
      <c r="I14" s="118" t="n">
        <f aca="false">SUM(D14-G14)*F14</f>
        <v>-36037.5</v>
      </c>
      <c r="J14" s="141" t="n">
        <f aca="false">+I14</f>
        <v>-36037.5</v>
      </c>
      <c r="K14" s="141"/>
    </row>
    <row r="15" customFormat="false" ht="12.75" hidden="false" customHeight="false" outlineLevel="0" collapsed="false">
      <c r="A15" s="113" t="n">
        <v>36251</v>
      </c>
      <c r="B15" s="114"/>
      <c r="C15" s="115" t="s">
        <v>37</v>
      </c>
      <c r="D15" s="116" t="n">
        <f aca="false">2.005</f>
        <v>2.005</v>
      </c>
      <c r="E15" s="114"/>
      <c r="F15" s="117" t="n">
        <f aca="false">-2500*30</f>
        <v>-75000</v>
      </c>
      <c r="G15" s="116" t="n">
        <v>1.66</v>
      </c>
      <c r="H15" s="116"/>
      <c r="I15" s="118" t="n">
        <f aca="false">SUM(D15-G15)*F15</f>
        <v>-25875</v>
      </c>
      <c r="J15" s="141" t="n">
        <f aca="false">+I15</f>
        <v>-25875</v>
      </c>
      <c r="K15" s="141"/>
    </row>
    <row r="16" customFormat="false" ht="12.75" hidden="false" customHeight="false" outlineLevel="0" collapsed="false">
      <c r="A16" s="113" t="n">
        <v>36281</v>
      </c>
      <c r="B16" s="114"/>
      <c r="C16" s="115" t="s">
        <v>37</v>
      </c>
      <c r="D16" s="116" t="n">
        <f aca="false">2.005</f>
        <v>2.005</v>
      </c>
      <c r="E16" s="114"/>
      <c r="F16" s="117" t="n">
        <f aca="false">-2500*31</f>
        <v>-77500</v>
      </c>
      <c r="G16" s="116" t="n">
        <v>2.16</v>
      </c>
      <c r="H16" s="116"/>
      <c r="I16" s="118" t="n">
        <f aca="false">SUM(D16-G16)*F16</f>
        <v>12012.5</v>
      </c>
      <c r="J16" s="141" t="n">
        <f aca="false">+I16</f>
        <v>12012.5</v>
      </c>
      <c r="K16" s="141"/>
    </row>
    <row r="17" customFormat="false" ht="12.75" hidden="false" customHeight="false" outlineLevel="0" collapsed="false">
      <c r="A17" s="113" t="n">
        <v>36312</v>
      </c>
      <c r="B17" s="114"/>
      <c r="C17" s="115" t="s">
        <v>37</v>
      </c>
      <c r="D17" s="116" t="n">
        <f aca="false">2.005</f>
        <v>2.005</v>
      </c>
      <c r="E17" s="114"/>
      <c r="F17" s="117" t="n">
        <f aca="false">-2500*30</f>
        <v>-75000</v>
      </c>
      <c r="G17" s="116" t="n">
        <v>2.08</v>
      </c>
      <c r="H17" s="116"/>
      <c r="I17" s="118" t="n">
        <f aca="false">SUM(D17-G17)*F17</f>
        <v>5625.00000000001</v>
      </c>
      <c r="J17" s="141" t="n">
        <f aca="false">+I17</f>
        <v>5625.00000000001</v>
      </c>
      <c r="K17" s="141"/>
    </row>
    <row r="18" customFormat="false" ht="12.75" hidden="false" customHeight="false" outlineLevel="0" collapsed="false">
      <c r="A18" s="113" t="n">
        <v>36342</v>
      </c>
      <c r="B18" s="114"/>
      <c r="C18" s="115" t="s">
        <v>37</v>
      </c>
      <c r="D18" s="116" t="n">
        <f aca="false">2.005</f>
        <v>2.005</v>
      </c>
      <c r="E18" s="114"/>
      <c r="F18" s="117" t="n">
        <f aca="false">-2500*31</f>
        <v>-77500</v>
      </c>
      <c r="G18" s="116" t="n">
        <v>2.17</v>
      </c>
      <c r="H18" s="116"/>
      <c r="I18" s="118" t="n">
        <f aca="false">SUM(D18-G18)*F18</f>
        <v>12787.5</v>
      </c>
      <c r="J18" s="141" t="n">
        <f aca="false">+I18</f>
        <v>12787.5</v>
      </c>
      <c r="K18" s="141"/>
    </row>
    <row r="19" customFormat="false" ht="12.75" hidden="false" customHeight="false" outlineLevel="0" collapsed="false">
      <c r="A19" s="113" t="n">
        <v>36373</v>
      </c>
      <c r="B19" s="114"/>
      <c r="C19" s="115" t="s">
        <v>37</v>
      </c>
      <c r="D19" s="116" t="n">
        <f aca="false">2.005</f>
        <v>2.005</v>
      </c>
      <c r="E19" s="114"/>
      <c r="F19" s="117" t="n">
        <f aca="false">-2500*31</f>
        <v>-77500</v>
      </c>
      <c r="G19" s="116" t="n">
        <v>2.46</v>
      </c>
      <c r="H19" s="116"/>
      <c r="I19" s="118" t="n">
        <f aca="false">SUM(D19-G19)*F19</f>
        <v>35262.5</v>
      </c>
      <c r="J19" s="141" t="n">
        <f aca="false">+I19</f>
        <v>35262.5</v>
      </c>
      <c r="K19" s="141"/>
    </row>
    <row r="20" customFormat="false" ht="12.75" hidden="false" customHeight="false" outlineLevel="0" collapsed="false">
      <c r="A20" s="113" t="n">
        <v>36404</v>
      </c>
      <c r="B20" s="114"/>
      <c r="C20" s="115" t="s">
        <v>37</v>
      </c>
      <c r="D20" s="116" t="n">
        <f aca="false">2.005</f>
        <v>2.005</v>
      </c>
      <c r="E20" s="114"/>
      <c r="F20" s="117" t="n">
        <f aca="false">-2500*30</f>
        <v>-75000</v>
      </c>
      <c r="G20" s="116" t="n">
        <v>2.78</v>
      </c>
      <c r="H20" s="116"/>
      <c r="I20" s="118" t="n">
        <f aca="false">SUM(D20-G20)*F20</f>
        <v>58125</v>
      </c>
      <c r="J20" s="141" t="n">
        <f aca="false">+I20</f>
        <v>58125</v>
      </c>
      <c r="K20" s="141"/>
    </row>
    <row r="21" customFormat="false" ht="12.75" hidden="false" customHeight="false" outlineLevel="0" collapsed="false">
      <c r="A21" s="113" t="n">
        <v>36434</v>
      </c>
      <c r="B21" s="114"/>
      <c r="C21" s="115" t="s">
        <v>37</v>
      </c>
      <c r="D21" s="116" t="n">
        <f aca="false">2.005</f>
        <v>2.005</v>
      </c>
      <c r="E21" s="114"/>
      <c r="F21" s="117" t="n">
        <f aca="false">-2500*31</f>
        <v>-77500</v>
      </c>
      <c r="G21" s="116" t="n">
        <v>2.42</v>
      </c>
      <c r="H21" s="116"/>
      <c r="I21" s="118" t="n">
        <f aca="false">SUM(D21-G21)*F21</f>
        <v>32162.5</v>
      </c>
      <c r="J21" s="141" t="n">
        <f aca="false">+I21</f>
        <v>32162.5</v>
      </c>
      <c r="K21" s="141"/>
    </row>
    <row r="22" customFormat="false" ht="12.75" hidden="false" customHeight="false" outlineLevel="0" collapsed="false">
      <c r="A22" s="113" t="n">
        <v>36465</v>
      </c>
      <c r="B22" s="114"/>
      <c r="C22" s="115" t="s">
        <v>37</v>
      </c>
      <c r="D22" s="116" t="n">
        <f aca="false">2.005</f>
        <v>2.005</v>
      </c>
      <c r="E22" s="114"/>
      <c r="F22" s="117" t="n">
        <f aca="false">-2500*30</f>
        <v>-75000</v>
      </c>
      <c r="G22" s="116" t="n">
        <v>2.87</v>
      </c>
      <c r="H22" s="116"/>
      <c r="I22" s="118" t="n">
        <f aca="false">SUM(D22-G22)*F22</f>
        <v>64875</v>
      </c>
      <c r="J22" s="141" t="n">
        <f aca="false">+I22</f>
        <v>64875</v>
      </c>
      <c r="K22" s="141"/>
    </row>
    <row r="23" customFormat="false" ht="12.75" hidden="false" customHeight="false" outlineLevel="0" collapsed="false">
      <c r="A23" s="113" t="n">
        <v>36495</v>
      </c>
      <c r="B23" s="114"/>
      <c r="C23" s="115" t="s">
        <v>37</v>
      </c>
      <c r="D23" s="116" t="n">
        <f aca="false">2.005</f>
        <v>2.005</v>
      </c>
      <c r="E23" s="114"/>
      <c r="F23" s="117" t="n">
        <f aca="false">-2500*31</f>
        <v>-77500</v>
      </c>
      <c r="G23" s="116" t="n">
        <v>2.08</v>
      </c>
      <c r="H23" s="116"/>
      <c r="I23" s="118" t="n">
        <f aca="false">SUM(D23-G23)*F23</f>
        <v>5812.50000000001</v>
      </c>
      <c r="J23" s="141" t="n">
        <f aca="false">+I23</f>
        <v>5812.50000000001</v>
      </c>
      <c r="K23" s="141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21" t="n">
        <f aca="false">SUM(F9:F23)</f>
        <v>-1142500</v>
      </c>
      <c r="G24" s="114"/>
      <c r="H24" s="114"/>
      <c r="I24" s="130" t="n">
        <f aca="false">SUM(I9:I23)</f>
        <v>97412.5000000001</v>
      </c>
      <c r="J24" s="130" t="n">
        <f aca="false">SUM(J9:J23)</f>
        <v>97412.5000000001</v>
      </c>
      <c r="K24" s="130" t="n">
        <f aca="false">SUM(K9:K23)</f>
        <v>0</v>
      </c>
      <c r="L24" s="153" t="n">
        <f aca="false">+J24+K24-I24</f>
        <v>0</v>
      </c>
    </row>
    <row r="25" customFormat="false" ht="12.75" hidden="false" customHeight="false" outlineLevel="0" collapsed="false">
      <c r="A25" s="114"/>
      <c r="B25" s="114"/>
      <c r="C25" s="114"/>
      <c r="D25" s="114"/>
      <c r="E25" s="114"/>
      <c r="F25" s="123"/>
      <c r="G25" s="114"/>
      <c r="H25" s="114"/>
      <c r="I25" s="163"/>
      <c r="J25" s="164"/>
      <c r="K25" s="164"/>
      <c r="L25" s="153"/>
    </row>
    <row r="26" customFormat="false" ht="12.75" hidden="false" customHeight="false" outlineLevel="0" collapsed="false">
      <c r="A26" s="114"/>
      <c r="B26" s="114"/>
      <c r="C26" s="114"/>
      <c r="D26" s="114"/>
      <c r="E26" s="114"/>
      <c r="F26" s="123"/>
      <c r="G26" s="126" t="s">
        <v>96</v>
      </c>
      <c r="H26" s="114"/>
      <c r="I26" s="163"/>
      <c r="J26" s="164"/>
      <c r="K26" s="164"/>
      <c r="L26" s="153"/>
    </row>
    <row r="27" customFormat="false" ht="12.75" hidden="false" customHeight="false" outlineLevel="0" collapsed="false">
      <c r="A27" s="114"/>
      <c r="B27" s="114"/>
      <c r="C27" s="114"/>
      <c r="D27" s="114"/>
      <c r="E27" s="114"/>
      <c r="F27" s="114"/>
      <c r="G27" s="114"/>
      <c r="H27" s="114"/>
      <c r="I27" s="114"/>
      <c r="J27" s="141"/>
      <c r="K27" s="141"/>
    </row>
    <row r="28" customFormat="false" ht="12.75" hidden="false" customHeight="false" outlineLevel="0" collapsed="false">
      <c r="A28" s="113" t="n">
        <v>36069</v>
      </c>
      <c r="B28" s="114"/>
      <c r="C28" s="115" t="s">
        <v>97</v>
      </c>
      <c r="D28" s="116" t="n">
        <f aca="false">2.005</f>
        <v>2.005</v>
      </c>
      <c r="E28" s="114"/>
      <c r="F28" s="117" t="n">
        <f aca="false">2500*31</f>
        <v>77500</v>
      </c>
      <c r="G28" s="116" t="n">
        <v>1.78</v>
      </c>
      <c r="H28" s="116"/>
      <c r="I28" s="118" t="n">
        <f aca="false">SUM(D28-G28)*F28</f>
        <v>17437.5</v>
      </c>
      <c r="J28" s="141" t="n">
        <f aca="false">+I28</f>
        <v>17437.5</v>
      </c>
      <c r="K28" s="141"/>
    </row>
    <row r="29" customFormat="false" ht="12.75" hidden="false" customHeight="false" outlineLevel="0" collapsed="false">
      <c r="A29" s="113" t="n">
        <v>36100</v>
      </c>
      <c r="B29" s="114"/>
      <c r="C29" s="115" t="s">
        <v>97</v>
      </c>
      <c r="D29" s="116" t="n">
        <f aca="false">2.005</f>
        <v>2.005</v>
      </c>
      <c r="E29" s="114"/>
      <c r="F29" s="117" t="n">
        <f aca="false">2500*30</f>
        <v>75000</v>
      </c>
      <c r="G29" s="116" t="n">
        <v>1.99</v>
      </c>
      <c r="H29" s="116"/>
      <c r="I29" s="118" t="n">
        <f aca="false">SUM(D29-G29)*F29</f>
        <v>1124.99999999999</v>
      </c>
      <c r="J29" s="141" t="n">
        <f aca="false">+I29</f>
        <v>1124.99999999999</v>
      </c>
      <c r="K29" s="141"/>
    </row>
    <row r="30" customFormat="false" ht="12.75" hidden="false" customHeight="false" outlineLevel="0" collapsed="false">
      <c r="A30" s="113" t="n">
        <v>36130</v>
      </c>
      <c r="B30" s="114"/>
      <c r="C30" s="115" t="s">
        <v>97</v>
      </c>
      <c r="D30" s="116" t="n">
        <f aca="false">2.005</f>
        <v>2.005</v>
      </c>
      <c r="E30" s="114"/>
      <c r="F30" s="117" t="n">
        <f aca="false">2500*31</f>
        <v>77500</v>
      </c>
      <c r="G30" s="116" t="n">
        <v>1.74</v>
      </c>
      <c r="H30" s="116"/>
      <c r="I30" s="118" t="n">
        <f aca="false">SUM(D30-G30)*F30</f>
        <v>20537.5</v>
      </c>
      <c r="J30" s="141" t="n">
        <f aca="false">+I30</f>
        <v>20537.5</v>
      </c>
      <c r="K30" s="141"/>
    </row>
    <row r="31" customFormat="false" ht="12.75" hidden="false" customHeight="false" outlineLevel="0" collapsed="false">
      <c r="A31" s="113" t="n">
        <v>36161</v>
      </c>
      <c r="B31" s="114"/>
      <c r="C31" s="115" t="s">
        <v>97</v>
      </c>
      <c r="D31" s="116" t="n">
        <f aca="false">2.005</f>
        <v>2.005</v>
      </c>
      <c r="E31" s="114"/>
      <c r="F31" s="117" t="n">
        <f aca="false">2500*31</f>
        <v>77500</v>
      </c>
      <c r="G31" s="116" t="n">
        <v>1.73</v>
      </c>
      <c r="H31" s="116"/>
      <c r="I31" s="118" t="n">
        <f aca="false">SUM(D31-G31)*F31</f>
        <v>21312.5</v>
      </c>
      <c r="J31" s="141" t="n">
        <f aca="false">+I31</f>
        <v>21312.5</v>
      </c>
      <c r="K31" s="141"/>
    </row>
    <row r="32" customFormat="false" ht="12.75" hidden="false" customHeight="false" outlineLevel="0" collapsed="false">
      <c r="A32" s="113" t="n">
        <v>36192</v>
      </c>
      <c r="B32" s="114"/>
      <c r="C32" s="115" t="s">
        <v>97</v>
      </c>
      <c r="D32" s="116" t="n">
        <f aca="false">2.005</f>
        <v>2.005</v>
      </c>
      <c r="E32" s="114"/>
      <c r="F32" s="117" t="n">
        <f aca="false">2500*28</f>
        <v>70000</v>
      </c>
      <c r="G32" s="116" t="n">
        <v>1.63</v>
      </c>
      <c r="H32" s="116"/>
      <c r="I32" s="118" t="n">
        <f aca="false">SUM(D32-G32)*F32</f>
        <v>26250</v>
      </c>
      <c r="J32" s="141" t="n">
        <f aca="false">+I32</f>
        <v>26250</v>
      </c>
      <c r="K32" s="141"/>
    </row>
    <row r="33" customFormat="false" ht="12.75" hidden="false" customHeight="false" outlineLevel="0" collapsed="false">
      <c r="A33" s="113" t="n">
        <v>36220</v>
      </c>
      <c r="B33" s="114"/>
      <c r="C33" s="115" t="s">
        <v>97</v>
      </c>
      <c r="D33" s="116" t="n">
        <f aca="false">2.005</f>
        <v>2.005</v>
      </c>
      <c r="E33" s="114"/>
      <c r="F33" s="117" t="n">
        <f aca="false">2500*31</f>
        <v>77500</v>
      </c>
      <c r="G33" s="116" t="n">
        <v>1.59</v>
      </c>
      <c r="H33" s="116"/>
      <c r="I33" s="118" t="n">
        <f aca="false">SUM(D33-G33)*F33</f>
        <v>32162.5</v>
      </c>
      <c r="J33" s="141" t="n">
        <f aca="false">+I33</f>
        <v>32162.5</v>
      </c>
      <c r="K33" s="141"/>
    </row>
    <row r="34" customFormat="false" ht="12.75" hidden="false" customHeight="false" outlineLevel="0" collapsed="false">
      <c r="A34" s="113" t="n">
        <v>36251</v>
      </c>
      <c r="B34" s="114"/>
      <c r="C34" s="115" t="s">
        <v>97</v>
      </c>
      <c r="D34" s="116" t="n">
        <f aca="false">2.005</f>
        <v>2.005</v>
      </c>
      <c r="E34" s="114"/>
      <c r="F34" s="117" t="n">
        <f aca="false">2500*30</f>
        <v>75000</v>
      </c>
      <c r="G34" s="116" t="n">
        <v>1.94</v>
      </c>
      <c r="H34" s="116"/>
      <c r="I34" s="118" t="n">
        <f aca="false">SUM(D34-G34)*F34</f>
        <v>4875</v>
      </c>
      <c r="J34" s="141" t="n">
        <f aca="false">+I34</f>
        <v>4875</v>
      </c>
      <c r="K34" s="141"/>
    </row>
    <row r="35" customFormat="false" ht="12.75" hidden="false" customHeight="false" outlineLevel="0" collapsed="false">
      <c r="A35" s="113" t="n">
        <v>36281</v>
      </c>
      <c r="B35" s="114"/>
      <c r="C35" s="115" t="s">
        <v>97</v>
      </c>
      <c r="D35" s="116" t="n">
        <f aca="false">2.005</f>
        <v>2.005</v>
      </c>
      <c r="E35" s="114"/>
      <c r="F35" s="117" t="n">
        <f aca="false">2500*31</f>
        <v>77500</v>
      </c>
      <c r="G35" s="116" t="n">
        <v>2.06</v>
      </c>
      <c r="H35" s="116"/>
      <c r="I35" s="118" t="n">
        <f aca="false">SUM(D35-G35)*F35</f>
        <v>-4262.50000000001</v>
      </c>
      <c r="J35" s="141" t="n">
        <f aca="false">+I35</f>
        <v>-4262.50000000001</v>
      </c>
      <c r="K35" s="141"/>
    </row>
    <row r="36" customFormat="false" ht="12.75" hidden="false" customHeight="false" outlineLevel="0" collapsed="false">
      <c r="A36" s="113" t="n">
        <v>36312</v>
      </c>
      <c r="B36" s="114"/>
      <c r="C36" s="115" t="s">
        <v>97</v>
      </c>
      <c r="D36" s="116" t="n">
        <f aca="false">2.005</f>
        <v>2.005</v>
      </c>
      <c r="E36" s="114"/>
      <c r="F36" s="117" t="n">
        <f aca="false">2500*30</f>
        <v>75000</v>
      </c>
      <c r="G36" s="116" t="n">
        <v>2.07</v>
      </c>
      <c r="H36" s="116"/>
      <c r="I36" s="118" t="n">
        <f aca="false">SUM(D36-G36)*F36</f>
        <v>-4875</v>
      </c>
      <c r="J36" s="141" t="n">
        <f aca="false">+I36</f>
        <v>-4875</v>
      </c>
      <c r="K36" s="141"/>
    </row>
    <row r="37" customFormat="false" ht="12.75" hidden="false" customHeight="false" outlineLevel="0" collapsed="false">
      <c r="A37" s="113" t="n">
        <v>36342</v>
      </c>
      <c r="B37" s="114"/>
      <c r="C37" s="115" t="s">
        <v>97</v>
      </c>
      <c r="D37" s="116" t="n">
        <f aca="false">2.005</f>
        <v>2.005</v>
      </c>
      <c r="E37" s="114"/>
      <c r="F37" s="117" t="n">
        <f aca="false">2500*31</f>
        <v>77500</v>
      </c>
      <c r="G37" s="116" t="n">
        <v>2.11</v>
      </c>
      <c r="H37" s="116"/>
      <c r="I37" s="118" t="n">
        <f aca="false">SUM(D37-G37)*F37</f>
        <v>-8137.5</v>
      </c>
      <c r="J37" s="141" t="n">
        <f aca="false">+I37</f>
        <v>-8137.5</v>
      </c>
      <c r="K37" s="141"/>
    </row>
    <row r="38" customFormat="false" ht="12.75" hidden="false" customHeight="false" outlineLevel="0" collapsed="false">
      <c r="A38" s="113" t="n">
        <v>36373</v>
      </c>
      <c r="B38" s="114"/>
      <c r="C38" s="115" t="s">
        <v>97</v>
      </c>
      <c r="D38" s="116" t="n">
        <f aca="false">2.005</f>
        <v>2.005</v>
      </c>
      <c r="E38" s="114"/>
      <c r="F38" s="117" t="n">
        <f aca="false">2500*31</f>
        <v>77500</v>
      </c>
      <c r="G38" s="116" t="n">
        <v>2.51</v>
      </c>
      <c r="H38" s="116"/>
      <c r="I38" s="118" t="n">
        <f aca="false">SUM(D38-G38)*F38</f>
        <v>-39137.5</v>
      </c>
      <c r="J38" s="141" t="n">
        <f aca="false">+I38</f>
        <v>-39137.5</v>
      </c>
      <c r="K38" s="141"/>
    </row>
    <row r="39" customFormat="false" ht="12.75" hidden="false" customHeight="false" outlineLevel="0" collapsed="false">
      <c r="A39" s="113" t="n">
        <v>36404</v>
      </c>
      <c r="B39" s="114"/>
      <c r="C39" s="115" t="s">
        <v>97</v>
      </c>
      <c r="D39" s="116" t="n">
        <f aca="false">2.005</f>
        <v>2.005</v>
      </c>
      <c r="E39" s="114"/>
      <c r="F39" s="117" t="n">
        <f aca="false">2500*30</f>
        <v>75000</v>
      </c>
      <c r="G39" s="116" t="n">
        <v>2.36</v>
      </c>
      <c r="H39" s="116"/>
      <c r="I39" s="118" t="n">
        <f aca="false">SUM(D39-G39)*F39</f>
        <v>-26625</v>
      </c>
      <c r="J39" s="141" t="n">
        <f aca="false">+I39</f>
        <v>-26625</v>
      </c>
      <c r="K39" s="141"/>
    </row>
    <row r="40" customFormat="false" ht="12.75" hidden="false" customHeight="false" outlineLevel="0" collapsed="false">
      <c r="A40" s="113" t="n">
        <v>36434</v>
      </c>
      <c r="B40" s="114"/>
      <c r="C40" s="115" t="s">
        <v>97</v>
      </c>
      <c r="D40" s="116" t="n">
        <f aca="false">2.005</f>
        <v>2.005</v>
      </c>
      <c r="E40" s="114"/>
      <c r="F40" s="117" t="n">
        <f aca="false">2500*31</f>
        <v>77500</v>
      </c>
      <c r="G40" s="116" t="n">
        <v>2.62</v>
      </c>
      <c r="H40" s="116"/>
      <c r="I40" s="118" t="n">
        <f aca="false">SUM(D40-G40)*F40</f>
        <v>-47662.5</v>
      </c>
      <c r="J40" s="141" t="n">
        <f aca="false">+I40</f>
        <v>-47662.5</v>
      </c>
      <c r="K40" s="141"/>
    </row>
    <row r="41" customFormat="false" ht="12.75" hidden="false" customHeight="false" outlineLevel="0" collapsed="false">
      <c r="A41" s="113" t="n">
        <v>36465</v>
      </c>
      <c r="B41" s="114"/>
      <c r="C41" s="115" t="s">
        <v>97</v>
      </c>
      <c r="D41" s="116" t="n">
        <f aca="false">2.005</f>
        <v>2.005</v>
      </c>
      <c r="E41" s="114"/>
      <c r="F41" s="117" t="n">
        <f aca="false">2500*30</f>
        <v>75000</v>
      </c>
      <c r="G41" s="116" t="n">
        <v>2.17</v>
      </c>
      <c r="H41" s="116"/>
      <c r="I41" s="118" t="n">
        <f aca="false">SUM(D41-G41)*F41</f>
        <v>-12375</v>
      </c>
      <c r="J41" s="141" t="n">
        <f aca="false">+I41</f>
        <v>-12375</v>
      </c>
      <c r="K41" s="141"/>
    </row>
    <row r="42" customFormat="false" ht="12.75" hidden="false" customHeight="false" outlineLevel="0" collapsed="false">
      <c r="A42" s="113" t="n">
        <v>36495</v>
      </c>
      <c r="B42" s="114"/>
      <c r="C42" s="115" t="s">
        <v>97</v>
      </c>
      <c r="D42" s="116" t="n">
        <f aca="false">2.005</f>
        <v>2.005</v>
      </c>
      <c r="E42" s="114"/>
      <c r="F42" s="117" t="n">
        <f aca="false">2500*31</f>
        <v>77500</v>
      </c>
      <c r="G42" s="116" t="n">
        <v>2.24</v>
      </c>
      <c r="H42" s="116"/>
      <c r="I42" s="118" t="n">
        <f aca="false">SUM(D42-G42)*F42</f>
        <v>-18212.5</v>
      </c>
      <c r="J42" s="141" t="n">
        <f aca="false">+I42</f>
        <v>-18212.5</v>
      </c>
      <c r="K42" s="141"/>
    </row>
    <row r="43" customFormat="false" ht="12.75" hidden="false" customHeight="false" outlineLevel="0" collapsed="false">
      <c r="A43" s="114"/>
      <c r="B43" s="114"/>
      <c r="C43" s="114"/>
      <c r="D43" s="114"/>
      <c r="E43" s="114"/>
      <c r="F43" s="121" t="n">
        <f aca="false">SUM(F28:F42)</f>
        <v>1142500</v>
      </c>
      <c r="G43" s="114"/>
      <c r="H43" s="114"/>
      <c r="I43" s="130" t="n">
        <f aca="false">SUM(I28:I42)</f>
        <v>-37587.5000000001</v>
      </c>
      <c r="J43" s="130" t="n">
        <f aca="false">SUM(J28:J42)</f>
        <v>-37587.5000000001</v>
      </c>
      <c r="K43" s="130" t="n">
        <f aca="false">SUM(K28:K42)</f>
        <v>0</v>
      </c>
      <c r="L43" s="153" t="n">
        <f aca="false">+J43+K43-I43</f>
        <v>0</v>
      </c>
    </row>
    <row r="44" customFormat="false" ht="12.75" hidden="false" customHeight="false" outlineLevel="0" collapsed="false">
      <c r="A44" s="114"/>
      <c r="B44" s="114"/>
      <c r="C44" s="114"/>
      <c r="D44" s="114"/>
      <c r="E44" s="114"/>
      <c r="F44" s="114"/>
      <c r="G44" s="114"/>
      <c r="H44" s="114"/>
      <c r="I44" s="114"/>
      <c r="J44" s="141"/>
      <c r="K44" s="141"/>
    </row>
    <row r="45" customFormat="false" ht="13.5" hidden="false" customHeight="false" outlineLevel="0" collapsed="false">
      <c r="A45" s="114"/>
      <c r="B45" s="114"/>
      <c r="C45" s="114"/>
      <c r="D45" s="114"/>
      <c r="E45" s="114"/>
      <c r="F45" s="131" t="n">
        <f aca="false">+F43+F24</f>
        <v>0</v>
      </c>
      <c r="G45" s="114"/>
      <c r="H45" s="114"/>
      <c r="I45" s="132" t="n">
        <f aca="false">+I43+I24</f>
        <v>59825</v>
      </c>
      <c r="J45" s="132" t="n">
        <f aca="false">+J43+J24</f>
        <v>59825</v>
      </c>
      <c r="K45" s="132" t="n">
        <f aca="false">+K43+K24</f>
        <v>0</v>
      </c>
      <c r="L45" s="153" t="n">
        <f aca="false">+J45+K45-I45</f>
        <v>0</v>
      </c>
    </row>
    <row r="46" customFormat="false" ht="13.5" hidden="false" customHeight="false" outlineLevel="0" collapsed="false">
      <c r="A46" s="133"/>
      <c r="B46" s="133"/>
      <c r="C46" s="133"/>
      <c r="D46" s="133"/>
      <c r="E46" s="133"/>
      <c r="F46" s="133"/>
      <c r="G46" s="133"/>
      <c r="H46" s="133"/>
      <c r="I46" s="133"/>
      <c r="J46" s="156"/>
      <c r="K46" s="156"/>
    </row>
    <row r="48" customFormat="false" ht="12.75" hidden="false" customHeight="false" outlineLevel="0" collapsed="false">
      <c r="A48" s="98" t="s">
        <v>98</v>
      </c>
      <c r="J48" s="0"/>
      <c r="K48" s="0"/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I33" colorId="64" zoomScale="100" zoomScaleNormal="100" zoomScalePageLayoutView="100" workbookViewId="0">
      <pane xSplit="9165" ySplit="0" topLeftCell="I9" activePane="topLeft" state="split"/>
      <selection pane="topLeft" activeCell="A4" activeCellId="0" sqref="A4:IV4"/>
      <selection pane="topRight" activeCell="I33" activeCellId="0" sqref="I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133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99" t="s">
        <v>131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36069</v>
      </c>
      <c r="B9" s="114"/>
      <c r="C9" s="115" t="s">
        <v>43</v>
      </c>
      <c r="D9" s="116" t="n">
        <f aca="false">2.1</f>
        <v>2.1</v>
      </c>
      <c r="E9" s="114"/>
      <c r="F9" s="117" t="n">
        <f aca="false">-2500*31</f>
        <v>-77500</v>
      </c>
      <c r="G9" s="116" t="n">
        <f aca="false">1.82</f>
        <v>1.82</v>
      </c>
      <c r="H9" s="114"/>
      <c r="I9" s="118" t="n">
        <f aca="false">SUM(D9-G9)*F9</f>
        <v>-21700</v>
      </c>
      <c r="J9" s="119" t="n">
        <f aca="false">+I9</f>
        <v>-21700</v>
      </c>
      <c r="K9" s="119"/>
    </row>
    <row r="10" customFormat="false" ht="12.75" hidden="false" customHeight="false" outlineLevel="0" collapsed="false">
      <c r="A10" s="113" t="n">
        <v>36100</v>
      </c>
      <c r="B10" s="114"/>
      <c r="C10" s="115" t="s">
        <v>43</v>
      </c>
      <c r="D10" s="116" t="n">
        <f aca="false">2.1</f>
        <v>2.1</v>
      </c>
      <c r="E10" s="114"/>
      <c r="F10" s="117" t="n">
        <f aca="false">-2500*30</f>
        <v>-75000</v>
      </c>
      <c r="G10" s="116" t="n">
        <v>1.92</v>
      </c>
      <c r="H10" s="116"/>
      <c r="I10" s="118" t="n">
        <f aca="false">SUM(D10-G10)*F10</f>
        <v>-13500</v>
      </c>
      <c r="J10" s="119" t="n">
        <f aca="false">+I10</f>
        <v>-13500</v>
      </c>
      <c r="K10" s="119"/>
    </row>
    <row r="11" customFormat="false" ht="12.75" hidden="false" customHeight="false" outlineLevel="0" collapsed="false">
      <c r="A11" s="113" t="n">
        <v>36130</v>
      </c>
      <c r="B11" s="114"/>
      <c r="C11" s="115" t="s">
        <v>43</v>
      </c>
      <c r="D11" s="116" t="n">
        <f aca="false">2.1</f>
        <v>2.1</v>
      </c>
      <c r="E11" s="114"/>
      <c r="F11" s="117" t="n">
        <f aca="false">-2500*31</f>
        <v>-77500</v>
      </c>
      <c r="G11" s="116" t="n">
        <v>1.99</v>
      </c>
      <c r="H11" s="116"/>
      <c r="I11" s="118" t="n">
        <f aca="false">SUM(D11-G11)*F11</f>
        <v>-8525.00000000001</v>
      </c>
      <c r="J11" s="119" t="n">
        <f aca="false">+I11</f>
        <v>-8525.00000000001</v>
      </c>
      <c r="K11" s="119"/>
    </row>
    <row r="12" customFormat="false" ht="12.75" hidden="false" customHeight="false" outlineLevel="0" collapsed="false">
      <c r="A12" s="113" t="n">
        <v>36161</v>
      </c>
      <c r="B12" s="114"/>
      <c r="C12" s="115" t="s">
        <v>43</v>
      </c>
      <c r="D12" s="116" t="n">
        <f aca="false">2.1</f>
        <v>2.1</v>
      </c>
      <c r="E12" s="114"/>
      <c r="F12" s="117" t="n">
        <f aca="false">-2500*31</f>
        <v>-77500</v>
      </c>
      <c r="G12" s="116" t="n">
        <v>1.73</v>
      </c>
      <c r="H12" s="116"/>
      <c r="I12" s="118" t="n">
        <f aca="false">SUM(D12-G12)*F12</f>
        <v>-28675</v>
      </c>
      <c r="J12" s="119" t="n">
        <f aca="false">+I12</f>
        <v>-28675</v>
      </c>
      <c r="K12" s="119"/>
    </row>
    <row r="13" customFormat="false" ht="12.75" hidden="false" customHeight="false" outlineLevel="0" collapsed="false">
      <c r="A13" s="113" t="n">
        <v>36192</v>
      </c>
      <c r="B13" s="114"/>
      <c r="C13" s="115" t="s">
        <v>43</v>
      </c>
      <c r="D13" s="116" t="n">
        <f aca="false">2.1</f>
        <v>2.1</v>
      </c>
      <c r="E13" s="114"/>
      <c r="F13" s="117" t="n">
        <f aca="false">-2500*28</f>
        <v>-70000</v>
      </c>
      <c r="G13" s="116" t="n">
        <v>1.66</v>
      </c>
      <c r="H13" s="116"/>
      <c r="I13" s="118" t="n">
        <f aca="false">SUM(D13-G13)*F13</f>
        <v>-30800</v>
      </c>
      <c r="J13" s="119" t="n">
        <f aca="false">+I13</f>
        <v>-30800</v>
      </c>
      <c r="K13" s="119"/>
    </row>
    <row r="14" customFormat="false" ht="12.75" hidden="false" customHeight="false" outlineLevel="0" collapsed="false">
      <c r="A14" s="113" t="n">
        <v>36220</v>
      </c>
      <c r="B14" s="114"/>
      <c r="C14" s="115" t="s">
        <v>43</v>
      </c>
      <c r="D14" s="116" t="n">
        <f aca="false">2.1</f>
        <v>2.1</v>
      </c>
      <c r="E14" s="114"/>
      <c r="F14" s="117" t="n">
        <f aca="false">-2500*31</f>
        <v>-77500</v>
      </c>
      <c r="G14" s="116" t="n">
        <v>1.54</v>
      </c>
      <c r="H14" s="116"/>
      <c r="I14" s="118" t="n">
        <f aca="false">SUM(D14-G14)*F14</f>
        <v>-43400</v>
      </c>
      <c r="J14" s="119" t="n">
        <f aca="false">+I14</f>
        <v>-43400</v>
      </c>
      <c r="K14" s="119"/>
    </row>
    <row r="15" customFormat="false" ht="12.75" hidden="false" customHeight="false" outlineLevel="0" collapsed="false">
      <c r="A15" s="113" t="n">
        <v>36251</v>
      </c>
      <c r="B15" s="114"/>
      <c r="C15" s="115" t="s">
        <v>43</v>
      </c>
      <c r="D15" s="116" t="n">
        <f aca="false">2.1</f>
        <v>2.1</v>
      </c>
      <c r="E15" s="114"/>
      <c r="F15" s="117" t="n">
        <f aca="false">-2500*30</f>
        <v>-75000</v>
      </c>
      <c r="G15" s="116" t="n">
        <v>1.66</v>
      </c>
      <c r="H15" s="116"/>
      <c r="I15" s="118" t="n">
        <f aca="false">SUM(D15-G15)*F15</f>
        <v>-33000</v>
      </c>
      <c r="J15" s="119" t="n">
        <f aca="false">+I15</f>
        <v>-33000</v>
      </c>
      <c r="K15" s="119"/>
    </row>
    <row r="16" customFormat="false" ht="12.75" hidden="false" customHeight="false" outlineLevel="0" collapsed="false">
      <c r="A16" s="113" t="n">
        <v>36281</v>
      </c>
      <c r="B16" s="114"/>
      <c r="C16" s="115" t="s">
        <v>43</v>
      </c>
      <c r="D16" s="116" t="n">
        <f aca="false">2.1</f>
        <v>2.1</v>
      </c>
      <c r="E16" s="114"/>
      <c r="F16" s="117" t="n">
        <f aca="false">-2500*31</f>
        <v>-77500</v>
      </c>
      <c r="G16" s="116" t="n">
        <v>2.16</v>
      </c>
      <c r="H16" s="116"/>
      <c r="I16" s="118" t="n">
        <f aca="false">SUM(D16-G16)*F16</f>
        <v>4650.00000000001</v>
      </c>
      <c r="J16" s="119" t="n">
        <f aca="false">+I16</f>
        <v>4650.00000000001</v>
      </c>
      <c r="K16" s="119"/>
    </row>
    <row r="17" customFormat="false" ht="12.75" hidden="false" customHeight="false" outlineLevel="0" collapsed="false">
      <c r="A17" s="113" t="n">
        <v>36312</v>
      </c>
      <c r="B17" s="114"/>
      <c r="C17" s="115" t="s">
        <v>43</v>
      </c>
      <c r="D17" s="116" t="n">
        <f aca="false">2.1</f>
        <v>2.1</v>
      </c>
      <c r="E17" s="114"/>
      <c r="F17" s="117" t="n">
        <f aca="false">-2500*30</f>
        <v>-75000</v>
      </c>
      <c r="G17" s="116" t="n">
        <v>2.08</v>
      </c>
      <c r="H17" s="116"/>
      <c r="I17" s="118" t="n">
        <f aca="false">SUM(D17-G17)*F17</f>
        <v>-1500</v>
      </c>
      <c r="J17" s="119" t="n">
        <f aca="false">+I17</f>
        <v>-1500</v>
      </c>
      <c r="K17" s="119"/>
    </row>
    <row r="18" customFormat="false" ht="12.75" hidden="false" customHeight="false" outlineLevel="0" collapsed="false">
      <c r="A18" s="113" t="n">
        <v>36342</v>
      </c>
      <c r="B18" s="114"/>
      <c r="C18" s="115" t="s">
        <v>43</v>
      </c>
      <c r="D18" s="116" t="n">
        <f aca="false">2.1</f>
        <v>2.1</v>
      </c>
      <c r="E18" s="114"/>
      <c r="F18" s="117" t="n">
        <f aca="false">-2500*31</f>
        <v>-77500</v>
      </c>
      <c r="G18" s="116" t="n">
        <v>2.17</v>
      </c>
      <c r="H18" s="116"/>
      <c r="I18" s="118" t="n">
        <f aca="false">SUM(D18-G18)*F18</f>
        <v>5424.99999999999</v>
      </c>
      <c r="J18" s="119" t="n">
        <f aca="false">+I18</f>
        <v>5424.99999999999</v>
      </c>
      <c r="K18" s="119"/>
    </row>
    <row r="19" customFormat="false" ht="12.75" hidden="false" customHeight="false" outlineLevel="0" collapsed="false">
      <c r="A19" s="113" t="n">
        <v>36373</v>
      </c>
      <c r="B19" s="114"/>
      <c r="C19" s="115" t="s">
        <v>43</v>
      </c>
      <c r="D19" s="116" t="n">
        <f aca="false">2.1</f>
        <v>2.1</v>
      </c>
      <c r="E19" s="114"/>
      <c r="F19" s="117" t="n">
        <f aca="false">-2500*31</f>
        <v>-77500</v>
      </c>
      <c r="G19" s="116" t="n">
        <v>2.46</v>
      </c>
      <c r="H19" s="116"/>
      <c r="I19" s="118" t="n">
        <f aca="false">SUM(D19-G19)*F19</f>
        <v>27900</v>
      </c>
      <c r="J19" s="119" t="n">
        <f aca="false">+I19</f>
        <v>27900</v>
      </c>
      <c r="K19" s="119"/>
    </row>
    <row r="20" customFormat="false" ht="12.75" hidden="false" customHeight="false" outlineLevel="0" collapsed="false">
      <c r="A20" s="113" t="n">
        <v>36404</v>
      </c>
      <c r="B20" s="114"/>
      <c r="C20" s="115" t="s">
        <v>43</v>
      </c>
      <c r="D20" s="116" t="n">
        <f aca="false">2.1</f>
        <v>2.1</v>
      </c>
      <c r="E20" s="114"/>
      <c r="F20" s="117" t="n">
        <f aca="false">-2500*30</f>
        <v>-75000</v>
      </c>
      <c r="G20" s="116" t="n">
        <v>2.78</v>
      </c>
      <c r="H20" s="116"/>
      <c r="I20" s="118" t="n">
        <f aca="false">SUM(D20-G20)*F20</f>
        <v>51000</v>
      </c>
      <c r="J20" s="119" t="n">
        <f aca="false">+I20</f>
        <v>51000</v>
      </c>
      <c r="K20" s="119"/>
    </row>
    <row r="21" customFormat="false" ht="12.75" hidden="false" customHeight="false" outlineLevel="0" collapsed="false">
      <c r="A21" s="113" t="n">
        <v>36434</v>
      </c>
      <c r="B21" s="114"/>
      <c r="C21" s="115" t="s">
        <v>43</v>
      </c>
      <c r="D21" s="116" t="n">
        <f aca="false">2.1</f>
        <v>2.1</v>
      </c>
      <c r="E21" s="114"/>
      <c r="F21" s="117" t="n">
        <f aca="false">-2500*31</f>
        <v>-77500</v>
      </c>
      <c r="G21" s="116" t="n">
        <v>2.42</v>
      </c>
      <c r="H21" s="116"/>
      <c r="I21" s="118" t="n">
        <f aca="false">SUM(D21-G21)*F21</f>
        <v>24800</v>
      </c>
      <c r="J21" s="119" t="n">
        <f aca="false">+I21</f>
        <v>24800</v>
      </c>
      <c r="K21" s="119"/>
    </row>
    <row r="22" customFormat="false" ht="12.75" hidden="false" customHeight="false" outlineLevel="0" collapsed="false">
      <c r="A22" s="113" t="n">
        <v>36465</v>
      </c>
      <c r="B22" s="114"/>
      <c r="C22" s="115" t="s">
        <v>43</v>
      </c>
      <c r="D22" s="116" t="n">
        <f aca="false">2.1</f>
        <v>2.1</v>
      </c>
      <c r="E22" s="114"/>
      <c r="F22" s="117" t="n">
        <f aca="false">-2500*30</f>
        <v>-75000</v>
      </c>
      <c r="G22" s="116" t="n">
        <v>2.87</v>
      </c>
      <c r="H22" s="116"/>
      <c r="I22" s="118" t="n">
        <f aca="false">SUM(D22-G22)*F22</f>
        <v>57750</v>
      </c>
      <c r="J22" s="119" t="n">
        <f aca="false">+I22</f>
        <v>57750</v>
      </c>
      <c r="K22" s="119"/>
    </row>
    <row r="23" customFormat="false" ht="12.75" hidden="false" customHeight="false" outlineLevel="0" collapsed="false">
      <c r="A23" s="113" t="n">
        <v>36495</v>
      </c>
      <c r="B23" s="114"/>
      <c r="C23" s="115" t="s">
        <v>43</v>
      </c>
      <c r="D23" s="116" t="n">
        <f aca="false">2.1</f>
        <v>2.1</v>
      </c>
      <c r="E23" s="114"/>
      <c r="F23" s="117" t="n">
        <f aca="false">-2500*31</f>
        <v>-77500</v>
      </c>
      <c r="G23" s="116" t="n">
        <v>2.08</v>
      </c>
      <c r="H23" s="116"/>
      <c r="I23" s="118" t="n">
        <f aca="false">SUM(D23-G23)*F23</f>
        <v>-1550</v>
      </c>
      <c r="J23" s="119" t="n">
        <f aca="false">+I23</f>
        <v>-1550</v>
      </c>
      <c r="K23" s="119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21" t="n">
        <f aca="false">SUM(F9:F23)</f>
        <v>-1142500</v>
      </c>
      <c r="G24" s="114"/>
      <c r="H24" s="114"/>
      <c r="I24" s="122" t="n">
        <f aca="false">SUM(I9:I23)</f>
        <v>-11125.0000000001</v>
      </c>
      <c r="J24" s="122" t="n">
        <f aca="false">SUM(J9:J23)</f>
        <v>-11125.0000000001</v>
      </c>
      <c r="K24" s="122" t="n">
        <f aca="false">SUM(K9:K23)</f>
        <v>0</v>
      </c>
    </row>
    <row r="25" customFormat="false" ht="12.75" hidden="false" customHeight="false" outlineLevel="0" collapsed="false">
      <c r="A25" s="114"/>
      <c r="B25" s="114"/>
      <c r="C25" s="114"/>
      <c r="D25" s="114"/>
      <c r="E25" s="114"/>
      <c r="F25" s="123"/>
      <c r="G25" s="114"/>
      <c r="H25" s="114"/>
      <c r="I25" s="124"/>
      <c r="J25" s="125"/>
      <c r="K25" s="125"/>
    </row>
    <row r="26" customFormat="false" ht="12.75" hidden="false" customHeight="false" outlineLevel="0" collapsed="false">
      <c r="A26" s="114"/>
      <c r="B26" s="114"/>
      <c r="C26" s="114"/>
      <c r="D26" s="114"/>
      <c r="E26" s="114"/>
      <c r="F26" s="114"/>
      <c r="G26" s="126" t="s">
        <v>96</v>
      </c>
      <c r="H26" s="127"/>
      <c r="I26" s="114"/>
      <c r="J26" s="120"/>
      <c r="K26" s="120"/>
    </row>
    <row r="27" customFormat="false" ht="12.75" hidden="false" customHeight="false" outlineLevel="0" collapsed="false">
      <c r="A27" s="114"/>
      <c r="B27" s="114"/>
      <c r="C27" s="114"/>
      <c r="D27" s="114"/>
      <c r="E27" s="114"/>
      <c r="F27" s="114"/>
      <c r="G27" s="128"/>
      <c r="H27" s="127"/>
      <c r="I27" s="114"/>
      <c r="J27" s="120"/>
      <c r="K27" s="120"/>
    </row>
    <row r="28" customFormat="false" ht="12.75" hidden="false" customHeight="false" outlineLevel="0" collapsed="false">
      <c r="A28" s="113" t="n">
        <v>36069</v>
      </c>
      <c r="B28" s="114"/>
      <c r="C28" s="115" t="s">
        <v>97</v>
      </c>
      <c r="D28" s="116" t="n">
        <f aca="false">2.1</f>
        <v>2.1</v>
      </c>
      <c r="E28" s="114"/>
      <c r="F28" s="117" t="n">
        <f aca="false">2500*31</f>
        <v>77500</v>
      </c>
      <c r="G28" s="116" t="n">
        <v>1.78</v>
      </c>
      <c r="H28" s="116"/>
      <c r="I28" s="118" t="n">
        <f aca="false">SUM(D28-G28)*F28</f>
        <v>24800</v>
      </c>
      <c r="J28" s="119" t="n">
        <f aca="false">+I28</f>
        <v>24800</v>
      </c>
      <c r="K28" s="119"/>
    </row>
    <row r="29" customFormat="false" ht="12.75" hidden="false" customHeight="false" outlineLevel="0" collapsed="false">
      <c r="A29" s="113" t="n">
        <v>36100</v>
      </c>
      <c r="B29" s="114"/>
      <c r="C29" s="115" t="s">
        <v>97</v>
      </c>
      <c r="D29" s="116" t="n">
        <f aca="false">2.1</f>
        <v>2.1</v>
      </c>
      <c r="E29" s="114"/>
      <c r="F29" s="117" t="n">
        <f aca="false">2500*30</f>
        <v>75000</v>
      </c>
      <c r="G29" s="116" t="n">
        <v>1.99</v>
      </c>
      <c r="H29" s="116"/>
      <c r="I29" s="118" t="n">
        <f aca="false">SUM(D29-G29)*F29</f>
        <v>8250.00000000001</v>
      </c>
      <c r="J29" s="119" t="n">
        <f aca="false">+I29</f>
        <v>8250.00000000001</v>
      </c>
      <c r="K29" s="119"/>
    </row>
    <row r="30" customFormat="false" ht="12.75" hidden="false" customHeight="false" outlineLevel="0" collapsed="false">
      <c r="A30" s="113" t="n">
        <v>36130</v>
      </c>
      <c r="B30" s="114"/>
      <c r="C30" s="115" t="s">
        <v>97</v>
      </c>
      <c r="D30" s="116" t="n">
        <f aca="false">2.1</f>
        <v>2.1</v>
      </c>
      <c r="E30" s="114"/>
      <c r="F30" s="117" t="n">
        <f aca="false">2500*31</f>
        <v>77500</v>
      </c>
      <c r="G30" s="116" t="n">
        <v>1.74</v>
      </c>
      <c r="H30" s="116"/>
      <c r="I30" s="118" t="n">
        <f aca="false">SUM(D30-G30)*F30</f>
        <v>27900</v>
      </c>
      <c r="J30" s="119" t="n">
        <f aca="false">+I30</f>
        <v>27900</v>
      </c>
      <c r="K30" s="119"/>
    </row>
    <row r="31" customFormat="false" ht="12.75" hidden="false" customHeight="false" outlineLevel="0" collapsed="false">
      <c r="A31" s="113" t="n">
        <v>36161</v>
      </c>
      <c r="B31" s="114"/>
      <c r="C31" s="115" t="s">
        <v>97</v>
      </c>
      <c r="D31" s="116" t="n">
        <f aca="false">2.1</f>
        <v>2.1</v>
      </c>
      <c r="E31" s="114"/>
      <c r="F31" s="117" t="n">
        <f aca="false">2500*31</f>
        <v>77500</v>
      </c>
      <c r="G31" s="116" t="n">
        <v>1.73</v>
      </c>
      <c r="H31" s="116"/>
      <c r="I31" s="118" t="n">
        <f aca="false">SUM(D31-G31)*F31</f>
        <v>28675</v>
      </c>
      <c r="J31" s="119" t="n">
        <f aca="false">+I31</f>
        <v>28675</v>
      </c>
      <c r="K31" s="119"/>
    </row>
    <row r="32" customFormat="false" ht="12.75" hidden="false" customHeight="false" outlineLevel="0" collapsed="false">
      <c r="A32" s="113" t="n">
        <v>36192</v>
      </c>
      <c r="B32" s="114"/>
      <c r="C32" s="115" t="s">
        <v>97</v>
      </c>
      <c r="D32" s="116" t="n">
        <f aca="false">2.1</f>
        <v>2.1</v>
      </c>
      <c r="E32" s="114"/>
      <c r="F32" s="117" t="n">
        <f aca="false">2500*28</f>
        <v>70000</v>
      </c>
      <c r="G32" s="116" t="n">
        <v>1.63</v>
      </c>
      <c r="H32" s="116"/>
      <c r="I32" s="118" t="n">
        <f aca="false">SUM(D32-G32)*F32</f>
        <v>32900</v>
      </c>
      <c r="J32" s="119" t="n">
        <f aca="false">+I32</f>
        <v>32900</v>
      </c>
      <c r="K32" s="119"/>
    </row>
    <row r="33" customFormat="false" ht="12.75" hidden="false" customHeight="false" outlineLevel="0" collapsed="false">
      <c r="A33" s="113" t="n">
        <v>36220</v>
      </c>
      <c r="B33" s="114"/>
      <c r="C33" s="115" t="s">
        <v>97</v>
      </c>
      <c r="D33" s="116" t="n">
        <f aca="false">2.1</f>
        <v>2.1</v>
      </c>
      <c r="E33" s="114"/>
      <c r="F33" s="117" t="n">
        <f aca="false">2500*31</f>
        <v>77500</v>
      </c>
      <c r="G33" s="116" t="n">
        <v>1.59</v>
      </c>
      <c r="H33" s="116"/>
      <c r="I33" s="118" t="n">
        <f aca="false">SUM(D33-G33)*F33</f>
        <v>39525</v>
      </c>
      <c r="J33" s="119" t="n">
        <f aca="false">+I33</f>
        <v>39525</v>
      </c>
      <c r="K33" s="119"/>
    </row>
    <row r="34" customFormat="false" ht="12.75" hidden="false" customHeight="false" outlineLevel="0" collapsed="false">
      <c r="A34" s="113" t="n">
        <v>36251</v>
      </c>
      <c r="B34" s="114"/>
      <c r="C34" s="115" t="s">
        <v>97</v>
      </c>
      <c r="D34" s="116" t="n">
        <f aca="false">2.1</f>
        <v>2.1</v>
      </c>
      <c r="E34" s="114"/>
      <c r="F34" s="117" t="n">
        <f aca="false">2500*30</f>
        <v>75000</v>
      </c>
      <c r="G34" s="116" t="n">
        <v>1.94</v>
      </c>
      <c r="H34" s="116"/>
      <c r="I34" s="118" t="n">
        <f aca="false">SUM(D34-G34)*F34</f>
        <v>12000</v>
      </c>
      <c r="J34" s="119" t="n">
        <f aca="false">+I34</f>
        <v>12000</v>
      </c>
      <c r="K34" s="119"/>
    </row>
    <row r="35" customFormat="false" ht="12.75" hidden="false" customHeight="false" outlineLevel="0" collapsed="false">
      <c r="A35" s="113" t="n">
        <v>36281</v>
      </c>
      <c r="B35" s="114"/>
      <c r="C35" s="115" t="s">
        <v>97</v>
      </c>
      <c r="D35" s="116" t="n">
        <f aca="false">2.1</f>
        <v>2.1</v>
      </c>
      <c r="E35" s="114"/>
      <c r="F35" s="117" t="n">
        <f aca="false">2500*31</f>
        <v>77500</v>
      </c>
      <c r="G35" s="116" t="n">
        <v>2.06</v>
      </c>
      <c r="H35" s="116"/>
      <c r="I35" s="118" t="n">
        <f aca="false">SUM(D35-G35)*F35</f>
        <v>3100</v>
      </c>
      <c r="J35" s="119" t="n">
        <f aca="false">+I35</f>
        <v>3100</v>
      </c>
      <c r="K35" s="119"/>
    </row>
    <row r="36" customFormat="false" ht="12.75" hidden="false" customHeight="false" outlineLevel="0" collapsed="false">
      <c r="A36" s="113" t="n">
        <v>36312</v>
      </c>
      <c r="B36" s="114"/>
      <c r="C36" s="115" t="s">
        <v>97</v>
      </c>
      <c r="D36" s="116" t="n">
        <f aca="false">2.1</f>
        <v>2.1</v>
      </c>
      <c r="E36" s="114"/>
      <c r="F36" s="117" t="n">
        <f aca="false">2500*30</f>
        <v>75000</v>
      </c>
      <c r="G36" s="116" t="n">
        <v>2.07</v>
      </c>
      <c r="H36" s="116"/>
      <c r="I36" s="118" t="n">
        <f aca="false">SUM(D36-G36)*F36</f>
        <v>2250.00000000002</v>
      </c>
      <c r="J36" s="119" t="n">
        <f aca="false">+I36</f>
        <v>2250.00000000002</v>
      </c>
      <c r="K36" s="119"/>
    </row>
    <row r="37" customFormat="false" ht="12.75" hidden="false" customHeight="false" outlineLevel="0" collapsed="false">
      <c r="A37" s="113" t="n">
        <v>36342</v>
      </c>
      <c r="B37" s="114"/>
      <c r="C37" s="115" t="s">
        <v>97</v>
      </c>
      <c r="D37" s="116" t="n">
        <f aca="false">2.1</f>
        <v>2.1</v>
      </c>
      <c r="E37" s="114"/>
      <c r="F37" s="117" t="n">
        <f aca="false">2500*31</f>
        <v>77500</v>
      </c>
      <c r="G37" s="116" t="n">
        <v>2.11</v>
      </c>
      <c r="H37" s="116"/>
      <c r="I37" s="118" t="n">
        <f aca="false">SUM(D37-G37)*F37</f>
        <v>-774.999999999984</v>
      </c>
      <c r="J37" s="119" t="n">
        <f aca="false">+I37</f>
        <v>-774.999999999984</v>
      </c>
      <c r="K37" s="119"/>
    </row>
    <row r="38" customFormat="false" ht="12.75" hidden="false" customHeight="false" outlineLevel="0" collapsed="false">
      <c r="A38" s="113" t="n">
        <v>36373</v>
      </c>
      <c r="B38" s="114"/>
      <c r="C38" s="115" t="s">
        <v>97</v>
      </c>
      <c r="D38" s="116" t="n">
        <f aca="false">2.1</f>
        <v>2.1</v>
      </c>
      <c r="E38" s="114"/>
      <c r="F38" s="117" t="n">
        <f aca="false">2500*31</f>
        <v>77500</v>
      </c>
      <c r="G38" s="116" t="n">
        <v>2.51</v>
      </c>
      <c r="H38" s="116"/>
      <c r="I38" s="118" t="n">
        <f aca="false">SUM(D38-G38)*F38</f>
        <v>-31775</v>
      </c>
      <c r="J38" s="119" t="n">
        <f aca="false">+I38</f>
        <v>-31775</v>
      </c>
      <c r="K38" s="119"/>
    </row>
    <row r="39" customFormat="false" ht="12.75" hidden="false" customHeight="false" outlineLevel="0" collapsed="false">
      <c r="A39" s="113" t="n">
        <v>36404</v>
      </c>
      <c r="B39" s="114"/>
      <c r="C39" s="115" t="s">
        <v>97</v>
      </c>
      <c r="D39" s="116" t="n">
        <f aca="false">2.1</f>
        <v>2.1</v>
      </c>
      <c r="E39" s="114"/>
      <c r="F39" s="117" t="n">
        <f aca="false">2500*30</f>
        <v>75000</v>
      </c>
      <c r="G39" s="116" t="n">
        <v>2.36</v>
      </c>
      <c r="H39" s="116"/>
      <c r="I39" s="118" t="n">
        <f aca="false">SUM(D39-G39)*F39</f>
        <v>-19500</v>
      </c>
      <c r="J39" s="119" t="n">
        <f aca="false">+I39</f>
        <v>-19500</v>
      </c>
      <c r="K39" s="119"/>
    </row>
    <row r="40" customFormat="false" ht="12.75" hidden="false" customHeight="false" outlineLevel="0" collapsed="false">
      <c r="A40" s="113" t="n">
        <v>36434</v>
      </c>
      <c r="B40" s="114"/>
      <c r="C40" s="115" t="s">
        <v>97</v>
      </c>
      <c r="D40" s="116" t="n">
        <f aca="false">2.1</f>
        <v>2.1</v>
      </c>
      <c r="E40" s="114"/>
      <c r="F40" s="117" t="n">
        <f aca="false">2500*31</f>
        <v>77500</v>
      </c>
      <c r="G40" s="116" t="n">
        <v>2.62</v>
      </c>
      <c r="H40" s="116"/>
      <c r="I40" s="118" t="n">
        <f aca="false">SUM(D40-G40)*F40</f>
        <v>-40300</v>
      </c>
      <c r="J40" s="119" t="n">
        <f aca="false">+I40</f>
        <v>-40300</v>
      </c>
      <c r="K40" s="119"/>
    </row>
    <row r="41" customFormat="false" ht="12.75" hidden="false" customHeight="false" outlineLevel="0" collapsed="false">
      <c r="A41" s="113" t="n">
        <v>36465</v>
      </c>
      <c r="B41" s="114"/>
      <c r="C41" s="115" t="s">
        <v>97</v>
      </c>
      <c r="D41" s="116" t="n">
        <f aca="false">2.1</f>
        <v>2.1</v>
      </c>
      <c r="E41" s="114"/>
      <c r="F41" s="117" t="n">
        <f aca="false">2500*30</f>
        <v>75000</v>
      </c>
      <c r="G41" s="116" t="n">
        <v>2.17</v>
      </c>
      <c r="H41" s="116"/>
      <c r="I41" s="118" t="n">
        <f aca="false">SUM(D41-G41)*F41</f>
        <v>-5249.99999999999</v>
      </c>
      <c r="J41" s="119" t="n">
        <f aca="false">+I41</f>
        <v>-5249.99999999999</v>
      </c>
      <c r="K41" s="119"/>
    </row>
    <row r="42" customFormat="false" ht="12.75" hidden="false" customHeight="false" outlineLevel="0" collapsed="false">
      <c r="A42" s="113" t="n">
        <v>36495</v>
      </c>
      <c r="B42" s="114"/>
      <c r="C42" s="115" t="s">
        <v>97</v>
      </c>
      <c r="D42" s="116" t="n">
        <f aca="false">2.1</f>
        <v>2.1</v>
      </c>
      <c r="E42" s="114"/>
      <c r="F42" s="117" t="n">
        <f aca="false">2500*31</f>
        <v>77500</v>
      </c>
      <c r="G42" s="116" t="n">
        <v>2.24</v>
      </c>
      <c r="H42" s="116"/>
      <c r="I42" s="118" t="n">
        <f aca="false">SUM(D42-G42)*F42</f>
        <v>-10850</v>
      </c>
      <c r="J42" s="119" t="n">
        <f aca="false">+I42</f>
        <v>-10850</v>
      </c>
      <c r="K42" s="119"/>
    </row>
    <row r="43" customFormat="false" ht="12.75" hidden="false" customHeight="false" outlineLevel="0" collapsed="false">
      <c r="A43" s="114"/>
      <c r="B43" s="114"/>
      <c r="C43" s="114"/>
      <c r="D43" s="114"/>
      <c r="E43" s="114"/>
      <c r="F43" s="121" t="n">
        <f aca="false">SUM(F28:F42)</f>
        <v>1142500</v>
      </c>
      <c r="G43" s="114"/>
      <c r="H43" s="114"/>
      <c r="I43" s="130" t="n">
        <f aca="false">SUM(I28:I42)</f>
        <v>70950.0000000001</v>
      </c>
      <c r="J43" s="130" t="n">
        <f aca="false">SUM(J28:J42)</f>
        <v>70950.0000000001</v>
      </c>
      <c r="K43" s="130" t="n">
        <f aca="false">SUM(K28:K42)</f>
        <v>0</v>
      </c>
    </row>
    <row r="44" customFormat="false" ht="12.75" hidden="false" customHeight="false" outlineLevel="0" collapsed="false">
      <c r="A44" s="114"/>
      <c r="B44" s="114"/>
      <c r="C44" s="114"/>
      <c r="D44" s="114"/>
      <c r="E44" s="114"/>
      <c r="F44" s="114"/>
      <c r="G44" s="114"/>
      <c r="H44" s="114"/>
      <c r="I44" s="114"/>
      <c r="J44" s="120"/>
      <c r="K44" s="120"/>
    </row>
    <row r="45" customFormat="false" ht="13.5" hidden="false" customHeight="false" outlineLevel="0" collapsed="false">
      <c r="A45" s="114"/>
      <c r="B45" s="114"/>
      <c r="C45" s="114"/>
      <c r="D45" s="114"/>
      <c r="E45" s="114"/>
      <c r="F45" s="131" t="n">
        <f aca="false">+F43+F24</f>
        <v>0</v>
      </c>
      <c r="G45" s="114"/>
      <c r="H45" s="114"/>
      <c r="I45" s="132" t="n">
        <f aca="false">+I43+I24</f>
        <v>59825</v>
      </c>
      <c r="J45" s="132" t="n">
        <f aca="false">+J43+J24</f>
        <v>59825</v>
      </c>
      <c r="K45" s="132" t="n">
        <f aca="false">+K43+K24</f>
        <v>0</v>
      </c>
    </row>
    <row r="46" customFormat="false" ht="13.5" hidden="false" customHeight="false" outlineLevel="0" collapsed="false">
      <c r="A46" s="133"/>
      <c r="B46" s="133"/>
      <c r="C46" s="133"/>
      <c r="D46" s="133"/>
      <c r="E46" s="133"/>
      <c r="F46" s="133"/>
      <c r="G46" s="133"/>
      <c r="H46" s="133"/>
      <c r="I46" s="133"/>
      <c r="J46" s="134"/>
      <c r="K46" s="134"/>
    </row>
    <row r="48" customFormat="false" ht="12.75" hidden="false" customHeight="false" outlineLevel="0" collapsed="false">
      <c r="A48" s="98" t="s">
        <v>98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17" activeCellId="0" sqref="F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134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99" t="s">
        <v>131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36281</v>
      </c>
      <c r="B9" s="114"/>
      <c r="C9" s="115" t="s">
        <v>43</v>
      </c>
      <c r="D9" s="116" t="n">
        <v>2.01</v>
      </c>
      <c r="E9" s="114"/>
      <c r="F9" s="117" t="n">
        <f aca="false">-10000*31</f>
        <v>-310000</v>
      </c>
      <c r="G9" s="116" t="n">
        <v>2.16</v>
      </c>
      <c r="H9" s="116"/>
      <c r="I9" s="118" t="n">
        <f aca="false">SUM(D9-G9)*F9</f>
        <v>46500.0000000001</v>
      </c>
      <c r="J9" s="119" t="n">
        <f aca="false">+I9</f>
        <v>46500.0000000001</v>
      </c>
      <c r="K9" s="119"/>
    </row>
    <row r="10" customFormat="false" ht="12.75" hidden="false" customHeight="false" outlineLevel="0" collapsed="false">
      <c r="A10" s="113" t="n">
        <v>36312</v>
      </c>
      <c r="B10" s="114"/>
      <c r="C10" s="115" t="s">
        <v>43</v>
      </c>
      <c r="D10" s="116" t="n">
        <v>2.01</v>
      </c>
      <c r="E10" s="114"/>
      <c r="F10" s="117" t="n">
        <f aca="false">-10000*30</f>
        <v>-300000</v>
      </c>
      <c r="G10" s="116" t="n">
        <v>2.08</v>
      </c>
      <c r="H10" s="116"/>
      <c r="I10" s="118" t="n">
        <f aca="false">SUM(D10-G10)*F10</f>
        <v>21000.0000000001</v>
      </c>
      <c r="J10" s="119" t="n">
        <f aca="false">+I10</f>
        <v>21000.0000000001</v>
      </c>
      <c r="K10" s="119"/>
    </row>
    <row r="11" customFormat="false" ht="12.75" hidden="false" customHeight="false" outlineLevel="0" collapsed="false">
      <c r="A11" s="113" t="n">
        <v>36342</v>
      </c>
      <c r="B11" s="114"/>
      <c r="C11" s="115" t="s">
        <v>43</v>
      </c>
      <c r="D11" s="116" t="n">
        <v>2.01</v>
      </c>
      <c r="E11" s="114"/>
      <c r="F11" s="117" t="n">
        <f aca="false">-10000*31</f>
        <v>-310000</v>
      </c>
      <c r="G11" s="116" t="n">
        <v>2.17</v>
      </c>
      <c r="H11" s="116"/>
      <c r="I11" s="118" t="n">
        <f aca="false">SUM(D11-G11)*F11</f>
        <v>49600</v>
      </c>
      <c r="J11" s="119" t="n">
        <f aca="false">+I11</f>
        <v>49600</v>
      </c>
      <c r="K11" s="119"/>
    </row>
    <row r="12" customFormat="false" ht="12.75" hidden="false" customHeight="false" outlineLevel="0" collapsed="false">
      <c r="A12" s="113" t="n">
        <v>36373</v>
      </c>
      <c r="B12" s="114"/>
      <c r="C12" s="115" t="s">
        <v>43</v>
      </c>
      <c r="D12" s="116" t="n">
        <v>2.01</v>
      </c>
      <c r="E12" s="114"/>
      <c r="F12" s="117" t="n">
        <f aca="false">-10000*31</f>
        <v>-310000</v>
      </c>
      <c r="G12" s="116" t="n">
        <v>2.46</v>
      </c>
      <c r="H12" s="116"/>
      <c r="I12" s="118" t="n">
        <f aca="false">SUM(D12-G12)*F12</f>
        <v>139500</v>
      </c>
      <c r="J12" s="119" t="n">
        <f aca="false">+I12</f>
        <v>139500</v>
      </c>
      <c r="K12" s="119"/>
    </row>
    <row r="13" customFormat="false" ht="12.75" hidden="false" customHeight="false" outlineLevel="0" collapsed="false">
      <c r="A13" s="113" t="n">
        <v>36404</v>
      </c>
      <c r="B13" s="114"/>
      <c r="C13" s="115" t="s">
        <v>43</v>
      </c>
      <c r="D13" s="116" t="n">
        <v>2.01</v>
      </c>
      <c r="E13" s="114"/>
      <c r="F13" s="117" t="n">
        <f aca="false">-10000*30</f>
        <v>-300000</v>
      </c>
      <c r="G13" s="116" t="n">
        <v>2.78</v>
      </c>
      <c r="H13" s="116"/>
      <c r="I13" s="118" t="n">
        <f aca="false">SUM(D13-G13)*F13</f>
        <v>231000</v>
      </c>
      <c r="J13" s="119" t="n">
        <f aca="false">+I13</f>
        <v>231000</v>
      </c>
      <c r="K13" s="119"/>
    </row>
    <row r="14" customFormat="false" ht="12.75" hidden="false" customHeight="false" outlineLevel="0" collapsed="false">
      <c r="A14" s="113" t="n">
        <v>36434</v>
      </c>
      <c r="B14" s="114"/>
      <c r="C14" s="115" t="s">
        <v>43</v>
      </c>
      <c r="D14" s="116" t="n">
        <v>2.01</v>
      </c>
      <c r="E14" s="114"/>
      <c r="F14" s="117" t="n">
        <f aca="false">-10000*31</f>
        <v>-310000</v>
      </c>
      <c r="G14" s="116" t="n">
        <v>2.42</v>
      </c>
      <c r="H14" s="116"/>
      <c r="I14" s="118" t="n">
        <f aca="false">SUM(D14-G14)*F14</f>
        <v>127100</v>
      </c>
      <c r="J14" s="119" t="n">
        <f aca="false">+I14</f>
        <v>127100</v>
      </c>
      <c r="K14" s="119"/>
    </row>
    <row r="15" customFormat="false" ht="12.75" hidden="false" customHeight="false" outlineLevel="0" collapsed="false">
      <c r="A15" s="113" t="n">
        <v>36465</v>
      </c>
      <c r="B15" s="114"/>
      <c r="C15" s="115" t="s">
        <v>43</v>
      </c>
      <c r="D15" s="116" t="n">
        <v>2.01</v>
      </c>
      <c r="E15" s="114"/>
      <c r="F15" s="117" t="n">
        <f aca="false">-10000*30</f>
        <v>-300000</v>
      </c>
      <c r="G15" s="116" t="n">
        <v>2.87</v>
      </c>
      <c r="H15" s="116"/>
      <c r="I15" s="118" t="n">
        <f aca="false">SUM(D15-G15)*F15</f>
        <v>258000</v>
      </c>
      <c r="J15" s="119" t="n">
        <f aca="false">+I15</f>
        <v>258000</v>
      </c>
      <c r="K15" s="119"/>
    </row>
    <row r="16" customFormat="false" ht="12.75" hidden="false" customHeight="false" outlineLevel="0" collapsed="false">
      <c r="A16" s="113" t="n">
        <v>36495</v>
      </c>
      <c r="B16" s="114"/>
      <c r="C16" s="115" t="s">
        <v>43</v>
      </c>
      <c r="D16" s="116" t="n">
        <v>2.01</v>
      </c>
      <c r="E16" s="114"/>
      <c r="F16" s="117" t="n">
        <f aca="false">-10000*31</f>
        <v>-310000</v>
      </c>
      <c r="G16" s="116" t="n">
        <v>2.08</v>
      </c>
      <c r="H16" s="116"/>
      <c r="I16" s="118" t="n">
        <f aca="false">SUM(D16-G16)*F16</f>
        <v>21700.0000000001</v>
      </c>
      <c r="J16" s="119" t="n">
        <f aca="false">+I16</f>
        <v>21700.0000000001</v>
      </c>
      <c r="K16" s="119"/>
    </row>
    <row r="17" customFormat="false" ht="12.75" hidden="false" customHeight="false" outlineLevel="0" collapsed="false">
      <c r="A17" s="114"/>
      <c r="B17" s="114"/>
      <c r="C17" s="114"/>
      <c r="D17" s="114"/>
      <c r="E17" s="114"/>
      <c r="F17" s="121" t="n">
        <f aca="false">SUM(F9:F16)</f>
        <v>-2450000</v>
      </c>
      <c r="G17" s="114"/>
      <c r="H17" s="114"/>
      <c r="I17" s="122" t="n">
        <f aca="false">SUM(I9:I16)</f>
        <v>894400.000000001</v>
      </c>
      <c r="J17" s="122" t="n">
        <f aca="false">SUM(J9:J16)</f>
        <v>894400.000000001</v>
      </c>
      <c r="K17" s="122" t="n">
        <f aca="false">SUM(K9:K16)</f>
        <v>0</v>
      </c>
    </row>
    <row r="18" customFormat="false" ht="12.75" hidden="false" customHeight="false" outlineLevel="0" collapsed="false">
      <c r="A18" s="114"/>
      <c r="B18" s="114"/>
      <c r="C18" s="114"/>
      <c r="D18" s="114"/>
      <c r="E18" s="114"/>
      <c r="F18" s="123"/>
      <c r="G18" s="114"/>
      <c r="H18" s="114"/>
      <c r="I18" s="124"/>
      <c r="J18" s="125"/>
      <c r="K18" s="125"/>
    </row>
    <row r="19" customFormat="false" ht="12.75" hidden="false" customHeight="false" outlineLevel="0" collapsed="false">
      <c r="A19" s="114"/>
      <c r="B19" s="114"/>
      <c r="C19" s="114"/>
      <c r="D19" s="114"/>
      <c r="E19" s="114"/>
      <c r="F19" s="114"/>
      <c r="G19" s="126" t="s">
        <v>96</v>
      </c>
      <c r="H19" s="127"/>
      <c r="I19" s="114"/>
      <c r="J19" s="120"/>
      <c r="K19" s="120"/>
    </row>
    <row r="20" customFormat="false" ht="12.75" hidden="false" customHeight="false" outlineLevel="0" collapsed="false">
      <c r="A20" s="114"/>
      <c r="B20" s="114"/>
      <c r="C20" s="114"/>
      <c r="D20" s="116"/>
      <c r="E20" s="114"/>
      <c r="F20" s="114"/>
      <c r="G20" s="128"/>
      <c r="H20" s="127"/>
      <c r="I20" s="114"/>
      <c r="J20" s="120"/>
      <c r="K20" s="120"/>
    </row>
    <row r="21" customFormat="false" ht="12.75" hidden="false" customHeight="false" outlineLevel="0" collapsed="false">
      <c r="A21" s="113" t="n">
        <v>36281</v>
      </c>
      <c r="B21" s="114"/>
      <c r="C21" s="115" t="s">
        <v>97</v>
      </c>
      <c r="D21" s="116" t="n">
        <v>2.01</v>
      </c>
      <c r="E21" s="114"/>
      <c r="F21" s="117" t="n">
        <f aca="false">10000*31</f>
        <v>310000</v>
      </c>
      <c r="G21" s="116" t="n">
        <v>2.06</v>
      </c>
      <c r="H21" s="116"/>
      <c r="I21" s="118" t="n">
        <f aca="false">SUM(D21-G21)*F21</f>
        <v>-15500.0000000001</v>
      </c>
      <c r="J21" s="119" t="n">
        <f aca="false">+I21</f>
        <v>-15500.0000000001</v>
      </c>
      <c r="K21" s="119"/>
    </row>
    <row r="22" customFormat="false" ht="12.75" hidden="false" customHeight="false" outlineLevel="0" collapsed="false">
      <c r="A22" s="113" t="n">
        <v>36312</v>
      </c>
      <c r="B22" s="114"/>
      <c r="C22" s="115" t="s">
        <v>97</v>
      </c>
      <c r="D22" s="116" t="n">
        <v>2.01</v>
      </c>
      <c r="E22" s="114"/>
      <c r="F22" s="117" t="n">
        <f aca="false">10000*30</f>
        <v>300000</v>
      </c>
      <c r="G22" s="116" t="n">
        <v>2.07</v>
      </c>
      <c r="H22" s="116"/>
      <c r="I22" s="118" t="n">
        <f aca="false">SUM(D22-G22)*F22</f>
        <v>-18000</v>
      </c>
      <c r="J22" s="119" t="n">
        <f aca="false">+I22</f>
        <v>-18000</v>
      </c>
      <c r="K22" s="119"/>
    </row>
    <row r="23" customFormat="false" ht="12.75" hidden="false" customHeight="false" outlineLevel="0" collapsed="false">
      <c r="A23" s="113" t="n">
        <v>36342</v>
      </c>
      <c r="B23" s="114"/>
      <c r="C23" s="115" t="s">
        <v>97</v>
      </c>
      <c r="D23" s="116" t="n">
        <v>2.01</v>
      </c>
      <c r="E23" s="114"/>
      <c r="F23" s="117" t="n">
        <f aca="false">10000*31</f>
        <v>310000</v>
      </c>
      <c r="G23" s="116" t="n">
        <v>2.11</v>
      </c>
      <c r="H23" s="116"/>
      <c r="I23" s="118" t="n">
        <f aca="false">SUM(D23-G23)*F23</f>
        <v>-31000</v>
      </c>
      <c r="J23" s="119" t="n">
        <f aca="false">+I23</f>
        <v>-31000</v>
      </c>
      <c r="K23" s="119"/>
    </row>
    <row r="24" customFormat="false" ht="12.75" hidden="false" customHeight="false" outlineLevel="0" collapsed="false">
      <c r="A24" s="113" t="n">
        <v>36373</v>
      </c>
      <c r="B24" s="114"/>
      <c r="C24" s="115" t="s">
        <v>97</v>
      </c>
      <c r="D24" s="116" t="n">
        <v>2.01</v>
      </c>
      <c r="E24" s="114"/>
      <c r="F24" s="117" t="n">
        <f aca="false">10000*31</f>
        <v>310000</v>
      </c>
      <c r="G24" s="116" t="n">
        <v>2.51</v>
      </c>
      <c r="H24" s="116"/>
      <c r="I24" s="118" t="n">
        <f aca="false">SUM(D24-G24)*F24</f>
        <v>-155000</v>
      </c>
      <c r="J24" s="119" t="n">
        <f aca="false">+I24</f>
        <v>-155000</v>
      </c>
      <c r="K24" s="119"/>
    </row>
    <row r="25" customFormat="false" ht="12.75" hidden="false" customHeight="false" outlineLevel="0" collapsed="false">
      <c r="A25" s="113" t="n">
        <v>36404</v>
      </c>
      <c r="B25" s="114"/>
      <c r="C25" s="115" t="s">
        <v>97</v>
      </c>
      <c r="D25" s="116" t="n">
        <v>2.01</v>
      </c>
      <c r="E25" s="114"/>
      <c r="F25" s="117" t="n">
        <f aca="false">10000*30</f>
        <v>300000</v>
      </c>
      <c r="G25" s="116" t="n">
        <v>2.36</v>
      </c>
      <c r="H25" s="116"/>
      <c r="I25" s="118" t="n">
        <f aca="false">SUM(D25-G25)*F25</f>
        <v>-105000</v>
      </c>
      <c r="J25" s="119" t="n">
        <f aca="false">+I25</f>
        <v>-105000</v>
      </c>
      <c r="K25" s="119"/>
    </row>
    <row r="26" customFormat="false" ht="12.75" hidden="false" customHeight="false" outlineLevel="0" collapsed="false">
      <c r="A26" s="113" t="n">
        <v>36434</v>
      </c>
      <c r="B26" s="114"/>
      <c r="C26" s="115" t="s">
        <v>97</v>
      </c>
      <c r="D26" s="116" t="n">
        <v>2.01</v>
      </c>
      <c r="E26" s="114"/>
      <c r="F26" s="117" t="n">
        <f aca="false">10000*31</f>
        <v>310000</v>
      </c>
      <c r="G26" s="116" t="n">
        <v>2.62</v>
      </c>
      <c r="H26" s="116"/>
      <c r="I26" s="118" t="n">
        <f aca="false">SUM(D26-G26)*F26</f>
        <v>-189100</v>
      </c>
      <c r="J26" s="119" t="n">
        <f aca="false">+I26</f>
        <v>-189100</v>
      </c>
      <c r="K26" s="119"/>
    </row>
    <row r="27" customFormat="false" ht="12.75" hidden="false" customHeight="false" outlineLevel="0" collapsed="false">
      <c r="A27" s="113" t="n">
        <v>36465</v>
      </c>
      <c r="B27" s="114"/>
      <c r="C27" s="115" t="s">
        <v>97</v>
      </c>
      <c r="D27" s="116" t="n">
        <v>2.01</v>
      </c>
      <c r="E27" s="114"/>
      <c r="F27" s="117" t="n">
        <f aca="false">10000*30</f>
        <v>300000</v>
      </c>
      <c r="G27" s="116" t="n">
        <v>2.17</v>
      </c>
      <c r="H27" s="116"/>
      <c r="I27" s="118" t="n">
        <f aca="false">SUM(D27-G27)*F27</f>
        <v>-48000</v>
      </c>
      <c r="J27" s="119" t="n">
        <f aca="false">+I27</f>
        <v>-48000</v>
      </c>
      <c r="K27" s="119"/>
    </row>
    <row r="28" customFormat="false" ht="12.75" hidden="false" customHeight="false" outlineLevel="0" collapsed="false">
      <c r="A28" s="113" t="n">
        <v>36495</v>
      </c>
      <c r="B28" s="114"/>
      <c r="C28" s="115" t="s">
        <v>97</v>
      </c>
      <c r="D28" s="116" t="n">
        <v>2.01</v>
      </c>
      <c r="E28" s="114"/>
      <c r="F28" s="117" t="n">
        <f aca="false">10000*31</f>
        <v>310000</v>
      </c>
      <c r="G28" s="116" t="n">
        <v>2.24</v>
      </c>
      <c r="H28" s="116"/>
      <c r="I28" s="118" t="n">
        <f aca="false">SUM(D28-G28)*F28</f>
        <v>-71300.0000000001</v>
      </c>
      <c r="J28" s="119" t="n">
        <f aca="false">+I28</f>
        <v>-71300.0000000001</v>
      </c>
      <c r="K28" s="119"/>
    </row>
    <row r="29" customFormat="false" ht="12.75" hidden="false" customHeight="false" outlineLevel="0" collapsed="false">
      <c r="A29" s="114"/>
      <c r="B29" s="114"/>
      <c r="C29" s="114"/>
      <c r="D29" s="114"/>
      <c r="E29" s="114"/>
      <c r="F29" s="121" t="n">
        <f aca="false">SUM(F21:F28)</f>
        <v>2450000</v>
      </c>
      <c r="G29" s="114"/>
      <c r="H29" s="114"/>
      <c r="I29" s="130" t="n">
        <f aca="false">SUM(I21:I28)</f>
        <v>-632900</v>
      </c>
      <c r="J29" s="130" t="n">
        <f aca="false">SUM(J21:J28)</f>
        <v>-632900</v>
      </c>
      <c r="K29" s="130" t="n">
        <f aca="false">SUM(K21:K28)</f>
        <v>0</v>
      </c>
    </row>
    <row r="30" customFormat="false" ht="12.75" hidden="false" customHeight="false" outlineLevel="0" collapsed="false">
      <c r="A30" s="114"/>
      <c r="B30" s="114"/>
      <c r="C30" s="114"/>
      <c r="D30" s="114"/>
      <c r="E30" s="114"/>
      <c r="F30" s="114"/>
      <c r="G30" s="114"/>
      <c r="H30" s="114"/>
      <c r="I30" s="114"/>
      <c r="J30" s="120"/>
      <c r="K30" s="120"/>
    </row>
    <row r="31" customFormat="false" ht="13.5" hidden="false" customHeight="false" outlineLevel="0" collapsed="false">
      <c r="A31" s="114"/>
      <c r="B31" s="114"/>
      <c r="C31" s="114"/>
      <c r="D31" s="114"/>
      <c r="E31" s="114"/>
      <c r="F31" s="131" t="n">
        <f aca="false">+F29+F17</f>
        <v>0</v>
      </c>
      <c r="G31" s="114"/>
      <c r="H31" s="114"/>
      <c r="I31" s="132" t="n">
        <f aca="false">+I29+I17</f>
        <v>261500</v>
      </c>
      <c r="J31" s="132" t="n">
        <f aca="false">+J29+J17</f>
        <v>261500</v>
      </c>
      <c r="K31" s="132" t="n">
        <f aca="false">+K29+K17</f>
        <v>0</v>
      </c>
    </row>
    <row r="32" customFormat="false" ht="13.5" hidden="false" customHeight="false" outlineLevel="0" collapsed="false">
      <c r="A32" s="133"/>
      <c r="B32" s="133"/>
      <c r="C32" s="133"/>
      <c r="D32" s="133"/>
      <c r="E32" s="133"/>
      <c r="F32" s="133"/>
      <c r="G32" s="133"/>
      <c r="H32" s="133"/>
      <c r="I32" s="133"/>
      <c r="J32" s="134"/>
      <c r="K32" s="134"/>
    </row>
    <row r="34" customFormat="false" ht="12.75" hidden="false" customHeight="false" outlineLevel="0" collapsed="false">
      <c r="A34" s="98" t="s">
        <v>98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11" min="9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88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36526</v>
      </c>
      <c r="B9" s="114"/>
      <c r="C9" s="115" t="s">
        <v>48</v>
      </c>
      <c r="D9" s="116" t="n">
        <v>2.365</v>
      </c>
      <c r="E9" s="114"/>
      <c r="F9" s="117" t="n">
        <f aca="false">-15000*31</f>
        <v>-465000</v>
      </c>
      <c r="G9" s="116" t="n">
        <v>2.19</v>
      </c>
      <c r="H9" s="116"/>
      <c r="I9" s="118" t="n">
        <f aca="false">(+D9-G9)*F9</f>
        <v>-81375.0000000001</v>
      </c>
      <c r="J9" s="119" t="n">
        <f aca="false">+I9</f>
        <v>-81375.0000000001</v>
      </c>
      <c r="K9" s="119"/>
    </row>
    <row r="10" customFormat="false" ht="12.75" hidden="false" customHeight="false" outlineLevel="0" collapsed="false">
      <c r="A10" s="113" t="n">
        <v>36557</v>
      </c>
      <c r="B10" s="114"/>
      <c r="C10" s="115" t="s">
        <v>48</v>
      </c>
      <c r="D10" s="116" t="n">
        <v>2.365</v>
      </c>
      <c r="E10" s="114"/>
      <c r="F10" s="117" t="n">
        <f aca="false">-15000*29</f>
        <v>-435000</v>
      </c>
      <c r="G10" s="116" t="n">
        <v>2.41</v>
      </c>
      <c r="H10" s="116"/>
      <c r="I10" s="118" t="n">
        <f aca="false">(+D10-G10)*F10</f>
        <v>19575</v>
      </c>
      <c r="J10" s="119" t="n">
        <f aca="false">+I10</f>
        <v>19575</v>
      </c>
      <c r="K10" s="119"/>
    </row>
    <row r="11" customFormat="false" ht="12.75" hidden="false" customHeight="false" outlineLevel="0" collapsed="false">
      <c r="A11" s="113" t="n">
        <v>36586</v>
      </c>
      <c r="B11" s="114"/>
      <c r="C11" s="115" t="s">
        <v>48</v>
      </c>
      <c r="D11" s="116" t="n">
        <v>2.365</v>
      </c>
      <c r="E11" s="114"/>
      <c r="F11" s="117" t="n">
        <f aca="false">-15000*31</f>
        <v>-465000</v>
      </c>
      <c r="G11" s="116" t="n">
        <v>2.41</v>
      </c>
      <c r="H11" s="116"/>
      <c r="I11" s="118" t="n">
        <f aca="false">(+D11-G11)*F11</f>
        <v>20925</v>
      </c>
      <c r="J11" s="119" t="n">
        <f aca="false">+I11</f>
        <v>20925</v>
      </c>
      <c r="K11" s="119"/>
    </row>
    <row r="12" customFormat="false" ht="12.75" hidden="false" customHeight="false" outlineLevel="0" collapsed="false">
      <c r="A12" s="113" t="n">
        <v>36617</v>
      </c>
      <c r="B12" s="114"/>
      <c r="C12" s="115" t="s">
        <v>48</v>
      </c>
      <c r="D12" s="116" t="n">
        <v>2.365</v>
      </c>
      <c r="E12" s="114"/>
      <c r="F12" s="117" t="n">
        <f aca="false">-15000*30</f>
        <v>-450000</v>
      </c>
      <c r="G12" s="116" t="n">
        <v>2.79</v>
      </c>
      <c r="H12" s="116"/>
      <c r="I12" s="118" t="n">
        <f aca="false">(+D12-G12)*F12</f>
        <v>191250</v>
      </c>
      <c r="J12" s="119" t="n">
        <f aca="false">+I12</f>
        <v>191250</v>
      </c>
      <c r="K12" s="119"/>
    </row>
    <row r="13" customFormat="false" ht="12.75" hidden="false" customHeight="false" outlineLevel="0" collapsed="false">
      <c r="A13" s="113" t="n">
        <v>36647</v>
      </c>
      <c r="B13" s="114"/>
      <c r="C13" s="115" t="s">
        <v>48</v>
      </c>
      <c r="D13" s="116" t="n">
        <v>2.365</v>
      </c>
      <c r="E13" s="114"/>
      <c r="F13" s="117" t="n">
        <f aca="false">-15000*31</f>
        <v>-465000</v>
      </c>
      <c r="G13" s="116" t="n">
        <v>2.87</v>
      </c>
      <c r="H13" s="116"/>
      <c r="I13" s="118" t="n">
        <f aca="false">(+D13-G13)*F13</f>
        <v>234825</v>
      </c>
      <c r="J13" s="119" t="n">
        <f aca="false">+I13</f>
        <v>234825</v>
      </c>
      <c r="K13" s="119"/>
    </row>
    <row r="14" customFormat="false" ht="12.75" hidden="false" customHeight="false" outlineLevel="0" collapsed="false">
      <c r="A14" s="113" t="n">
        <v>36678</v>
      </c>
      <c r="B14" s="114"/>
      <c r="C14" s="115" t="s">
        <v>48</v>
      </c>
      <c r="D14" s="116" t="n">
        <v>2.365</v>
      </c>
      <c r="E14" s="114"/>
      <c r="F14" s="117" t="n">
        <f aca="false">-15000*30</f>
        <v>-450000</v>
      </c>
      <c r="G14" s="116" t="n">
        <v>4.1</v>
      </c>
      <c r="H14" s="116"/>
      <c r="I14" s="118" t="n">
        <f aca="false">(+D14-G14)*F14</f>
        <v>780750</v>
      </c>
      <c r="J14" s="119" t="n">
        <f aca="false">+I14</f>
        <v>780750</v>
      </c>
      <c r="K14" s="119"/>
    </row>
    <row r="15" customFormat="false" ht="12.75" hidden="false" customHeight="false" outlineLevel="0" collapsed="false">
      <c r="A15" s="113" t="n">
        <v>36708</v>
      </c>
      <c r="B15" s="114"/>
      <c r="C15" s="115" t="s">
        <v>48</v>
      </c>
      <c r="D15" s="116" t="n">
        <v>2.365</v>
      </c>
      <c r="E15" s="114"/>
      <c r="F15" s="117" t="n">
        <f aca="false">-15000*31</f>
        <v>-465000</v>
      </c>
      <c r="G15" s="116" t="n">
        <v>4.35</v>
      </c>
      <c r="H15" s="116"/>
      <c r="I15" s="118" t="n">
        <f aca="false">(+D15-G15)*F15</f>
        <v>923025</v>
      </c>
      <c r="J15" s="119" t="n">
        <f aca="false">+I15</f>
        <v>923025</v>
      </c>
      <c r="K15" s="119"/>
    </row>
    <row r="16" customFormat="false" ht="12.75" hidden="false" customHeight="false" outlineLevel="0" collapsed="false">
      <c r="A16" s="113" t="n">
        <v>36739</v>
      </c>
      <c r="B16" s="114"/>
      <c r="C16" s="115" t="s">
        <v>48</v>
      </c>
      <c r="D16" s="116" t="n">
        <v>2.365</v>
      </c>
      <c r="E16" s="114"/>
      <c r="F16" s="117" t="n">
        <f aca="false">-15000*31</f>
        <v>-465000</v>
      </c>
      <c r="G16" s="116" t="n">
        <v>3.77</v>
      </c>
      <c r="H16" s="116"/>
      <c r="I16" s="118" t="n">
        <f aca="false">(+D16-G16)*F16</f>
        <v>653325</v>
      </c>
      <c r="J16" s="119" t="n">
        <f aca="false">+I16</f>
        <v>653325</v>
      </c>
      <c r="K16" s="119"/>
    </row>
    <row r="17" customFormat="false" ht="12.75" hidden="false" customHeight="false" outlineLevel="0" collapsed="false">
      <c r="A17" s="113" t="n">
        <v>36770</v>
      </c>
      <c r="B17" s="114"/>
      <c r="C17" s="115" t="s">
        <v>48</v>
      </c>
      <c r="D17" s="116" t="n">
        <v>2.365</v>
      </c>
      <c r="E17" s="114"/>
      <c r="F17" s="117" t="n">
        <f aca="false">-15000*30</f>
        <v>-450000</v>
      </c>
      <c r="G17" s="114"/>
      <c r="H17" s="116" t="n">
        <v>4.5</v>
      </c>
      <c r="I17" s="118" t="n">
        <f aca="false">SUM(D17-H17)*F17</f>
        <v>960750</v>
      </c>
      <c r="J17" s="119" t="n">
        <f aca="false">+I17</f>
        <v>960750</v>
      </c>
      <c r="K17" s="119"/>
    </row>
    <row r="18" customFormat="false" ht="12.75" hidden="false" customHeight="false" outlineLevel="0" collapsed="false">
      <c r="A18" s="113" t="n">
        <v>36800</v>
      </c>
      <c r="B18" s="114"/>
      <c r="C18" s="115" t="s">
        <v>48</v>
      </c>
      <c r="D18" s="116" t="n">
        <v>2.365</v>
      </c>
      <c r="E18" s="114"/>
      <c r="F18" s="117" t="n">
        <f aca="false">-15000*31</f>
        <v>-465000</v>
      </c>
      <c r="G18" s="114"/>
      <c r="H18" s="116" t="n">
        <f aca="false">+'[1]ELpaso SJ &amp; Prm'!$F34</f>
        <v>5.127</v>
      </c>
      <c r="I18" s="118" t="n">
        <f aca="false">SUM(D18-H18)*F18</f>
        <v>1284330</v>
      </c>
      <c r="J18" s="120"/>
      <c r="K18" s="119" t="n">
        <f aca="false">+I18</f>
        <v>1284330</v>
      </c>
    </row>
    <row r="19" customFormat="false" ht="12.75" hidden="false" customHeight="false" outlineLevel="0" collapsed="false">
      <c r="A19" s="113" t="n">
        <v>36831</v>
      </c>
      <c r="B19" s="114"/>
      <c r="C19" s="115" t="s">
        <v>48</v>
      </c>
      <c r="D19" s="116" t="n">
        <v>2.365</v>
      </c>
      <c r="E19" s="114"/>
      <c r="F19" s="117" t="n">
        <f aca="false">-15000*30</f>
        <v>-450000</v>
      </c>
      <c r="G19" s="114"/>
      <c r="H19" s="116" t="n">
        <f aca="false">+'[1]ELpaso SJ &amp; Prm'!$F35</f>
        <v>4.974</v>
      </c>
      <c r="I19" s="118" t="n">
        <f aca="false">SUM(D19-H19)*F19</f>
        <v>1174050</v>
      </c>
      <c r="J19" s="120"/>
      <c r="K19" s="119" t="n">
        <f aca="false">+I19</f>
        <v>1174050</v>
      </c>
    </row>
    <row r="20" customFormat="false" ht="12.75" hidden="false" customHeight="false" outlineLevel="0" collapsed="false">
      <c r="A20" s="113" t="n">
        <v>36861</v>
      </c>
      <c r="B20" s="114"/>
      <c r="C20" s="115" t="s">
        <v>48</v>
      </c>
      <c r="D20" s="116" t="n">
        <v>2.365</v>
      </c>
      <c r="E20" s="114"/>
      <c r="F20" s="117" t="n">
        <f aca="false">-15000*31</f>
        <v>-465000</v>
      </c>
      <c r="G20" s="114"/>
      <c r="H20" s="116" t="n">
        <f aca="false">+'[1]ELpaso SJ &amp; Prm'!$F36</f>
        <v>5.086</v>
      </c>
      <c r="I20" s="118" t="n">
        <f aca="false">SUM(D20-H20)*F20</f>
        <v>1265265</v>
      </c>
      <c r="J20" s="120"/>
      <c r="K20" s="119" t="n">
        <f aca="false">+I20</f>
        <v>1265265</v>
      </c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G21" s="114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-5490000</v>
      </c>
      <c r="G22" s="114"/>
      <c r="H22" s="114"/>
      <c r="I22" s="122" t="n">
        <f aca="false">SUM(I9:I20)</f>
        <v>7426695</v>
      </c>
      <c r="J22" s="122" t="n">
        <f aca="false">SUM(J9:J20)</f>
        <v>3703050</v>
      </c>
      <c r="K22" s="122" t="n">
        <f aca="false">SUM(K9:K20)</f>
        <v>3723645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36526</v>
      </c>
      <c r="B26" s="114"/>
      <c r="C26" s="115" t="s">
        <v>97</v>
      </c>
      <c r="D26" s="116" t="n">
        <v>2.365</v>
      </c>
      <c r="E26" s="114"/>
      <c r="F26" s="117" t="n">
        <f aca="false">15000*31</f>
        <v>465000</v>
      </c>
      <c r="G26" s="116" t="n">
        <v>2.26</v>
      </c>
      <c r="H26" s="116"/>
      <c r="I26" s="118" t="n">
        <f aca="false">(+D26-G26)*F26</f>
        <v>48825.0000000002</v>
      </c>
      <c r="J26" s="119" t="n">
        <f aca="false">+I26</f>
        <v>48825.0000000002</v>
      </c>
      <c r="K26" s="119"/>
    </row>
    <row r="27" customFormat="false" ht="12.75" hidden="false" customHeight="false" outlineLevel="0" collapsed="false">
      <c r="A27" s="113" t="n">
        <v>36557</v>
      </c>
      <c r="B27" s="114"/>
      <c r="C27" s="115" t="s">
        <v>97</v>
      </c>
      <c r="D27" s="116" t="n">
        <v>2.365</v>
      </c>
      <c r="E27" s="114"/>
      <c r="F27" s="117" t="n">
        <f aca="false">15000*29</f>
        <v>435000</v>
      </c>
      <c r="G27" s="116" t="n">
        <v>2.43</v>
      </c>
      <c r="H27" s="116"/>
      <c r="I27" s="118" t="n">
        <f aca="false">(+D27-G27)*F27</f>
        <v>-28275</v>
      </c>
      <c r="J27" s="119" t="n">
        <f aca="false">+I27</f>
        <v>-28275</v>
      </c>
      <c r="K27" s="119"/>
    </row>
    <row r="28" customFormat="false" ht="12.75" hidden="false" customHeight="false" outlineLevel="0" collapsed="false">
      <c r="A28" s="113" t="n">
        <v>36586</v>
      </c>
      <c r="B28" s="114"/>
      <c r="C28" s="115" t="s">
        <v>97</v>
      </c>
      <c r="D28" s="116" t="n">
        <v>2.365</v>
      </c>
      <c r="E28" s="114"/>
      <c r="F28" s="117" t="n">
        <f aca="false">15000*31</f>
        <v>465000</v>
      </c>
      <c r="G28" s="116" t="n">
        <v>2.64</v>
      </c>
      <c r="H28" s="116"/>
      <c r="I28" s="118" t="n">
        <f aca="false">(+D28-G28)*F28</f>
        <v>-127875</v>
      </c>
      <c r="J28" s="119" t="n">
        <f aca="false">+I28</f>
        <v>-127875</v>
      </c>
      <c r="K28" s="119"/>
    </row>
    <row r="29" customFormat="false" ht="12.75" hidden="false" customHeight="false" outlineLevel="0" collapsed="false">
      <c r="A29" s="113" t="n">
        <v>36617</v>
      </c>
      <c r="B29" s="114"/>
      <c r="C29" s="115" t="s">
        <v>97</v>
      </c>
      <c r="D29" s="116" t="n">
        <v>2.365</v>
      </c>
      <c r="E29" s="114"/>
      <c r="F29" s="117" t="n">
        <f aca="false">15000*30</f>
        <v>450000</v>
      </c>
      <c r="G29" s="116" t="n">
        <v>2.79</v>
      </c>
      <c r="H29" s="116"/>
      <c r="I29" s="118" t="n">
        <f aca="false">(+D29-G29)*F29</f>
        <v>-191250</v>
      </c>
      <c r="J29" s="119" t="n">
        <f aca="false">+I29</f>
        <v>-191250</v>
      </c>
      <c r="K29" s="119"/>
    </row>
    <row r="30" customFormat="false" ht="12.75" hidden="false" customHeight="false" outlineLevel="0" collapsed="false">
      <c r="A30" s="113" t="n">
        <v>36647</v>
      </c>
      <c r="B30" s="114"/>
      <c r="C30" s="115" t="s">
        <v>97</v>
      </c>
      <c r="D30" s="116" t="n">
        <v>2.365</v>
      </c>
      <c r="E30" s="114"/>
      <c r="F30" s="117" t="n">
        <f aca="false">15000*31</f>
        <v>465000</v>
      </c>
      <c r="G30" s="116" t="n">
        <v>3.31</v>
      </c>
      <c r="H30" s="116"/>
      <c r="I30" s="118" t="n">
        <f aca="false">(+D30-G30)*F30</f>
        <v>-439425</v>
      </c>
      <c r="J30" s="119" t="n">
        <f aca="false">+I30</f>
        <v>-439425</v>
      </c>
      <c r="K30" s="119"/>
    </row>
    <row r="31" customFormat="false" ht="12.75" hidden="false" customHeight="false" outlineLevel="0" collapsed="false">
      <c r="A31" s="113" t="n">
        <v>36678</v>
      </c>
      <c r="B31" s="114"/>
      <c r="C31" s="115" t="s">
        <v>97</v>
      </c>
      <c r="D31" s="116" t="n">
        <v>2.365</v>
      </c>
      <c r="E31" s="114"/>
      <c r="F31" s="117" t="n">
        <f aca="false">15000*30</f>
        <v>450000</v>
      </c>
      <c r="G31" s="116" t="n">
        <v>4.09</v>
      </c>
      <c r="H31" s="116"/>
      <c r="I31" s="118" t="n">
        <f aca="false">(+D31-G31)*F31</f>
        <v>-776250</v>
      </c>
      <c r="J31" s="119" t="n">
        <f aca="false">+I31</f>
        <v>-776250</v>
      </c>
      <c r="K31" s="119"/>
    </row>
    <row r="32" customFormat="false" ht="12.75" hidden="false" customHeight="false" outlineLevel="0" collapsed="false">
      <c r="A32" s="113" t="n">
        <v>36708</v>
      </c>
      <c r="B32" s="114"/>
      <c r="C32" s="115" t="s">
        <v>97</v>
      </c>
      <c r="D32" s="116" t="n">
        <v>2.365</v>
      </c>
      <c r="E32" s="114"/>
      <c r="F32" s="117" t="n">
        <f aca="false">15000*31</f>
        <v>465000</v>
      </c>
      <c r="G32" s="116" t="n">
        <v>3.85</v>
      </c>
      <c r="H32" s="116"/>
      <c r="I32" s="118" t="n">
        <f aca="false">(+D32-G32)*F32</f>
        <v>-690525</v>
      </c>
      <c r="J32" s="119" t="n">
        <f aca="false">+I32</f>
        <v>-690525</v>
      </c>
      <c r="K32" s="119"/>
    </row>
    <row r="33" customFormat="false" ht="12.75" hidden="false" customHeight="false" outlineLevel="0" collapsed="false">
      <c r="A33" s="113" t="n">
        <v>36739</v>
      </c>
      <c r="B33" s="114"/>
      <c r="C33" s="115" t="s">
        <v>97</v>
      </c>
      <c r="D33" s="116" t="n">
        <v>2.365</v>
      </c>
      <c r="E33" s="114"/>
      <c r="F33" s="117" t="n">
        <f aca="false">15000*31</f>
        <v>465000</v>
      </c>
      <c r="G33" s="116" t="n">
        <v>4</v>
      </c>
      <c r="H33" s="116"/>
      <c r="I33" s="118" t="n">
        <f aca="false">(+D33-G33)*F33</f>
        <v>-760275</v>
      </c>
      <c r="J33" s="119" t="n">
        <f aca="false">+I33</f>
        <v>-760275</v>
      </c>
      <c r="K33" s="119"/>
    </row>
    <row r="34" customFormat="false" ht="12.75" hidden="false" customHeight="false" outlineLevel="0" collapsed="false">
      <c r="A34" s="113" t="n">
        <v>36770</v>
      </c>
      <c r="B34" s="114"/>
      <c r="C34" s="115" t="s">
        <v>97</v>
      </c>
      <c r="D34" s="116" t="n">
        <v>2.365</v>
      </c>
      <c r="E34" s="114"/>
      <c r="F34" s="117" t="n">
        <f aca="false">15000*30</f>
        <v>450000</v>
      </c>
      <c r="G34" s="114"/>
      <c r="H34" s="116" t="n">
        <v>4.64</v>
      </c>
      <c r="I34" s="118" t="n">
        <f aca="false">SUM(D34-H34)*F34</f>
        <v>-1023750</v>
      </c>
      <c r="J34" s="119" t="n">
        <f aca="false">+I34</f>
        <v>-1023750</v>
      </c>
      <c r="K34" s="119"/>
    </row>
    <row r="35" customFormat="false" ht="12.75" hidden="false" customHeight="false" outlineLevel="0" collapsed="false">
      <c r="A35" s="113" t="n">
        <v>36800</v>
      </c>
      <c r="B35" s="114"/>
      <c r="C35" s="115" t="s">
        <v>97</v>
      </c>
      <c r="D35" s="116" t="n">
        <v>2.365</v>
      </c>
      <c r="E35" s="114"/>
      <c r="F35" s="117" t="n">
        <f aca="false">15000*31</f>
        <v>465000</v>
      </c>
      <c r="G35" s="114"/>
      <c r="H35" s="116" t="n">
        <f aca="false">+'[1]ELpaso SJ &amp; Prm'!$R$9</f>
        <v>4.91466666666667</v>
      </c>
      <c r="I35" s="118" t="n">
        <f aca="false">SUM(D35-H35)*F35</f>
        <v>-1185595</v>
      </c>
      <c r="J35" s="120"/>
      <c r="K35" s="119" t="n">
        <f aca="false">+I35</f>
        <v>-1185595</v>
      </c>
    </row>
    <row r="36" customFormat="false" ht="12.75" hidden="false" customHeight="false" outlineLevel="0" collapsed="false">
      <c r="A36" s="113" t="n">
        <v>36831</v>
      </c>
      <c r="B36" s="114"/>
      <c r="C36" s="115" t="s">
        <v>97</v>
      </c>
      <c r="D36" s="116" t="n">
        <v>2.365</v>
      </c>
      <c r="E36" s="114"/>
      <c r="F36" s="117" t="n">
        <f aca="false">15000*30</f>
        <v>450000</v>
      </c>
      <c r="G36" s="114"/>
      <c r="H36" s="116" t="n">
        <f aca="false">+'[1]ELpaso SJ &amp; Prm'!$R$9</f>
        <v>4.91466666666667</v>
      </c>
      <c r="I36" s="118" t="n">
        <f aca="false">SUM(D36-H36)*F36</f>
        <v>-1147350</v>
      </c>
      <c r="J36" s="120"/>
      <c r="K36" s="119" t="n">
        <f aca="false">+I36</f>
        <v>-1147350</v>
      </c>
    </row>
    <row r="37" customFormat="false" ht="12.75" hidden="false" customHeight="false" outlineLevel="0" collapsed="false">
      <c r="A37" s="113" t="n">
        <v>36861</v>
      </c>
      <c r="B37" s="114"/>
      <c r="C37" s="115" t="s">
        <v>97</v>
      </c>
      <c r="D37" s="116" t="n">
        <v>2.365</v>
      </c>
      <c r="E37" s="114"/>
      <c r="F37" s="117" t="n">
        <f aca="false">15000*31</f>
        <v>465000</v>
      </c>
      <c r="G37" s="114"/>
      <c r="H37" s="116" t="n">
        <f aca="false">+'[1]ELpaso SJ &amp; Prm'!$R$9</f>
        <v>4.91466666666667</v>
      </c>
      <c r="I37" s="118" t="n">
        <f aca="false">SUM(D37-H37)*F37</f>
        <v>-1185595</v>
      </c>
      <c r="J37" s="120"/>
      <c r="K37" s="119" t="n">
        <f aca="false">+I37</f>
        <v>-1185595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5490000</v>
      </c>
      <c r="G39" s="114"/>
      <c r="H39" s="114"/>
      <c r="I39" s="130" t="n">
        <f aca="false">SUM(I26:I38)</f>
        <v>-7507340</v>
      </c>
      <c r="J39" s="130" t="n">
        <f aca="false">SUM(J26:J38)</f>
        <v>-3988800</v>
      </c>
      <c r="K39" s="130" t="n">
        <f aca="false">SUM(K26:K38)</f>
        <v>-3518540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n">
        <f aca="false">+I39+I22</f>
        <v>-80645.0000000009</v>
      </c>
      <c r="J41" s="132" t="n">
        <f aca="false">+J39+J22</f>
        <v>-285750</v>
      </c>
      <c r="K41" s="132" t="n">
        <f aca="false">+K39+K22</f>
        <v>205105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  <row r="45" customFormat="false" ht="12.75" hidden="false" customHeight="false" outlineLevel="0" collapsed="false">
      <c r="I45" s="135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5.7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3.14"/>
    <col collapsed="false" customWidth="true" hidden="false" outlineLevel="0" max="8" min="8" style="0" width="10.71"/>
    <col collapsed="false" customWidth="true" hidden="false" outlineLevel="0" max="9" min="9" style="0" width="15.41"/>
    <col collapsed="false" customWidth="true" hidden="false" outlineLevel="0" max="10" min="10" style="0" width="13.41"/>
    <col collapsed="false" customWidth="true" hidden="false" outlineLevel="0" max="11" min="11" style="0" width="15.41"/>
  </cols>
  <sheetData>
    <row r="1" customFormat="false" ht="15" hidden="false" customHeight="false" outlineLevel="0" collapsed="false">
      <c r="A1" s="99" t="s">
        <v>99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customFormat="false" ht="12.75" hidden="false" customHeight="false" outlineLevel="0" collapsed="false">
      <c r="G5" s="137"/>
      <c r="H5" s="137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101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37408</v>
      </c>
      <c r="B9" s="114"/>
      <c r="C9" s="115" t="s">
        <v>59</v>
      </c>
      <c r="D9" s="116" t="n">
        <v>3.3</v>
      </c>
      <c r="E9" s="114"/>
      <c r="F9" s="117" t="n">
        <v>-2000000</v>
      </c>
      <c r="G9" s="116"/>
      <c r="H9" s="116" t="n">
        <f aca="false">+[1]Elpaso!$F9</f>
        <v>3.815</v>
      </c>
      <c r="I9" s="118" t="n">
        <f aca="false">(-H9+D9)*F9</f>
        <v>1030000</v>
      </c>
      <c r="J9" s="119"/>
      <c r="K9" s="119" t="n">
        <f aca="false">+I9</f>
        <v>1030000</v>
      </c>
    </row>
    <row r="10" customFormat="false" ht="12.75" hidden="false" customHeight="false" outlineLevel="0" collapsed="false">
      <c r="A10" s="113" t="n">
        <v>37438</v>
      </c>
      <c r="B10" s="114"/>
      <c r="C10" s="115" t="s">
        <v>59</v>
      </c>
      <c r="D10" s="116" t="n">
        <v>3.3</v>
      </c>
      <c r="E10" s="114"/>
      <c r="F10" s="117" t="n">
        <v>-3000000</v>
      </c>
      <c r="G10" s="116"/>
      <c r="H10" s="116" t="n">
        <f aca="false">+[1]Elpaso!$F10</f>
        <v>3.81</v>
      </c>
      <c r="I10" s="118" t="n">
        <f aca="false">(-H10+D10)*F10</f>
        <v>1530000</v>
      </c>
      <c r="J10" s="119"/>
      <c r="K10" s="119" t="n">
        <f aca="false">+I10</f>
        <v>1530000</v>
      </c>
    </row>
    <row r="11" customFormat="false" ht="12.75" hidden="false" customHeight="false" outlineLevel="0" collapsed="false">
      <c r="A11" s="113" t="n">
        <v>37469</v>
      </c>
      <c r="B11" s="114"/>
      <c r="C11" s="115" t="s">
        <v>59</v>
      </c>
      <c r="D11" s="116" t="n">
        <v>3.3</v>
      </c>
      <c r="E11" s="114"/>
      <c r="F11" s="117" t="n">
        <v>-3000000</v>
      </c>
      <c r="G11" s="114"/>
      <c r="H11" s="116" t="n">
        <f aca="false">+[1]Elpaso!$F11</f>
        <v>3.819</v>
      </c>
      <c r="I11" s="118" t="n">
        <f aca="false">(-H11+D11)*F11</f>
        <v>1557000</v>
      </c>
      <c r="J11" s="120"/>
      <c r="K11" s="119" t="n">
        <f aca="false">+I11</f>
        <v>1557000</v>
      </c>
    </row>
    <row r="12" customFormat="false" ht="12.75" hidden="false" customHeight="false" outlineLevel="0" collapsed="false">
      <c r="A12" s="113" t="n">
        <v>37500</v>
      </c>
      <c r="B12" s="114"/>
      <c r="C12" s="115" t="s">
        <v>59</v>
      </c>
      <c r="D12" s="116" t="n">
        <v>3.3</v>
      </c>
      <c r="E12" s="114"/>
      <c r="F12" s="117" t="n">
        <v>-3000000</v>
      </c>
      <c r="G12" s="114"/>
      <c r="H12" s="116" t="n">
        <f aca="false">+[1]Elpaso!$F12</f>
        <v>3.83</v>
      </c>
      <c r="I12" s="118" t="n">
        <f aca="false">(-H12+D12)*F12</f>
        <v>1590000</v>
      </c>
      <c r="J12" s="120"/>
      <c r="K12" s="119" t="n">
        <f aca="false">+I12</f>
        <v>1590000</v>
      </c>
    </row>
    <row r="13" customFormat="false" ht="12.75" hidden="false" customHeight="false" outlineLevel="0" collapsed="false">
      <c r="A13" s="113" t="n">
        <v>37530</v>
      </c>
      <c r="B13" s="114"/>
      <c r="C13" s="115" t="s">
        <v>59</v>
      </c>
      <c r="D13" s="116" t="n">
        <v>3.3</v>
      </c>
      <c r="E13" s="114"/>
      <c r="F13" s="117" t="n">
        <v>-4000000</v>
      </c>
      <c r="G13" s="114"/>
      <c r="H13" s="116" t="n">
        <f aca="false">+[1]Elpaso!$F13</f>
        <v>3.85</v>
      </c>
      <c r="I13" s="118" t="n">
        <f aca="false">(-H13+D13)*F13</f>
        <v>2200000</v>
      </c>
      <c r="J13" s="120"/>
      <c r="K13" s="119" t="n">
        <f aca="false">+I13</f>
        <v>2200000</v>
      </c>
    </row>
    <row r="14" customFormat="false" ht="12.75" hidden="false" customHeight="false" outlineLevel="0" collapsed="false">
      <c r="A14" s="113"/>
      <c r="B14" s="114"/>
      <c r="C14" s="115"/>
      <c r="D14" s="116"/>
      <c r="E14" s="114"/>
      <c r="F14" s="138"/>
      <c r="G14" s="114"/>
      <c r="H14" s="116"/>
      <c r="I14" s="139"/>
      <c r="J14" s="120"/>
      <c r="K14" s="140"/>
    </row>
    <row r="15" customFormat="false" ht="12.75" hidden="false" customHeight="false" outlineLevel="0" collapsed="false">
      <c r="A15" s="113"/>
      <c r="B15" s="114"/>
      <c r="C15" s="115"/>
      <c r="D15" s="116"/>
      <c r="E15" s="114"/>
      <c r="F15" s="117" t="n">
        <f aca="false">SUM(F9:F14)</f>
        <v>-15000000</v>
      </c>
      <c r="G15" s="114"/>
      <c r="H15" s="116"/>
      <c r="I15" s="118" t="n">
        <f aca="false">SUM(I9:I14)</f>
        <v>7907000</v>
      </c>
      <c r="J15" s="120"/>
      <c r="K15" s="118" t="n">
        <f aca="false">SUM(K9:K14)</f>
        <v>7907000</v>
      </c>
    </row>
    <row r="16" customFormat="false" ht="12.75" hidden="false" customHeight="false" outlineLevel="0" collapsed="false">
      <c r="A16" s="113"/>
      <c r="B16" s="114"/>
      <c r="C16" s="115"/>
      <c r="D16" s="116"/>
      <c r="E16" s="114"/>
      <c r="F16" s="117"/>
      <c r="G16" s="114"/>
      <c r="H16" s="116"/>
      <c r="I16" s="118"/>
      <c r="J16" s="120"/>
      <c r="K16" s="141"/>
    </row>
    <row r="17" customFormat="false" ht="12.75" hidden="false" customHeight="false" outlineLevel="0" collapsed="false">
      <c r="A17" s="113" t="n">
        <v>37408</v>
      </c>
      <c r="B17" s="114"/>
      <c r="C17" s="115" t="s">
        <v>102</v>
      </c>
      <c r="D17" s="116" t="n">
        <v>2.32</v>
      </c>
      <c r="E17" s="114"/>
      <c r="F17" s="117" t="n">
        <v>-2000000</v>
      </c>
      <c r="G17" s="114"/>
      <c r="H17" s="116" t="n">
        <f aca="false">+[1]Elpaso!$F9</f>
        <v>3.815</v>
      </c>
      <c r="I17" s="118" t="n">
        <f aca="false">(+H17-D17)*F17</f>
        <v>-2990000</v>
      </c>
      <c r="J17" s="120"/>
      <c r="K17" s="119" t="n">
        <f aca="false">+I17</f>
        <v>-2990000</v>
      </c>
    </row>
    <row r="18" customFormat="false" ht="12.75" hidden="false" customHeight="false" outlineLevel="0" collapsed="false">
      <c r="A18" s="113" t="n">
        <v>37438</v>
      </c>
      <c r="B18" s="114"/>
      <c r="C18" s="115" t="s">
        <v>102</v>
      </c>
      <c r="D18" s="116" t="n">
        <v>2.32</v>
      </c>
      <c r="E18" s="114"/>
      <c r="F18" s="117" t="n">
        <v>-3000000</v>
      </c>
      <c r="G18" s="114"/>
      <c r="H18" s="116" t="n">
        <f aca="false">+[1]Elpaso!$F10</f>
        <v>3.81</v>
      </c>
      <c r="I18" s="118" t="n">
        <f aca="false">(+H18-D18)*F18</f>
        <v>-4470000</v>
      </c>
      <c r="J18" s="120"/>
      <c r="K18" s="119" t="n">
        <f aca="false">+I18</f>
        <v>-4470000</v>
      </c>
    </row>
    <row r="19" customFormat="false" ht="12.75" hidden="false" customHeight="false" outlineLevel="0" collapsed="false">
      <c r="A19" s="113" t="n">
        <v>37469</v>
      </c>
      <c r="B19" s="114"/>
      <c r="C19" s="115" t="s">
        <v>102</v>
      </c>
      <c r="D19" s="116" t="n">
        <v>2.32</v>
      </c>
      <c r="E19" s="114"/>
      <c r="F19" s="117" t="n">
        <v>-3000000</v>
      </c>
      <c r="G19" s="114"/>
      <c r="H19" s="116" t="n">
        <f aca="false">+[1]Elpaso!$F11</f>
        <v>3.819</v>
      </c>
      <c r="I19" s="118" t="n">
        <f aca="false">(+H19-D19)*F19</f>
        <v>-4497000</v>
      </c>
      <c r="J19" s="120"/>
      <c r="K19" s="119" t="n">
        <f aca="false">+I19</f>
        <v>-4497000</v>
      </c>
    </row>
    <row r="20" customFormat="false" ht="12.75" hidden="false" customHeight="false" outlineLevel="0" collapsed="false">
      <c r="A20" s="113" t="n">
        <v>37500</v>
      </c>
      <c r="B20" s="114"/>
      <c r="C20" s="115" t="s">
        <v>102</v>
      </c>
      <c r="D20" s="116" t="n">
        <v>2.32</v>
      </c>
      <c r="E20" s="114"/>
      <c r="F20" s="117" t="n">
        <v>-3000000</v>
      </c>
      <c r="G20" s="114"/>
      <c r="H20" s="116" t="n">
        <f aca="false">+[1]Elpaso!$F12</f>
        <v>3.83</v>
      </c>
      <c r="I20" s="118" t="n">
        <f aca="false">(+H20-D20)*F20</f>
        <v>-4530000</v>
      </c>
      <c r="J20" s="120"/>
      <c r="K20" s="119" t="n">
        <f aca="false">+I20</f>
        <v>-4530000</v>
      </c>
    </row>
    <row r="21" customFormat="false" ht="12.75" hidden="false" customHeight="false" outlineLevel="0" collapsed="false">
      <c r="A21" s="113" t="n">
        <v>37530</v>
      </c>
      <c r="B21" s="114"/>
      <c r="C21" s="115" t="s">
        <v>102</v>
      </c>
      <c r="D21" s="116" t="n">
        <v>2.32</v>
      </c>
      <c r="E21" s="114"/>
      <c r="F21" s="117" t="n">
        <v>-4000000</v>
      </c>
      <c r="G21" s="114"/>
      <c r="H21" s="116" t="n">
        <f aca="false">+[1]Elpaso!$F13</f>
        <v>3.85</v>
      </c>
      <c r="I21" s="118" t="n">
        <f aca="false">(+H21-D21)*F21</f>
        <v>-6120000</v>
      </c>
      <c r="J21" s="120"/>
      <c r="K21" s="119" t="n">
        <f aca="false">+I21</f>
        <v>-6120000</v>
      </c>
    </row>
    <row r="22" customFormat="false" ht="12.75" hidden="false" customHeight="false" outlineLevel="0" collapsed="false">
      <c r="A22" s="113"/>
      <c r="B22" s="114"/>
      <c r="C22" s="115"/>
      <c r="D22" s="116"/>
      <c r="E22" s="114"/>
      <c r="F22" s="138"/>
      <c r="G22" s="114"/>
      <c r="H22" s="116"/>
      <c r="I22" s="139"/>
      <c r="J22" s="120"/>
      <c r="K22" s="140"/>
    </row>
    <row r="23" customFormat="false" ht="12.75" hidden="false" customHeight="false" outlineLevel="0" collapsed="false">
      <c r="A23" s="113"/>
      <c r="B23" s="114"/>
      <c r="C23" s="115"/>
      <c r="D23" s="116"/>
      <c r="E23" s="114"/>
      <c r="F23" s="117" t="n">
        <f aca="false">SUM(F17:F22)</f>
        <v>-15000000</v>
      </c>
      <c r="G23" s="114"/>
      <c r="H23" s="116"/>
      <c r="I23" s="118" t="n">
        <f aca="false">SUM(I17:I22)</f>
        <v>-22607000</v>
      </c>
      <c r="J23" s="120"/>
      <c r="K23" s="118" t="n">
        <f aca="false">SUM(K17:K22)</f>
        <v>-22607000</v>
      </c>
    </row>
    <row r="24" customFormat="false" ht="12.75" hidden="false" customHeight="false" outlineLevel="0" collapsed="false">
      <c r="A24" s="113"/>
      <c r="B24" s="114"/>
      <c r="C24" s="115"/>
      <c r="D24" s="116"/>
      <c r="E24" s="114"/>
      <c r="F24" s="117"/>
      <c r="G24" s="114"/>
      <c r="H24" s="116"/>
      <c r="I24" s="118"/>
      <c r="J24" s="120"/>
      <c r="K24" s="141"/>
    </row>
    <row r="25" customFormat="false" ht="13.5" hidden="false" customHeight="false" outlineLevel="0" collapsed="false">
      <c r="A25" s="113"/>
      <c r="B25" s="114"/>
      <c r="C25" s="115"/>
      <c r="D25" s="116"/>
      <c r="E25" s="114"/>
      <c r="F25" s="142"/>
      <c r="G25" s="114"/>
      <c r="H25" s="116"/>
      <c r="I25" s="143" t="n">
        <f aca="false">+I23+I15</f>
        <v>-14700000</v>
      </c>
      <c r="J25" s="120"/>
      <c r="K25" s="143" t="n">
        <f aca="false">+K23+K15</f>
        <v>-14700000</v>
      </c>
    </row>
    <row r="26" customFormat="false" ht="13.5" hidden="false" customHeight="false" outlineLevel="0" collapsed="false">
      <c r="A26" s="133"/>
      <c r="B26" s="133"/>
      <c r="C26" s="133"/>
      <c r="D26" s="133"/>
      <c r="E26" s="133"/>
      <c r="F26" s="133"/>
      <c r="G26" s="133"/>
      <c r="H26" s="133"/>
      <c r="I26" s="133"/>
      <c r="J26" s="134"/>
      <c r="K26" s="134"/>
    </row>
    <row r="28" customFormat="false" ht="12.75" hidden="false" customHeight="false" outlineLevel="0" collapsed="false">
      <c r="A28" s="98" t="s">
        <v>98</v>
      </c>
    </row>
  </sheetData>
  <mergeCells count="5">
    <mergeCell ref="A1:K1"/>
    <mergeCell ref="A2:K2"/>
    <mergeCell ref="A3:K3"/>
    <mergeCell ref="A4:K4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1655" ySplit="0" topLeftCell="J1" activePane="topLeft" state="split"/>
      <selection pane="topLeft" activeCell="A1" activeCellId="0" sqref="A1"/>
      <selection pane="topRight" activeCell="J1" activeCellId="0" sqref="J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103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36892</v>
      </c>
      <c r="B9" s="114"/>
      <c r="C9" s="115" t="s">
        <v>59</v>
      </c>
      <c r="D9" s="116" t="n">
        <v>3.23</v>
      </c>
      <c r="E9" s="114"/>
      <c r="F9" s="117" t="n">
        <f aca="false">-5000*31</f>
        <v>-155000</v>
      </c>
      <c r="G9" s="116"/>
      <c r="H9" s="116" t="n">
        <f aca="false">+'[1]ELpaso SJ &amp; Prm'!$F37</f>
        <v>5.077</v>
      </c>
      <c r="I9" s="118" t="n">
        <f aca="false">SUM(D9-H9)*F9</f>
        <v>286285</v>
      </c>
      <c r="J9" s="119"/>
      <c r="K9" s="119" t="n">
        <f aca="false">+I9</f>
        <v>286285</v>
      </c>
    </row>
    <row r="10" customFormat="false" ht="12.75" hidden="false" customHeight="false" outlineLevel="0" collapsed="false">
      <c r="A10" s="113" t="n">
        <v>36923</v>
      </c>
      <c r="B10" s="114"/>
      <c r="C10" s="115" t="s">
        <v>59</v>
      </c>
      <c r="D10" s="116" t="n">
        <v>3.23</v>
      </c>
      <c r="E10" s="114"/>
      <c r="F10" s="117" t="n">
        <f aca="false">-5000*28</f>
        <v>-140000</v>
      </c>
      <c r="G10" s="116"/>
      <c r="H10" s="116" t="n">
        <f aca="false">+'[1]ELpaso SJ &amp; Prm'!$F38</f>
        <v>4.826</v>
      </c>
      <c r="I10" s="118" t="n">
        <f aca="false">SUM(D10-H10)*F10</f>
        <v>223440</v>
      </c>
      <c r="J10" s="119"/>
      <c r="K10" s="119" t="n">
        <f aca="false">+I10</f>
        <v>223440</v>
      </c>
    </row>
    <row r="11" customFormat="false" ht="12.75" hidden="false" customHeight="false" outlineLevel="0" collapsed="false">
      <c r="A11" s="113" t="n">
        <v>36951</v>
      </c>
      <c r="B11" s="114"/>
      <c r="C11" s="115" t="s">
        <v>59</v>
      </c>
      <c r="D11" s="116" t="n">
        <v>3.23</v>
      </c>
      <c r="E11" s="114"/>
      <c r="F11" s="117" t="n">
        <f aca="false">-5000*31</f>
        <v>-155000</v>
      </c>
      <c r="G11" s="116"/>
      <c r="H11" s="116" t="n">
        <f aca="false">+'[1]ELpaso SJ &amp; Prm'!$F39</f>
        <v>4.5795</v>
      </c>
      <c r="I11" s="118" t="n">
        <f aca="false">SUM(D11-H11)*F11</f>
        <v>209172.5</v>
      </c>
      <c r="J11" s="119"/>
      <c r="K11" s="119" t="n">
        <f aca="false">+I11</f>
        <v>209172.5</v>
      </c>
    </row>
    <row r="12" customFormat="false" ht="12.75" hidden="false" customHeight="false" outlineLevel="0" collapsed="false">
      <c r="A12" s="113" t="n">
        <v>36982</v>
      </c>
      <c r="B12" s="114"/>
      <c r="C12" s="115" t="s">
        <v>59</v>
      </c>
      <c r="D12" s="116" t="n">
        <v>3.23</v>
      </c>
      <c r="E12" s="114"/>
      <c r="F12" s="117" t="n">
        <f aca="false">-5000*30</f>
        <v>-150000</v>
      </c>
      <c r="G12" s="116"/>
      <c r="H12" s="116" t="n">
        <f aca="false">+'[1]ELpaso SJ &amp; Prm'!$F40</f>
        <v>4.3525</v>
      </c>
      <c r="I12" s="118" t="n">
        <f aca="false">SUM(D12-H12)*F12</f>
        <v>168375</v>
      </c>
      <c r="J12" s="119"/>
      <c r="K12" s="119" t="n">
        <f aca="false">+I12</f>
        <v>168375</v>
      </c>
    </row>
    <row r="13" customFormat="false" ht="12.75" hidden="false" customHeight="false" outlineLevel="0" collapsed="false">
      <c r="A13" s="113" t="n">
        <v>37012</v>
      </c>
      <c r="B13" s="114"/>
      <c r="C13" s="115" t="s">
        <v>59</v>
      </c>
      <c r="D13" s="116" t="n">
        <v>3.23</v>
      </c>
      <c r="E13" s="114"/>
      <c r="F13" s="117" t="n">
        <f aca="false">-5000*31</f>
        <v>-155000</v>
      </c>
      <c r="G13" s="114"/>
      <c r="H13" s="116" t="n">
        <f aca="false">+'[1]ELpaso SJ &amp; Prm'!$F41</f>
        <v>4.2775</v>
      </c>
      <c r="I13" s="118" t="n">
        <f aca="false">SUM(D13-H13)*F13</f>
        <v>162362.5</v>
      </c>
      <c r="J13" s="120"/>
      <c r="K13" s="119" t="n">
        <f aca="false">+I13</f>
        <v>162362.5</v>
      </c>
    </row>
    <row r="14" customFormat="false" ht="12.75" hidden="false" customHeight="false" outlineLevel="0" collapsed="false">
      <c r="A14" s="113" t="n">
        <v>37043</v>
      </c>
      <c r="B14" s="114"/>
      <c r="C14" s="115" t="s">
        <v>59</v>
      </c>
      <c r="D14" s="116" t="n">
        <v>3.23</v>
      </c>
      <c r="E14" s="114"/>
      <c r="F14" s="117" t="n">
        <f aca="false">-5000*30</f>
        <v>-150000</v>
      </c>
      <c r="G14" s="114"/>
      <c r="H14" s="116" t="n">
        <f aca="false">+'[1]ELpaso SJ &amp; Prm'!$F42</f>
        <v>4.2625</v>
      </c>
      <c r="I14" s="118" t="n">
        <f aca="false">SUM(D14-H14)*F14</f>
        <v>154875</v>
      </c>
      <c r="J14" s="120"/>
      <c r="K14" s="119" t="n">
        <f aca="false">+I14</f>
        <v>154875</v>
      </c>
    </row>
    <row r="15" customFormat="false" ht="12.75" hidden="false" customHeight="false" outlineLevel="0" collapsed="false">
      <c r="A15" s="113" t="n">
        <v>37073</v>
      </c>
      <c r="B15" s="114"/>
      <c r="C15" s="115" t="s">
        <v>59</v>
      </c>
      <c r="D15" s="116" t="n">
        <v>3.23</v>
      </c>
      <c r="E15" s="114"/>
      <c r="F15" s="117" t="n">
        <f aca="false">-5000*31</f>
        <v>-155000</v>
      </c>
      <c r="G15" s="114"/>
      <c r="H15" s="116" t="n">
        <f aca="false">+'[1]ELpaso SJ &amp; Prm'!$F43</f>
        <v>4.2625</v>
      </c>
      <c r="I15" s="118" t="n">
        <f aca="false">SUM(D15-H15)*F15</f>
        <v>160037.5</v>
      </c>
      <c r="J15" s="120"/>
      <c r="K15" s="119" t="n">
        <f aca="false">+I15</f>
        <v>160037.5</v>
      </c>
    </row>
    <row r="16" customFormat="false" ht="12.75" hidden="false" customHeight="false" outlineLevel="0" collapsed="false">
      <c r="A16" s="113" t="n">
        <v>37104</v>
      </c>
      <c r="B16" s="114"/>
      <c r="C16" s="115" t="s">
        <v>59</v>
      </c>
      <c r="D16" s="116" t="n">
        <v>3.23</v>
      </c>
      <c r="E16" s="114"/>
      <c r="F16" s="117" t="n">
        <f aca="false">-5000*31</f>
        <v>-155000</v>
      </c>
      <c r="G16" s="114"/>
      <c r="H16" s="116" t="n">
        <f aca="false">+'[1]ELpaso SJ &amp; Prm'!$F44</f>
        <v>4.2625</v>
      </c>
      <c r="I16" s="118" t="n">
        <f aca="false">SUM(D16-H16)*F16</f>
        <v>160037.5</v>
      </c>
      <c r="J16" s="120"/>
      <c r="K16" s="119" t="n">
        <f aca="false">+I16</f>
        <v>160037.5</v>
      </c>
    </row>
    <row r="17" customFormat="false" ht="12.75" hidden="false" customHeight="false" outlineLevel="0" collapsed="false">
      <c r="A17" s="113" t="n">
        <v>37135</v>
      </c>
      <c r="B17" s="114"/>
      <c r="C17" s="115" t="s">
        <v>59</v>
      </c>
      <c r="D17" s="116" t="n">
        <v>3.23</v>
      </c>
      <c r="E17" s="114"/>
      <c r="F17" s="117" t="n">
        <f aca="false">-5000*30</f>
        <v>-150000</v>
      </c>
      <c r="G17" s="114"/>
      <c r="H17" s="116" t="n">
        <f aca="false">+'[1]ELpaso SJ &amp; Prm'!$F45</f>
        <v>4.2525</v>
      </c>
      <c r="I17" s="118" t="n">
        <f aca="false">SUM(D17-H17)*F17</f>
        <v>153375</v>
      </c>
      <c r="J17" s="120"/>
      <c r="K17" s="119" t="n">
        <f aca="false">+I17</f>
        <v>153375</v>
      </c>
    </row>
    <row r="18" customFormat="false" ht="12.75" hidden="false" customHeight="false" outlineLevel="0" collapsed="false">
      <c r="A18" s="113" t="n">
        <v>37165</v>
      </c>
      <c r="B18" s="114"/>
      <c r="C18" s="115" t="s">
        <v>59</v>
      </c>
      <c r="D18" s="116" t="n">
        <v>3.23</v>
      </c>
      <c r="E18" s="114"/>
      <c r="F18" s="117" t="n">
        <f aca="false">-5000*31</f>
        <v>-155000</v>
      </c>
      <c r="G18" s="114"/>
      <c r="H18" s="116" t="n">
        <f aca="false">+'[1]ELpaso SJ &amp; Prm'!$F46</f>
        <v>4.2525</v>
      </c>
      <c r="I18" s="118" t="n">
        <f aca="false">SUM(D18-H18)*F18</f>
        <v>158487.5</v>
      </c>
      <c r="J18" s="120"/>
      <c r="K18" s="119" t="n">
        <f aca="false">+I18</f>
        <v>158487.5</v>
      </c>
    </row>
    <row r="19" customFormat="false" ht="12.75" hidden="false" customHeight="false" outlineLevel="0" collapsed="false">
      <c r="A19" s="113" t="n">
        <v>37196</v>
      </c>
      <c r="B19" s="114"/>
      <c r="C19" s="115" t="s">
        <v>59</v>
      </c>
      <c r="D19" s="116" t="n">
        <v>3.23</v>
      </c>
      <c r="E19" s="114"/>
      <c r="F19" s="117" t="n">
        <f aca="false">-5000*30</f>
        <v>-150000</v>
      </c>
      <c r="G19" s="114"/>
      <c r="H19" s="116" t="n">
        <f aca="false">+'[1]ELpaso SJ &amp; Prm'!$F47</f>
        <v>4.375</v>
      </c>
      <c r="I19" s="118" t="n">
        <f aca="false">SUM(D19-H19)*F19</f>
        <v>171750</v>
      </c>
      <c r="J19" s="120"/>
      <c r="K19" s="119" t="n">
        <f aca="false">+I19</f>
        <v>171750</v>
      </c>
    </row>
    <row r="20" customFormat="false" ht="12.75" hidden="false" customHeight="false" outlineLevel="0" collapsed="false">
      <c r="A20" s="113" t="n">
        <v>37226</v>
      </c>
      <c r="B20" s="114"/>
      <c r="C20" s="115" t="s">
        <v>59</v>
      </c>
      <c r="D20" s="116" t="n">
        <v>3.23</v>
      </c>
      <c r="E20" s="114"/>
      <c r="F20" s="117" t="n">
        <f aca="false">-5000*31</f>
        <v>-155000</v>
      </c>
      <c r="G20" s="114"/>
      <c r="H20" s="116" t="n">
        <f aca="false">+'[1]ELpaso SJ &amp; Prm'!$F48</f>
        <v>4.5</v>
      </c>
      <c r="I20" s="118" t="n">
        <f aca="false">SUM(D20-H20)*F20</f>
        <v>196850</v>
      </c>
      <c r="J20" s="120"/>
      <c r="K20" s="119" t="n">
        <f aca="false">+I20</f>
        <v>196850</v>
      </c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G21" s="114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-1825000</v>
      </c>
      <c r="G22" s="114"/>
      <c r="H22" s="114"/>
      <c r="I22" s="122" t="n">
        <f aca="false">SUM(I9:I20)</f>
        <v>2205047.5</v>
      </c>
      <c r="J22" s="122" t="n">
        <f aca="false">SUM(J9:J20)</f>
        <v>0</v>
      </c>
      <c r="K22" s="122" t="n">
        <f aca="false">SUM(K9:K20)</f>
        <v>2205047.5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36892</v>
      </c>
      <c r="B26" s="114"/>
      <c r="C26" s="115" t="s">
        <v>97</v>
      </c>
      <c r="D26" s="116" t="n">
        <v>3.23</v>
      </c>
      <c r="E26" s="114"/>
      <c r="F26" s="117" t="n">
        <f aca="false">5000*31</f>
        <v>155000</v>
      </c>
      <c r="G26" s="116"/>
      <c r="H26" s="116" t="n">
        <f aca="false">+'[1]ELpaso SJ &amp; Prm'!$R12</f>
        <v>5.04366666666667</v>
      </c>
      <c r="I26" s="118" t="n">
        <f aca="false">(+D26-H26)*F26</f>
        <v>-281118.333333333</v>
      </c>
      <c r="J26" s="119"/>
      <c r="K26" s="119" t="n">
        <f aca="false">+I26</f>
        <v>-281118.333333333</v>
      </c>
    </row>
    <row r="27" customFormat="false" ht="12.75" hidden="false" customHeight="false" outlineLevel="0" collapsed="false">
      <c r="A27" s="113" t="n">
        <v>36923</v>
      </c>
      <c r="B27" s="114"/>
      <c r="C27" s="115" t="s">
        <v>97</v>
      </c>
      <c r="D27" s="116" t="n">
        <v>3.23</v>
      </c>
      <c r="E27" s="114"/>
      <c r="F27" s="117" t="n">
        <f aca="false">5000*28</f>
        <v>140000</v>
      </c>
      <c r="G27" s="116"/>
      <c r="H27" s="116" t="n">
        <f aca="false">+'[1]ELpaso SJ &amp; Prm'!$R13</f>
        <v>4.7985</v>
      </c>
      <c r="I27" s="118" t="n">
        <f aca="false">(+D27-H27)*F27</f>
        <v>-219590</v>
      </c>
      <c r="J27" s="119"/>
      <c r="K27" s="119" t="n">
        <f aca="false">+I27</f>
        <v>-219590</v>
      </c>
    </row>
    <row r="28" customFormat="false" ht="12.75" hidden="false" customHeight="false" outlineLevel="0" collapsed="false">
      <c r="A28" s="113" t="n">
        <v>36951</v>
      </c>
      <c r="B28" s="114"/>
      <c r="C28" s="115" t="s">
        <v>97</v>
      </c>
      <c r="D28" s="116" t="n">
        <v>3.23</v>
      </c>
      <c r="E28" s="114"/>
      <c r="F28" s="117" t="n">
        <f aca="false">5000*31</f>
        <v>155000</v>
      </c>
      <c r="G28" s="116"/>
      <c r="H28" s="116" t="n">
        <f aca="false">+'[1]ELpaso SJ &amp; Prm'!$R14</f>
        <v>4.53033333333333</v>
      </c>
      <c r="I28" s="118" t="n">
        <f aca="false">(+D28-H28)*F28</f>
        <v>-201551.666666667</v>
      </c>
      <c r="J28" s="119"/>
      <c r="K28" s="119" t="n">
        <f aca="false">+I28</f>
        <v>-201551.666666667</v>
      </c>
    </row>
    <row r="29" customFormat="false" ht="12.75" hidden="false" customHeight="false" outlineLevel="0" collapsed="false">
      <c r="A29" s="113" t="n">
        <v>36982</v>
      </c>
      <c r="B29" s="114"/>
      <c r="C29" s="115" t="s">
        <v>97</v>
      </c>
      <c r="D29" s="116" t="n">
        <v>3.23</v>
      </c>
      <c r="E29" s="114"/>
      <c r="F29" s="117" t="n">
        <f aca="false">5000*30</f>
        <v>150000</v>
      </c>
      <c r="G29" s="116"/>
      <c r="H29" s="116" t="n">
        <f aca="false">+'[1]ELpaso SJ &amp; Prm'!$R15</f>
        <v>4.28583333333333</v>
      </c>
      <c r="I29" s="118" t="n">
        <f aca="false">(+D29-H29)*F29</f>
        <v>-158375</v>
      </c>
      <c r="J29" s="119"/>
      <c r="K29" s="119" t="n">
        <f aca="false">+I29</f>
        <v>-158375</v>
      </c>
    </row>
    <row r="30" customFormat="false" ht="12.75" hidden="false" customHeight="false" outlineLevel="0" collapsed="false">
      <c r="A30" s="113" t="n">
        <v>37012</v>
      </c>
      <c r="B30" s="114"/>
      <c r="C30" s="115" t="s">
        <v>97</v>
      </c>
      <c r="D30" s="116" t="n">
        <v>3.23</v>
      </c>
      <c r="E30" s="114"/>
      <c r="F30" s="117" t="n">
        <f aca="false">5000*31</f>
        <v>155000</v>
      </c>
      <c r="G30" s="114"/>
      <c r="H30" s="116" t="n">
        <f aca="false">+'[1]ELpaso SJ &amp; Prm'!$R16</f>
        <v>4.21083333333333</v>
      </c>
      <c r="I30" s="118" t="n">
        <f aca="false">(+D30-H30)*F30</f>
        <v>-152029.166666667</v>
      </c>
      <c r="J30" s="120"/>
      <c r="K30" s="119" t="n">
        <f aca="false">+I30</f>
        <v>-152029.166666667</v>
      </c>
    </row>
    <row r="31" customFormat="false" ht="12.75" hidden="false" customHeight="false" outlineLevel="0" collapsed="false">
      <c r="A31" s="113" t="n">
        <v>37043</v>
      </c>
      <c r="B31" s="114"/>
      <c r="C31" s="115" t="s">
        <v>97</v>
      </c>
      <c r="D31" s="116" t="n">
        <v>3.23</v>
      </c>
      <c r="E31" s="114"/>
      <c r="F31" s="117" t="n">
        <f aca="false">5000*30</f>
        <v>150000</v>
      </c>
      <c r="G31" s="114"/>
      <c r="H31" s="116" t="n">
        <f aca="false">+'[1]ELpaso SJ &amp; Prm'!$R17</f>
        <v>4.19583333333333</v>
      </c>
      <c r="I31" s="118" t="n">
        <f aca="false">(+D31-H31)*F31</f>
        <v>-144875</v>
      </c>
      <c r="J31" s="120"/>
      <c r="K31" s="119" t="n">
        <f aca="false">+I31</f>
        <v>-144875</v>
      </c>
    </row>
    <row r="32" customFormat="false" ht="12.75" hidden="false" customHeight="false" outlineLevel="0" collapsed="false">
      <c r="A32" s="113" t="n">
        <v>37073</v>
      </c>
      <c r="B32" s="114"/>
      <c r="C32" s="115" t="s">
        <v>97</v>
      </c>
      <c r="D32" s="116" t="n">
        <v>3.23</v>
      </c>
      <c r="E32" s="114"/>
      <c r="F32" s="117" t="n">
        <f aca="false">5000*31</f>
        <v>155000</v>
      </c>
      <c r="G32" s="114"/>
      <c r="H32" s="116" t="n">
        <f aca="false">+'[1]ELpaso SJ &amp; Prm'!$R18</f>
        <v>4.1975</v>
      </c>
      <c r="I32" s="118" t="n">
        <f aca="false">(+D32-H32)*F32</f>
        <v>-149962.5</v>
      </c>
      <c r="J32" s="120"/>
      <c r="K32" s="119" t="n">
        <f aca="false">+I32</f>
        <v>-149962.5</v>
      </c>
    </row>
    <row r="33" customFormat="false" ht="12.75" hidden="false" customHeight="false" outlineLevel="0" collapsed="false">
      <c r="A33" s="113" t="n">
        <v>37104</v>
      </c>
      <c r="B33" s="114"/>
      <c r="C33" s="115" t="s">
        <v>97</v>
      </c>
      <c r="D33" s="116" t="n">
        <v>3.23</v>
      </c>
      <c r="E33" s="114"/>
      <c r="F33" s="117" t="n">
        <f aca="false">5000*31</f>
        <v>155000</v>
      </c>
      <c r="G33" s="114"/>
      <c r="H33" s="116" t="n">
        <f aca="false">+'[1]ELpaso SJ &amp; Prm'!$R19</f>
        <v>4.1975</v>
      </c>
      <c r="I33" s="118" t="n">
        <f aca="false">(+D33-H33)*F33</f>
        <v>-149962.5</v>
      </c>
      <c r="J33" s="120"/>
      <c r="K33" s="119" t="n">
        <f aca="false">+I33</f>
        <v>-149962.5</v>
      </c>
    </row>
    <row r="34" customFormat="false" ht="12.75" hidden="false" customHeight="false" outlineLevel="0" collapsed="false">
      <c r="A34" s="113" t="n">
        <v>37135</v>
      </c>
      <c r="B34" s="114"/>
      <c r="C34" s="115" t="s">
        <v>97</v>
      </c>
      <c r="D34" s="116" t="n">
        <v>3.23</v>
      </c>
      <c r="E34" s="114"/>
      <c r="F34" s="117" t="n">
        <f aca="false">5000*30</f>
        <v>150000</v>
      </c>
      <c r="G34" s="114"/>
      <c r="H34" s="116" t="n">
        <f aca="false">+'[1]ELpaso SJ &amp; Prm'!$R20</f>
        <v>4.1875</v>
      </c>
      <c r="I34" s="118" t="n">
        <f aca="false">(+D34-H34)*F34</f>
        <v>-143625</v>
      </c>
      <c r="J34" s="120"/>
      <c r="K34" s="119" t="n">
        <f aca="false">+I34</f>
        <v>-143625</v>
      </c>
    </row>
    <row r="35" customFormat="false" ht="12.75" hidden="false" customHeight="false" outlineLevel="0" collapsed="false">
      <c r="A35" s="113" t="n">
        <v>37165</v>
      </c>
      <c r="B35" s="114"/>
      <c r="C35" s="115" t="s">
        <v>97</v>
      </c>
      <c r="D35" s="116" t="n">
        <v>3.23</v>
      </c>
      <c r="E35" s="114"/>
      <c r="F35" s="117" t="n">
        <f aca="false">5000*31</f>
        <v>155000</v>
      </c>
      <c r="G35" s="114"/>
      <c r="H35" s="116" t="n">
        <f aca="false">+'[1]ELpaso SJ &amp; Prm'!$R21</f>
        <v>4.18666666666667</v>
      </c>
      <c r="I35" s="118" t="n">
        <f aca="false">(+D35-H35)*F35</f>
        <v>-148283.333333333</v>
      </c>
      <c r="J35" s="120"/>
      <c r="K35" s="119" t="n">
        <f aca="false">+I35</f>
        <v>-148283.333333333</v>
      </c>
    </row>
    <row r="36" customFormat="false" ht="12.75" hidden="false" customHeight="false" outlineLevel="0" collapsed="false">
      <c r="A36" s="113" t="n">
        <v>37196</v>
      </c>
      <c r="B36" s="114"/>
      <c r="C36" s="115" t="s">
        <v>97</v>
      </c>
      <c r="D36" s="116" t="n">
        <v>3.23</v>
      </c>
      <c r="E36" s="114"/>
      <c r="F36" s="117" t="n">
        <f aca="false">5000*30</f>
        <v>150000</v>
      </c>
      <c r="G36" s="114"/>
      <c r="H36" s="116" t="n">
        <f aca="false">+'[1]ELpaso SJ &amp; Prm'!$R22</f>
        <v>4.3375</v>
      </c>
      <c r="I36" s="118" t="n">
        <f aca="false">(+D36-H36)*F36</f>
        <v>-166125</v>
      </c>
      <c r="J36" s="120"/>
      <c r="K36" s="119" t="n">
        <f aca="false">+I36</f>
        <v>-166125</v>
      </c>
    </row>
    <row r="37" customFormat="false" ht="12.75" hidden="false" customHeight="false" outlineLevel="0" collapsed="false">
      <c r="A37" s="113" t="n">
        <v>37226</v>
      </c>
      <c r="B37" s="114"/>
      <c r="C37" s="115" t="s">
        <v>97</v>
      </c>
      <c r="D37" s="116" t="n">
        <v>3.23</v>
      </c>
      <c r="E37" s="114"/>
      <c r="F37" s="117" t="n">
        <f aca="false">5000*31</f>
        <v>155000</v>
      </c>
      <c r="G37" s="114"/>
      <c r="H37" s="116" t="n">
        <f aca="false">+'[1]ELpaso SJ &amp; Prm'!$R23</f>
        <v>4.46083333333333</v>
      </c>
      <c r="I37" s="118" t="n">
        <f aca="false">(+D37-H37)*F37</f>
        <v>-190779.166666667</v>
      </c>
      <c r="J37" s="120"/>
      <c r="K37" s="119" t="n">
        <f aca="false">+I37</f>
        <v>-190779.166666667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1825000</v>
      </c>
      <c r="G39" s="114"/>
      <c r="H39" s="114"/>
      <c r="I39" s="130" t="n">
        <f aca="false">SUM(I26:I38)</f>
        <v>-2106276.66666667</v>
      </c>
      <c r="J39" s="130" t="n">
        <f aca="false">SUM(J26:J38)</f>
        <v>0</v>
      </c>
      <c r="K39" s="130" t="n">
        <f aca="false">SUM(K26:K38)</f>
        <v>-2106276.66666667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n">
        <f aca="false">+I39+I22</f>
        <v>98770.8333333335</v>
      </c>
      <c r="J41" s="132" t="n">
        <f aca="false">+J39+J22</f>
        <v>0</v>
      </c>
      <c r="K41" s="132" t="n">
        <f aca="false">+K39+K22</f>
        <v>98770.8333333335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104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36892</v>
      </c>
      <c r="B9" s="114"/>
      <c r="C9" s="115" t="s">
        <v>59</v>
      </c>
      <c r="D9" s="116" t="n">
        <v>3.74</v>
      </c>
      <c r="E9" s="114"/>
      <c r="F9" s="117" t="n">
        <f aca="false">-5000*31</f>
        <v>-155000</v>
      </c>
      <c r="G9" s="116"/>
      <c r="H9" s="116" t="n">
        <f aca="false">+'[1]ELpaso SJ &amp; Prm'!$F37</f>
        <v>5.077</v>
      </c>
      <c r="I9" s="118" t="n">
        <f aca="false">SUM(D9-H9)*F9</f>
        <v>207235</v>
      </c>
      <c r="J9" s="119"/>
      <c r="K9" s="119" t="n">
        <f aca="false">+I9</f>
        <v>207235</v>
      </c>
    </row>
    <row r="10" customFormat="false" ht="12.75" hidden="false" customHeight="false" outlineLevel="0" collapsed="false">
      <c r="A10" s="113" t="n">
        <v>36923</v>
      </c>
      <c r="B10" s="114"/>
      <c r="C10" s="115" t="s">
        <v>59</v>
      </c>
      <c r="D10" s="116" t="n">
        <v>3.74</v>
      </c>
      <c r="E10" s="114"/>
      <c r="F10" s="117" t="n">
        <f aca="false">-5000*28</f>
        <v>-140000</v>
      </c>
      <c r="G10" s="116"/>
      <c r="H10" s="116" t="n">
        <f aca="false">+'[1]ELpaso SJ &amp; Prm'!$F38</f>
        <v>4.826</v>
      </c>
      <c r="I10" s="118" t="n">
        <f aca="false">SUM(D10-H10)*F10</f>
        <v>152040</v>
      </c>
      <c r="J10" s="119"/>
      <c r="K10" s="119" t="n">
        <f aca="false">+I10</f>
        <v>152040</v>
      </c>
    </row>
    <row r="11" customFormat="false" ht="12.75" hidden="false" customHeight="false" outlineLevel="0" collapsed="false">
      <c r="A11" s="113" t="n">
        <v>36951</v>
      </c>
      <c r="B11" s="114"/>
      <c r="C11" s="115" t="s">
        <v>59</v>
      </c>
      <c r="D11" s="116" t="n">
        <v>3.74</v>
      </c>
      <c r="E11" s="114"/>
      <c r="F11" s="117" t="n">
        <f aca="false">-5000*31</f>
        <v>-155000</v>
      </c>
      <c r="G11" s="116"/>
      <c r="H11" s="116" t="n">
        <f aca="false">+'[1]ELpaso SJ &amp; Prm'!$F39</f>
        <v>4.5795</v>
      </c>
      <c r="I11" s="118" t="n">
        <f aca="false">SUM(D11-H11)*F11</f>
        <v>130122.5</v>
      </c>
      <c r="J11" s="119"/>
      <c r="K11" s="119" t="n">
        <f aca="false">+I11</f>
        <v>130122.5</v>
      </c>
    </row>
    <row r="12" customFormat="false" ht="12.75" hidden="false" customHeight="false" outlineLevel="0" collapsed="false">
      <c r="A12" s="113" t="n">
        <v>36982</v>
      </c>
      <c r="B12" s="114"/>
      <c r="C12" s="115" t="s">
        <v>59</v>
      </c>
      <c r="D12" s="116" t="n">
        <v>3.74</v>
      </c>
      <c r="E12" s="114"/>
      <c r="F12" s="117" t="n">
        <f aca="false">-5000*30</f>
        <v>-150000</v>
      </c>
      <c r="G12" s="116"/>
      <c r="H12" s="116" t="n">
        <f aca="false">+'[1]ELpaso SJ &amp; Prm'!$F40</f>
        <v>4.3525</v>
      </c>
      <c r="I12" s="118" t="n">
        <f aca="false">SUM(D12-H12)*F12</f>
        <v>91875</v>
      </c>
      <c r="J12" s="119"/>
      <c r="K12" s="119" t="n">
        <f aca="false">+I12</f>
        <v>91875</v>
      </c>
    </row>
    <row r="13" customFormat="false" ht="12.75" hidden="false" customHeight="false" outlineLevel="0" collapsed="false">
      <c r="A13" s="113" t="n">
        <v>37012</v>
      </c>
      <c r="B13" s="114"/>
      <c r="C13" s="115" t="s">
        <v>59</v>
      </c>
      <c r="D13" s="116" t="n">
        <v>3.74</v>
      </c>
      <c r="E13" s="114"/>
      <c r="F13" s="117" t="n">
        <f aca="false">-5000*31</f>
        <v>-155000</v>
      </c>
      <c r="G13" s="114"/>
      <c r="H13" s="116" t="n">
        <f aca="false">+'[1]ELpaso SJ &amp; Prm'!$F41</f>
        <v>4.2775</v>
      </c>
      <c r="I13" s="118" t="n">
        <f aca="false">SUM(D13-H13)*F13</f>
        <v>83312.4999999999</v>
      </c>
      <c r="J13" s="120"/>
      <c r="K13" s="119" t="n">
        <f aca="false">+I13</f>
        <v>83312.4999999999</v>
      </c>
    </row>
    <row r="14" customFormat="false" ht="12.75" hidden="false" customHeight="false" outlineLevel="0" collapsed="false">
      <c r="A14" s="113" t="n">
        <v>37043</v>
      </c>
      <c r="B14" s="114"/>
      <c r="C14" s="115" t="s">
        <v>59</v>
      </c>
      <c r="D14" s="116" t="n">
        <v>3.74</v>
      </c>
      <c r="E14" s="114"/>
      <c r="F14" s="117" t="n">
        <f aca="false">-5000*30</f>
        <v>-150000</v>
      </c>
      <c r="G14" s="114"/>
      <c r="H14" s="116" t="n">
        <f aca="false">+'[1]ELpaso SJ &amp; Prm'!$F42</f>
        <v>4.2625</v>
      </c>
      <c r="I14" s="118" t="n">
        <f aca="false">SUM(D14-H14)*F14</f>
        <v>78374.9999999999</v>
      </c>
      <c r="J14" s="120"/>
      <c r="K14" s="119" t="n">
        <f aca="false">+I14</f>
        <v>78374.9999999999</v>
      </c>
    </row>
    <row r="15" customFormat="false" ht="12.75" hidden="false" customHeight="false" outlineLevel="0" collapsed="false">
      <c r="A15" s="113" t="n">
        <v>37073</v>
      </c>
      <c r="B15" s="114"/>
      <c r="C15" s="115" t="s">
        <v>59</v>
      </c>
      <c r="D15" s="116" t="n">
        <v>3.74</v>
      </c>
      <c r="E15" s="114"/>
      <c r="F15" s="117" t="n">
        <f aca="false">-5000*31</f>
        <v>-155000</v>
      </c>
      <c r="G15" s="114"/>
      <c r="H15" s="116" t="n">
        <f aca="false">+'[1]ELpaso SJ &amp; Prm'!$F43</f>
        <v>4.2625</v>
      </c>
      <c r="I15" s="118" t="n">
        <f aca="false">SUM(D15-H15)*F15</f>
        <v>80987.4999999999</v>
      </c>
      <c r="J15" s="120"/>
      <c r="K15" s="119" t="n">
        <f aca="false">+I15</f>
        <v>80987.4999999999</v>
      </c>
    </row>
    <row r="16" customFormat="false" ht="12.75" hidden="false" customHeight="false" outlineLevel="0" collapsed="false">
      <c r="A16" s="113" t="n">
        <v>37104</v>
      </c>
      <c r="B16" s="114"/>
      <c r="C16" s="115" t="s">
        <v>59</v>
      </c>
      <c r="D16" s="116" t="n">
        <v>3.74</v>
      </c>
      <c r="E16" s="114"/>
      <c r="F16" s="117" t="n">
        <f aca="false">-5000*31</f>
        <v>-155000</v>
      </c>
      <c r="G16" s="114"/>
      <c r="H16" s="116" t="n">
        <f aca="false">+'[1]ELpaso SJ &amp; Prm'!$F44</f>
        <v>4.2625</v>
      </c>
      <c r="I16" s="118" t="n">
        <f aca="false">SUM(D16-H16)*F16</f>
        <v>80987.4999999999</v>
      </c>
      <c r="J16" s="120"/>
      <c r="K16" s="119" t="n">
        <f aca="false">+I16</f>
        <v>80987.4999999999</v>
      </c>
    </row>
    <row r="17" customFormat="false" ht="12.75" hidden="false" customHeight="false" outlineLevel="0" collapsed="false">
      <c r="A17" s="113" t="n">
        <v>37135</v>
      </c>
      <c r="B17" s="114"/>
      <c r="C17" s="115" t="s">
        <v>59</v>
      </c>
      <c r="D17" s="116" t="n">
        <v>3.74</v>
      </c>
      <c r="E17" s="114"/>
      <c r="F17" s="117" t="n">
        <f aca="false">-5000*30</f>
        <v>-150000</v>
      </c>
      <c r="G17" s="114"/>
      <c r="H17" s="116" t="n">
        <f aca="false">+'[1]ELpaso SJ &amp; Prm'!$F45</f>
        <v>4.2525</v>
      </c>
      <c r="I17" s="118" t="n">
        <f aca="false">SUM(D17-H17)*F17</f>
        <v>76874.9999999999</v>
      </c>
      <c r="J17" s="120"/>
      <c r="K17" s="119" t="n">
        <f aca="false">+I17</f>
        <v>76874.9999999999</v>
      </c>
    </row>
    <row r="18" customFormat="false" ht="12.75" hidden="false" customHeight="false" outlineLevel="0" collapsed="false">
      <c r="A18" s="113" t="n">
        <v>37165</v>
      </c>
      <c r="B18" s="114"/>
      <c r="C18" s="115" t="s">
        <v>59</v>
      </c>
      <c r="D18" s="116" t="n">
        <v>3.74</v>
      </c>
      <c r="E18" s="114"/>
      <c r="F18" s="117" t="n">
        <f aca="false">-5000*31</f>
        <v>-155000</v>
      </c>
      <c r="G18" s="114"/>
      <c r="H18" s="116" t="n">
        <f aca="false">+'[1]ELpaso SJ &amp; Prm'!$F46</f>
        <v>4.2525</v>
      </c>
      <c r="I18" s="118" t="n">
        <f aca="false">SUM(D18-H18)*F18</f>
        <v>79437.4999999999</v>
      </c>
      <c r="J18" s="120"/>
      <c r="K18" s="119" t="n">
        <f aca="false">+I18</f>
        <v>79437.4999999999</v>
      </c>
    </row>
    <row r="19" customFormat="false" ht="12.75" hidden="false" customHeight="false" outlineLevel="0" collapsed="false">
      <c r="A19" s="113" t="n">
        <v>37196</v>
      </c>
      <c r="B19" s="114"/>
      <c r="C19" s="115" t="s">
        <v>59</v>
      </c>
      <c r="D19" s="116" t="n">
        <v>3.74</v>
      </c>
      <c r="E19" s="114"/>
      <c r="F19" s="117" t="n">
        <f aca="false">-5000*30</f>
        <v>-150000</v>
      </c>
      <c r="G19" s="114"/>
      <c r="H19" s="116" t="n">
        <f aca="false">+'[1]ELpaso SJ &amp; Prm'!$F47</f>
        <v>4.375</v>
      </c>
      <c r="I19" s="118" t="n">
        <f aca="false">SUM(D19-H19)*F19</f>
        <v>95250</v>
      </c>
      <c r="J19" s="120"/>
      <c r="K19" s="119" t="n">
        <f aca="false">+I19</f>
        <v>95250</v>
      </c>
    </row>
    <row r="20" customFormat="false" ht="12.75" hidden="false" customHeight="false" outlineLevel="0" collapsed="false">
      <c r="A20" s="113" t="n">
        <v>37226</v>
      </c>
      <c r="B20" s="114"/>
      <c r="C20" s="115" t="s">
        <v>59</v>
      </c>
      <c r="D20" s="116" t="n">
        <v>3.74</v>
      </c>
      <c r="E20" s="114"/>
      <c r="F20" s="117" t="n">
        <f aca="false">-5000*31</f>
        <v>-155000</v>
      </c>
      <c r="G20" s="114"/>
      <c r="H20" s="116" t="n">
        <f aca="false">+'[1]ELpaso SJ &amp; Prm'!$F48</f>
        <v>4.5</v>
      </c>
      <c r="I20" s="118" t="n">
        <f aca="false">SUM(D20-H20)*F20</f>
        <v>117800</v>
      </c>
      <c r="J20" s="120"/>
      <c r="K20" s="119" t="n">
        <f aca="false">+I20</f>
        <v>117800</v>
      </c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G21" s="114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-1825000</v>
      </c>
      <c r="G22" s="114"/>
      <c r="H22" s="114"/>
      <c r="I22" s="122" t="n">
        <f aca="false">SUM(I9:I20)</f>
        <v>1274297.5</v>
      </c>
      <c r="J22" s="122" t="n">
        <f aca="false">SUM(J9:J20)</f>
        <v>0</v>
      </c>
      <c r="K22" s="122" t="n">
        <f aca="false">SUM(K9:K20)</f>
        <v>1274297.5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36892</v>
      </c>
      <c r="B26" s="114"/>
      <c r="C26" s="115" t="s">
        <v>97</v>
      </c>
      <c r="D26" s="116" t="n">
        <v>3.74</v>
      </c>
      <c r="E26" s="114"/>
      <c r="F26" s="117" t="n">
        <f aca="false">5000*31</f>
        <v>155000</v>
      </c>
      <c r="G26" s="116"/>
      <c r="H26" s="116" t="n">
        <f aca="false">+'[1]ELpaso SJ &amp; Prm'!$R12</f>
        <v>5.04366666666667</v>
      </c>
      <c r="I26" s="118" t="n">
        <f aca="false">(+D26-H26)*F26</f>
        <v>-202068.333333333</v>
      </c>
      <c r="J26" s="119"/>
      <c r="K26" s="119" t="n">
        <f aca="false">+I26</f>
        <v>-202068.333333333</v>
      </c>
    </row>
    <row r="27" customFormat="false" ht="12.75" hidden="false" customHeight="false" outlineLevel="0" collapsed="false">
      <c r="A27" s="113" t="n">
        <v>36923</v>
      </c>
      <c r="B27" s="114"/>
      <c r="C27" s="115" t="s">
        <v>97</v>
      </c>
      <c r="D27" s="116" t="n">
        <v>3.74</v>
      </c>
      <c r="E27" s="114"/>
      <c r="F27" s="117" t="n">
        <f aca="false">5000*28</f>
        <v>140000</v>
      </c>
      <c r="G27" s="116"/>
      <c r="H27" s="116" t="n">
        <f aca="false">+'[1]ELpaso SJ &amp; Prm'!$R13</f>
        <v>4.7985</v>
      </c>
      <c r="I27" s="118" t="n">
        <f aca="false">(+D27-H27)*F27</f>
        <v>-148190</v>
      </c>
      <c r="J27" s="119"/>
      <c r="K27" s="119" t="n">
        <f aca="false">+I27</f>
        <v>-148190</v>
      </c>
    </row>
    <row r="28" customFormat="false" ht="12.75" hidden="false" customHeight="false" outlineLevel="0" collapsed="false">
      <c r="A28" s="113" t="n">
        <v>36951</v>
      </c>
      <c r="B28" s="114"/>
      <c r="C28" s="115" t="s">
        <v>97</v>
      </c>
      <c r="D28" s="116" t="n">
        <v>3.74</v>
      </c>
      <c r="E28" s="114"/>
      <c r="F28" s="117" t="n">
        <f aca="false">5000*31</f>
        <v>155000</v>
      </c>
      <c r="G28" s="116"/>
      <c r="H28" s="116" t="n">
        <f aca="false">+'[1]ELpaso SJ &amp; Prm'!$R14</f>
        <v>4.53033333333333</v>
      </c>
      <c r="I28" s="118" t="n">
        <f aca="false">(+D28-H28)*F28</f>
        <v>-122501.666666667</v>
      </c>
      <c r="J28" s="119"/>
      <c r="K28" s="119" t="n">
        <f aca="false">+I28</f>
        <v>-122501.666666667</v>
      </c>
    </row>
    <row r="29" customFormat="false" ht="12.75" hidden="false" customHeight="false" outlineLevel="0" collapsed="false">
      <c r="A29" s="113" t="n">
        <v>36982</v>
      </c>
      <c r="B29" s="114"/>
      <c r="C29" s="115" t="s">
        <v>97</v>
      </c>
      <c r="D29" s="116" t="n">
        <v>3.74</v>
      </c>
      <c r="E29" s="114"/>
      <c r="F29" s="117" t="n">
        <f aca="false">5000*30</f>
        <v>150000</v>
      </c>
      <c r="G29" s="116"/>
      <c r="H29" s="116" t="n">
        <f aca="false">+'[1]ELpaso SJ &amp; Prm'!$R15</f>
        <v>4.28583333333333</v>
      </c>
      <c r="I29" s="118" t="n">
        <f aca="false">(+D29-H29)*F29</f>
        <v>-81875</v>
      </c>
      <c r="J29" s="119"/>
      <c r="K29" s="119" t="n">
        <f aca="false">+I29</f>
        <v>-81875</v>
      </c>
    </row>
    <row r="30" customFormat="false" ht="12.75" hidden="false" customHeight="false" outlineLevel="0" collapsed="false">
      <c r="A30" s="113" t="n">
        <v>37012</v>
      </c>
      <c r="B30" s="114"/>
      <c r="C30" s="115" t="s">
        <v>97</v>
      </c>
      <c r="D30" s="116" t="n">
        <v>3.74</v>
      </c>
      <c r="E30" s="114"/>
      <c r="F30" s="117" t="n">
        <f aca="false">5000*31</f>
        <v>155000</v>
      </c>
      <c r="G30" s="114"/>
      <c r="H30" s="116" t="n">
        <f aca="false">+'[1]ELpaso SJ &amp; Prm'!$R16</f>
        <v>4.21083333333333</v>
      </c>
      <c r="I30" s="118" t="n">
        <f aca="false">(+D30-H30)*F30</f>
        <v>-72979.1666666666</v>
      </c>
      <c r="J30" s="120"/>
      <c r="K30" s="119" t="n">
        <f aca="false">+I30</f>
        <v>-72979.1666666666</v>
      </c>
    </row>
    <row r="31" customFormat="false" ht="12.75" hidden="false" customHeight="false" outlineLevel="0" collapsed="false">
      <c r="A31" s="113" t="n">
        <v>37043</v>
      </c>
      <c r="B31" s="114"/>
      <c r="C31" s="115" t="s">
        <v>97</v>
      </c>
      <c r="D31" s="116" t="n">
        <v>3.74</v>
      </c>
      <c r="E31" s="114"/>
      <c r="F31" s="117" t="n">
        <f aca="false">5000*30</f>
        <v>150000</v>
      </c>
      <c r="G31" s="114"/>
      <c r="H31" s="116" t="n">
        <f aca="false">+'[1]ELpaso SJ &amp; Prm'!$R17</f>
        <v>4.19583333333333</v>
      </c>
      <c r="I31" s="118" t="n">
        <f aca="false">(+D31-H31)*F31</f>
        <v>-68374.9999999999</v>
      </c>
      <c r="J31" s="120"/>
      <c r="K31" s="119" t="n">
        <f aca="false">+I31</f>
        <v>-68374.9999999999</v>
      </c>
    </row>
    <row r="32" customFormat="false" ht="12.75" hidden="false" customHeight="false" outlineLevel="0" collapsed="false">
      <c r="A32" s="113" t="n">
        <v>37073</v>
      </c>
      <c r="B32" s="114"/>
      <c r="C32" s="115" t="s">
        <v>97</v>
      </c>
      <c r="D32" s="116" t="n">
        <v>3.74</v>
      </c>
      <c r="E32" s="114"/>
      <c r="F32" s="117" t="n">
        <f aca="false">5000*31</f>
        <v>155000</v>
      </c>
      <c r="G32" s="114"/>
      <c r="H32" s="116" t="n">
        <f aca="false">+'[1]ELpaso SJ &amp; Prm'!$R18</f>
        <v>4.1975</v>
      </c>
      <c r="I32" s="118" t="n">
        <f aca="false">(+D32-H32)*F32</f>
        <v>-70912.4999999998</v>
      </c>
      <c r="J32" s="120"/>
      <c r="K32" s="119" t="n">
        <f aca="false">+I32</f>
        <v>-70912.4999999998</v>
      </c>
    </row>
    <row r="33" customFormat="false" ht="12.75" hidden="false" customHeight="false" outlineLevel="0" collapsed="false">
      <c r="A33" s="113" t="n">
        <v>37104</v>
      </c>
      <c r="B33" s="114"/>
      <c r="C33" s="115" t="s">
        <v>97</v>
      </c>
      <c r="D33" s="116" t="n">
        <v>3.74</v>
      </c>
      <c r="E33" s="114"/>
      <c r="F33" s="117" t="n">
        <f aca="false">5000*31</f>
        <v>155000</v>
      </c>
      <c r="G33" s="114"/>
      <c r="H33" s="116" t="n">
        <f aca="false">+'[1]ELpaso SJ &amp; Prm'!$R19</f>
        <v>4.1975</v>
      </c>
      <c r="I33" s="118" t="n">
        <f aca="false">(+D33-H33)*F33</f>
        <v>-70912.4999999998</v>
      </c>
      <c r="J33" s="120"/>
      <c r="K33" s="119" t="n">
        <f aca="false">+I33</f>
        <v>-70912.4999999998</v>
      </c>
    </row>
    <row r="34" customFormat="false" ht="12.75" hidden="false" customHeight="false" outlineLevel="0" collapsed="false">
      <c r="A34" s="113" t="n">
        <v>37135</v>
      </c>
      <c r="B34" s="114"/>
      <c r="C34" s="115" t="s">
        <v>97</v>
      </c>
      <c r="D34" s="116" t="n">
        <v>3.74</v>
      </c>
      <c r="E34" s="114"/>
      <c r="F34" s="117" t="n">
        <f aca="false">5000*30</f>
        <v>150000</v>
      </c>
      <c r="G34" s="114"/>
      <c r="H34" s="116" t="n">
        <f aca="false">+'[1]ELpaso SJ &amp; Prm'!$R20</f>
        <v>4.1875</v>
      </c>
      <c r="I34" s="118" t="n">
        <f aca="false">(+D34-H34)*F34</f>
        <v>-67125</v>
      </c>
      <c r="J34" s="120"/>
      <c r="K34" s="119" t="n">
        <f aca="false">+I34</f>
        <v>-67125</v>
      </c>
    </row>
    <row r="35" customFormat="false" ht="12.75" hidden="false" customHeight="false" outlineLevel="0" collapsed="false">
      <c r="A35" s="113" t="n">
        <v>37165</v>
      </c>
      <c r="B35" s="114"/>
      <c r="C35" s="115" t="s">
        <v>97</v>
      </c>
      <c r="D35" s="116" t="n">
        <v>3.74</v>
      </c>
      <c r="E35" s="114"/>
      <c r="F35" s="117" t="n">
        <f aca="false">5000*31</f>
        <v>155000</v>
      </c>
      <c r="G35" s="114"/>
      <c r="H35" s="116" t="n">
        <f aca="false">+'[1]ELpaso SJ &amp; Prm'!$R21</f>
        <v>4.18666666666667</v>
      </c>
      <c r="I35" s="118" t="n">
        <f aca="false">(+D35-H35)*F35</f>
        <v>-69233.3333333333</v>
      </c>
      <c r="J35" s="120"/>
      <c r="K35" s="119" t="n">
        <f aca="false">+I35</f>
        <v>-69233.3333333333</v>
      </c>
    </row>
    <row r="36" customFormat="false" ht="12.75" hidden="false" customHeight="false" outlineLevel="0" collapsed="false">
      <c r="A36" s="113" t="n">
        <v>37196</v>
      </c>
      <c r="B36" s="114"/>
      <c r="C36" s="115" t="s">
        <v>97</v>
      </c>
      <c r="D36" s="116" t="n">
        <v>3.74</v>
      </c>
      <c r="E36" s="114"/>
      <c r="F36" s="117" t="n">
        <f aca="false">5000*30</f>
        <v>150000</v>
      </c>
      <c r="G36" s="114"/>
      <c r="H36" s="116" t="n">
        <f aca="false">+'[1]ELpaso SJ &amp; Prm'!$R22</f>
        <v>4.3375</v>
      </c>
      <c r="I36" s="118" t="n">
        <f aca="false">(+D36-H36)*F36</f>
        <v>-89624.9999999999</v>
      </c>
      <c r="J36" s="120"/>
      <c r="K36" s="119" t="n">
        <f aca="false">+I36</f>
        <v>-89624.9999999999</v>
      </c>
    </row>
    <row r="37" customFormat="false" ht="12.75" hidden="false" customHeight="false" outlineLevel="0" collapsed="false">
      <c r="A37" s="113" t="n">
        <v>37226</v>
      </c>
      <c r="B37" s="114"/>
      <c r="C37" s="115" t="s">
        <v>97</v>
      </c>
      <c r="D37" s="116" t="n">
        <v>3.74</v>
      </c>
      <c r="E37" s="114"/>
      <c r="F37" s="117" t="n">
        <f aca="false">5000*31</f>
        <v>155000</v>
      </c>
      <c r="G37" s="114"/>
      <c r="H37" s="116" t="n">
        <f aca="false">+'[1]ELpaso SJ &amp; Prm'!$R23</f>
        <v>4.46083333333333</v>
      </c>
      <c r="I37" s="118" t="n">
        <f aca="false">(+D37-H37)*F37</f>
        <v>-111729.166666667</v>
      </c>
      <c r="J37" s="120"/>
      <c r="K37" s="119" t="n">
        <f aca="false">+I37</f>
        <v>-111729.166666667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1825000</v>
      </c>
      <c r="G39" s="114"/>
      <c r="H39" s="114"/>
      <c r="I39" s="130" t="n">
        <f aca="false">SUM(I26:I38)</f>
        <v>-1175526.66666667</v>
      </c>
      <c r="J39" s="130" t="n">
        <f aca="false">SUM(J26:J38)</f>
        <v>0</v>
      </c>
      <c r="K39" s="130" t="n">
        <f aca="false">SUM(K26:K38)</f>
        <v>-1175526.66666667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n">
        <f aca="false">+I39+I22</f>
        <v>98770.833333333</v>
      </c>
      <c r="J41" s="132" t="n">
        <f aca="false">+J39+J22</f>
        <v>0</v>
      </c>
      <c r="K41" s="132" t="n">
        <f aca="false">+K39+K22</f>
        <v>98770.833333333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105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36892</v>
      </c>
      <c r="B9" s="114"/>
      <c r="C9" s="115" t="s">
        <v>59</v>
      </c>
      <c r="D9" s="116" t="n">
        <v>3.63</v>
      </c>
      <c r="E9" s="114"/>
      <c r="F9" s="117" t="n">
        <f aca="false">-5000*31</f>
        <v>-155000</v>
      </c>
      <c r="G9" s="116"/>
      <c r="H9" s="116" t="n">
        <f aca="false">+'[1]ELpaso SJ &amp; Prm'!$F37</f>
        <v>5.077</v>
      </c>
      <c r="I9" s="118" t="n">
        <f aca="false">SUM(D9-H9)*F9</f>
        <v>224285</v>
      </c>
      <c r="J9" s="119"/>
      <c r="K9" s="119" t="n">
        <f aca="false">+I9</f>
        <v>224285</v>
      </c>
    </row>
    <row r="10" customFormat="false" ht="12.75" hidden="false" customHeight="false" outlineLevel="0" collapsed="false">
      <c r="A10" s="113" t="n">
        <v>36923</v>
      </c>
      <c r="B10" s="114"/>
      <c r="C10" s="115" t="s">
        <v>59</v>
      </c>
      <c r="D10" s="116" t="n">
        <v>3.63</v>
      </c>
      <c r="E10" s="114"/>
      <c r="F10" s="117" t="n">
        <f aca="false">-5000*28</f>
        <v>-140000</v>
      </c>
      <c r="G10" s="116"/>
      <c r="H10" s="116" t="n">
        <f aca="false">+'[1]ELpaso SJ &amp; Prm'!$F38</f>
        <v>4.826</v>
      </c>
      <c r="I10" s="118" t="n">
        <f aca="false">SUM(D10-H10)*F10</f>
        <v>167440</v>
      </c>
      <c r="J10" s="119"/>
      <c r="K10" s="119" t="n">
        <f aca="false">+I10</f>
        <v>167440</v>
      </c>
    </row>
    <row r="11" customFormat="false" ht="12.75" hidden="false" customHeight="false" outlineLevel="0" collapsed="false">
      <c r="A11" s="113" t="n">
        <v>36951</v>
      </c>
      <c r="B11" s="114"/>
      <c r="C11" s="115" t="s">
        <v>59</v>
      </c>
      <c r="D11" s="116" t="n">
        <v>3.63</v>
      </c>
      <c r="E11" s="114"/>
      <c r="F11" s="117" t="n">
        <f aca="false">-5000*31</f>
        <v>-155000</v>
      </c>
      <c r="G11" s="116"/>
      <c r="H11" s="116" t="n">
        <f aca="false">+'[1]ELpaso SJ &amp; Prm'!$F39</f>
        <v>4.5795</v>
      </c>
      <c r="I11" s="118" t="n">
        <f aca="false">SUM(D11-H11)*F11</f>
        <v>147172.5</v>
      </c>
      <c r="J11" s="119"/>
      <c r="K11" s="119" t="n">
        <f aca="false">+I11</f>
        <v>147172.5</v>
      </c>
    </row>
    <row r="12" customFormat="false" ht="12.75" hidden="false" customHeight="false" outlineLevel="0" collapsed="false">
      <c r="A12" s="113" t="n">
        <v>36982</v>
      </c>
      <c r="B12" s="114"/>
      <c r="C12" s="115" t="s">
        <v>59</v>
      </c>
      <c r="D12" s="116" t="n">
        <v>3.63</v>
      </c>
      <c r="E12" s="114"/>
      <c r="F12" s="117" t="n">
        <f aca="false">-5000*30</f>
        <v>-150000</v>
      </c>
      <c r="G12" s="116"/>
      <c r="H12" s="116" t="n">
        <f aca="false">+'[1]ELpaso SJ &amp; Prm'!$F40</f>
        <v>4.3525</v>
      </c>
      <c r="I12" s="118" t="n">
        <f aca="false">SUM(D12-H12)*F12</f>
        <v>108375</v>
      </c>
      <c r="J12" s="119"/>
      <c r="K12" s="119" t="n">
        <f aca="false">+I12</f>
        <v>108375</v>
      </c>
    </row>
    <row r="13" customFormat="false" ht="12.75" hidden="false" customHeight="false" outlineLevel="0" collapsed="false">
      <c r="A13" s="113" t="n">
        <v>37012</v>
      </c>
      <c r="B13" s="114"/>
      <c r="C13" s="115" t="s">
        <v>59</v>
      </c>
      <c r="D13" s="116" t="n">
        <v>3.63</v>
      </c>
      <c r="E13" s="114"/>
      <c r="F13" s="117" t="n">
        <f aca="false">-5000*31</f>
        <v>-155000</v>
      </c>
      <c r="G13" s="114"/>
      <c r="H13" s="116" t="n">
        <f aca="false">+'[1]ELpaso SJ &amp; Prm'!$F41</f>
        <v>4.2775</v>
      </c>
      <c r="I13" s="118" t="n">
        <f aca="false">SUM(D13-H13)*F13</f>
        <v>100362.5</v>
      </c>
      <c r="J13" s="120"/>
      <c r="K13" s="119" t="n">
        <f aca="false">+I13</f>
        <v>100362.5</v>
      </c>
    </row>
    <row r="14" customFormat="false" ht="12.75" hidden="false" customHeight="false" outlineLevel="0" collapsed="false">
      <c r="A14" s="113" t="n">
        <v>37043</v>
      </c>
      <c r="B14" s="114"/>
      <c r="C14" s="115" t="s">
        <v>59</v>
      </c>
      <c r="D14" s="116" t="n">
        <v>3.63</v>
      </c>
      <c r="E14" s="114"/>
      <c r="F14" s="117" t="n">
        <f aca="false">-5000*30</f>
        <v>-150000</v>
      </c>
      <c r="G14" s="114"/>
      <c r="H14" s="116" t="n">
        <f aca="false">+'[1]ELpaso SJ &amp; Prm'!$F42</f>
        <v>4.2625</v>
      </c>
      <c r="I14" s="118" t="n">
        <f aca="false">SUM(D14-H14)*F14</f>
        <v>94874.9999999999</v>
      </c>
      <c r="J14" s="120"/>
      <c r="K14" s="119" t="n">
        <f aca="false">+I14</f>
        <v>94874.9999999999</v>
      </c>
    </row>
    <row r="15" customFormat="false" ht="12.75" hidden="false" customHeight="false" outlineLevel="0" collapsed="false">
      <c r="A15" s="113" t="n">
        <v>37073</v>
      </c>
      <c r="B15" s="114"/>
      <c r="C15" s="115" t="s">
        <v>59</v>
      </c>
      <c r="D15" s="116" t="n">
        <v>3.63</v>
      </c>
      <c r="E15" s="114"/>
      <c r="F15" s="117" t="n">
        <f aca="false">-5000*31</f>
        <v>-155000</v>
      </c>
      <c r="G15" s="114"/>
      <c r="H15" s="116" t="n">
        <f aca="false">+'[1]ELpaso SJ &amp; Prm'!$F43</f>
        <v>4.2625</v>
      </c>
      <c r="I15" s="118" t="n">
        <f aca="false">SUM(D15-H15)*F15</f>
        <v>98037.4999999999</v>
      </c>
      <c r="J15" s="120"/>
      <c r="K15" s="119" t="n">
        <f aca="false">+I15</f>
        <v>98037.4999999999</v>
      </c>
    </row>
    <row r="16" customFormat="false" ht="12.75" hidden="false" customHeight="false" outlineLevel="0" collapsed="false">
      <c r="A16" s="113" t="n">
        <v>37104</v>
      </c>
      <c r="B16" s="114"/>
      <c r="C16" s="115" t="s">
        <v>59</v>
      </c>
      <c r="D16" s="116" t="n">
        <v>3.63</v>
      </c>
      <c r="E16" s="114"/>
      <c r="F16" s="117" t="n">
        <f aca="false">-5000*31</f>
        <v>-155000</v>
      </c>
      <c r="G16" s="114"/>
      <c r="H16" s="116" t="n">
        <f aca="false">+'[1]ELpaso SJ &amp; Prm'!$F44</f>
        <v>4.2625</v>
      </c>
      <c r="I16" s="118" t="n">
        <f aca="false">SUM(D16-H16)*F16</f>
        <v>98037.4999999999</v>
      </c>
      <c r="J16" s="120"/>
      <c r="K16" s="119" t="n">
        <f aca="false">+I16</f>
        <v>98037.4999999999</v>
      </c>
    </row>
    <row r="17" customFormat="false" ht="12.75" hidden="false" customHeight="false" outlineLevel="0" collapsed="false">
      <c r="A17" s="113" t="n">
        <v>37135</v>
      </c>
      <c r="B17" s="114"/>
      <c r="C17" s="115" t="s">
        <v>59</v>
      </c>
      <c r="D17" s="116" t="n">
        <v>3.63</v>
      </c>
      <c r="E17" s="114"/>
      <c r="F17" s="117" t="n">
        <f aca="false">-5000*30</f>
        <v>-150000</v>
      </c>
      <c r="G17" s="114"/>
      <c r="H17" s="116" t="n">
        <f aca="false">+'[1]ELpaso SJ &amp; Prm'!$F45</f>
        <v>4.2525</v>
      </c>
      <c r="I17" s="118" t="n">
        <f aca="false">SUM(D17-H17)*F17</f>
        <v>93374.9999999999</v>
      </c>
      <c r="J17" s="120"/>
      <c r="K17" s="119" t="n">
        <f aca="false">+I17</f>
        <v>93374.9999999999</v>
      </c>
    </row>
    <row r="18" customFormat="false" ht="12.75" hidden="false" customHeight="false" outlineLevel="0" collapsed="false">
      <c r="A18" s="113" t="n">
        <v>37165</v>
      </c>
      <c r="B18" s="114"/>
      <c r="C18" s="115" t="s">
        <v>59</v>
      </c>
      <c r="D18" s="116" t="n">
        <v>3.63</v>
      </c>
      <c r="E18" s="114"/>
      <c r="F18" s="117" t="n">
        <f aca="false">-5000*31</f>
        <v>-155000</v>
      </c>
      <c r="G18" s="114"/>
      <c r="H18" s="116" t="n">
        <f aca="false">+'[1]ELpaso SJ &amp; Prm'!$F46</f>
        <v>4.2525</v>
      </c>
      <c r="I18" s="118" t="n">
        <f aca="false">SUM(D18-H18)*F18</f>
        <v>96487.4999999999</v>
      </c>
      <c r="J18" s="120"/>
      <c r="K18" s="119" t="n">
        <f aca="false">+I18</f>
        <v>96487.4999999999</v>
      </c>
    </row>
    <row r="19" customFormat="false" ht="12.75" hidden="false" customHeight="false" outlineLevel="0" collapsed="false">
      <c r="A19" s="113" t="n">
        <v>37196</v>
      </c>
      <c r="B19" s="114"/>
      <c r="C19" s="115" t="s">
        <v>59</v>
      </c>
      <c r="D19" s="116" t="n">
        <v>3.63</v>
      </c>
      <c r="E19" s="114"/>
      <c r="F19" s="117" t="n">
        <f aca="false">-5000*30</f>
        <v>-150000</v>
      </c>
      <c r="G19" s="114"/>
      <c r="H19" s="116" t="n">
        <f aca="false">+'[1]ELpaso SJ &amp; Prm'!$F47</f>
        <v>4.375</v>
      </c>
      <c r="I19" s="118" t="n">
        <f aca="false">SUM(D19-H19)*F19</f>
        <v>111750</v>
      </c>
      <c r="J19" s="120"/>
      <c r="K19" s="119" t="n">
        <f aca="false">+I19</f>
        <v>111750</v>
      </c>
    </row>
    <row r="20" customFormat="false" ht="12.75" hidden="false" customHeight="false" outlineLevel="0" collapsed="false">
      <c r="A20" s="113" t="n">
        <v>37226</v>
      </c>
      <c r="B20" s="114"/>
      <c r="C20" s="115" t="s">
        <v>59</v>
      </c>
      <c r="D20" s="116" t="n">
        <v>3.63</v>
      </c>
      <c r="E20" s="114"/>
      <c r="F20" s="117" t="n">
        <f aca="false">-5000*31</f>
        <v>-155000</v>
      </c>
      <c r="G20" s="114"/>
      <c r="H20" s="116" t="n">
        <f aca="false">+'[1]ELpaso SJ &amp; Prm'!$F48</f>
        <v>4.5</v>
      </c>
      <c r="I20" s="118" t="n">
        <f aca="false">SUM(D20-H20)*F20</f>
        <v>134850</v>
      </c>
      <c r="J20" s="120"/>
      <c r="K20" s="119" t="n">
        <f aca="false">+I20</f>
        <v>134850</v>
      </c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G21" s="114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-1825000</v>
      </c>
      <c r="G22" s="114"/>
      <c r="H22" s="114"/>
      <c r="I22" s="122" t="n">
        <f aca="false">SUM(I9:I20)</f>
        <v>1475047.5</v>
      </c>
      <c r="J22" s="122" t="n">
        <f aca="false">SUM(J9:J20)</f>
        <v>0</v>
      </c>
      <c r="K22" s="122" t="n">
        <f aca="false">SUM(K9:K20)</f>
        <v>1475047.5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36892</v>
      </c>
      <c r="B26" s="114"/>
      <c r="C26" s="115" t="s">
        <v>97</v>
      </c>
      <c r="D26" s="116" t="n">
        <v>3.63</v>
      </c>
      <c r="E26" s="114"/>
      <c r="F26" s="117" t="n">
        <f aca="false">5000*31</f>
        <v>155000</v>
      </c>
      <c r="G26" s="116"/>
      <c r="H26" s="116" t="n">
        <f aca="false">+'[1]ELpaso SJ &amp; Prm'!$R12</f>
        <v>5.04366666666667</v>
      </c>
      <c r="I26" s="118" t="n">
        <f aca="false">(+D26-H26)*F26</f>
        <v>-219118.333333333</v>
      </c>
      <c r="J26" s="119"/>
      <c r="K26" s="119" t="n">
        <f aca="false">+I26</f>
        <v>-219118.333333333</v>
      </c>
    </row>
    <row r="27" customFormat="false" ht="12.75" hidden="false" customHeight="false" outlineLevel="0" collapsed="false">
      <c r="A27" s="113" t="n">
        <v>36923</v>
      </c>
      <c r="B27" s="114"/>
      <c r="C27" s="115" t="s">
        <v>97</v>
      </c>
      <c r="D27" s="116" t="n">
        <v>3.63</v>
      </c>
      <c r="E27" s="114"/>
      <c r="F27" s="117" t="n">
        <f aca="false">5000*28</f>
        <v>140000</v>
      </c>
      <c r="G27" s="116"/>
      <c r="H27" s="116" t="n">
        <f aca="false">+'[1]ELpaso SJ &amp; Prm'!$R13</f>
        <v>4.7985</v>
      </c>
      <c r="I27" s="118" t="n">
        <f aca="false">(+D27-H27)*F27</f>
        <v>-163590</v>
      </c>
      <c r="J27" s="119"/>
      <c r="K27" s="119" t="n">
        <f aca="false">+I27</f>
        <v>-163590</v>
      </c>
    </row>
    <row r="28" customFormat="false" ht="12.75" hidden="false" customHeight="false" outlineLevel="0" collapsed="false">
      <c r="A28" s="113" t="n">
        <v>36951</v>
      </c>
      <c r="B28" s="114"/>
      <c r="C28" s="115" t="s">
        <v>97</v>
      </c>
      <c r="D28" s="116" t="n">
        <v>3.63</v>
      </c>
      <c r="E28" s="114"/>
      <c r="F28" s="117" t="n">
        <f aca="false">5000*31</f>
        <v>155000</v>
      </c>
      <c r="G28" s="116"/>
      <c r="H28" s="116" t="n">
        <f aca="false">+'[1]ELpaso SJ &amp; Prm'!$R14</f>
        <v>4.53033333333333</v>
      </c>
      <c r="I28" s="118" t="n">
        <f aca="false">(+D28-H28)*F28</f>
        <v>-139551.666666667</v>
      </c>
      <c r="J28" s="119"/>
      <c r="K28" s="119" t="n">
        <f aca="false">+I28</f>
        <v>-139551.666666667</v>
      </c>
    </row>
    <row r="29" customFormat="false" ht="12.75" hidden="false" customHeight="false" outlineLevel="0" collapsed="false">
      <c r="A29" s="113" t="n">
        <v>36982</v>
      </c>
      <c r="B29" s="114"/>
      <c r="C29" s="115" t="s">
        <v>97</v>
      </c>
      <c r="D29" s="116" t="n">
        <v>3.63</v>
      </c>
      <c r="E29" s="114"/>
      <c r="F29" s="117" t="n">
        <f aca="false">5000*30</f>
        <v>150000</v>
      </c>
      <c r="G29" s="116"/>
      <c r="H29" s="116" t="n">
        <f aca="false">+'[1]ELpaso SJ &amp; Prm'!$R15</f>
        <v>4.28583333333333</v>
      </c>
      <c r="I29" s="118" t="n">
        <f aca="false">(+D29-H29)*F29</f>
        <v>-98375.0000000001</v>
      </c>
      <c r="J29" s="119"/>
      <c r="K29" s="119" t="n">
        <f aca="false">+I29</f>
        <v>-98375.0000000001</v>
      </c>
    </row>
    <row r="30" customFormat="false" ht="12.75" hidden="false" customHeight="false" outlineLevel="0" collapsed="false">
      <c r="A30" s="113" t="n">
        <v>37012</v>
      </c>
      <c r="B30" s="114"/>
      <c r="C30" s="115" t="s">
        <v>97</v>
      </c>
      <c r="D30" s="116" t="n">
        <v>3.63</v>
      </c>
      <c r="E30" s="114"/>
      <c r="F30" s="117" t="n">
        <f aca="false">5000*31</f>
        <v>155000</v>
      </c>
      <c r="G30" s="114"/>
      <c r="H30" s="116" t="n">
        <f aca="false">+'[1]ELpaso SJ &amp; Prm'!$R16</f>
        <v>4.21083333333333</v>
      </c>
      <c r="I30" s="118" t="n">
        <f aca="false">(+D30-H30)*F30</f>
        <v>-90029.1666666667</v>
      </c>
      <c r="J30" s="120"/>
      <c r="K30" s="119" t="n">
        <f aca="false">+I30</f>
        <v>-90029.1666666667</v>
      </c>
    </row>
    <row r="31" customFormat="false" ht="12.75" hidden="false" customHeight="false" outlineLevel="0" collapsed="false">
      <c r="A31" s="113" t="n">
        <v>37043</v>
      </c>
      <c r="B31" s="114"/>
      <c r="C31" s="115" t="s">
        <v>97</v>
      </c>
      <c r="D31" s="116" t="n">
        <v>3.63</v>
      </c>
      <c r="E31" s="114"/>
      <c r="F31" s="117" t="n">
        <f aca="false">5000*30</f>
        <v>150000</v>
      </c>
      <c r="G31" s="114"/>
      <c r="H31" s="116" t="n">
        <f aca="false">+'[1]ELpaso SJ &amp; Prm'!$R17</f>
        <v>4.19583333333333</v>
      </c>
      <c r="I31" s="118" t="n">
        <f aca="false">(+D31-H31)*F31</f>
        <v>-84874.9999999999</v>
      </c>
      <c r="J31" s="120"/>
      <c r="K31" s="119" t="n">
        <f aca="false">+I31</f>
        <v>-84874.9999999999</v>
      </c>
    </row>
    <row r="32" customFormat="false" ht="12.75" hidden="false" customHeight="false" outlineLevel="0" collapsed="false">
      <c r="A32" s="113" t="n">
        <v>37073</v>
      </c>
      <c r="B32" s="114"/>
      <c r="C32" s="115" t="s">
        <v>97</v>
      </c>
      <c r="D32" s="116" t="n">
        <v>3.63</v>
      </c>
      <c r="E32" s="114"/>
      <c r="F32" s="117" t="n">
        <f aca="false">5000*31</f>
        <v>155000</v>
      </c>
      <c r="G32" s="114"/>
      <c r="H32" s="116" t="n">
        <f aca="false">+'[1]ELpaso SJ &amp; Prm'!$R18</f>
        <v>4.1975</v>
      </c>
      <c r="I32" s="118" t="n">
        <f aca="false">(+D32-H32)*F32</f>
        <v>-87962.4999999998</v>
      </c>
      <c r="J32" s="120"/>
      <c r="K32" s="119" t="n">
        <f aca="false">+I32</f>
        <v>-87962.4999999998</v>
      </c>
    </row>
    <row r="33" customFormat="false" ht="12.75" hidden="false" customHeight="false" outlineLevel="0" collapsed="false">
      <c r="A33" s="113" t="n">
        <v>37104</v>
      </c>
      <c r="B33" s="114"/>
      <c r="C33" s="115" t="s">
        <v>97</v>
      </c>
      <c r="D33" s="116" t="n">
        <v>3.63</v>
      </c>
      <c r="E33" s="114"/>
      <c r="F33" s="117" t="n">
        <f aca="false">5000*31</f>
        <v>155000</v>
      </c>
      <c r="G33" s="114"/>
      <c r="H33" s="116" t="n">
        <f aca="false">+'[1]ELpaso SJ &amp; Prm'!$R19</f>
        <v>4.1975</v>
      </c>
      <c r="I33" s="118" t="n">
        <f aca="false">(+D33-H33)*F33</f>
        <v>-87962.4999999998</v>
      </c>
      <c r="J33" s="120"/>
      <c r="K33" s="119" t="n">
        <f aca="false">+I33</f>
        <v>-87962.4999999998</v>
      </c>
    </row>
    <row r="34" customFormat="false" ht="12.75" hidden="false" customHeight="false" outlineLevel="0" collapsed="false">
      <c r="A34" s="113" t="n">
        <v>37135</v>
      </c>
      <c r="B34" s="114"/>
      <c r="C34" s="115" t="s">
        <v>97</v>
      </c>
      <c r="D34" s="116" t="n">
        <v>3.63</v>
      </c>
      <c r="E34" s="114"/>
      <c r="F34" s="117" t="n">
        <f aca="false">5000*30</f>
        <v>150000</v>
      </c>
      <c r="G34" s="114"/>
      <c r="H34" s="116" t="n">
        <f aca="false">+'[1]ELpaso SJ &amp; Prm'!$R20</f>
        <v>4.1875</v>
      </c>
      <c r="I34" s="118" t="n">
        <f aca="false">(+D34-H34)*F34</f>
        <v>-83625</v>
      </c>
      <c r="J34" s="120"/>
      <c r="K34" s="119" t="n">
        <f aca="false">+I34</f>
        <v>-83625</v>
      </c>
    </row>
    <row r="35" customFormat="false" ht="12.75" hidden="false" customHeight="false" outlineLevel="0" collapsed="false">
      <c r="A35" s="113" t="n">
        <v>37165</v>
      </c>
      <c r="B35" s="114"/>
      <c r="C35" s="115" t="s">
        <v>97</v>
      </c>
      <c r="D35" s="116" t="n">
        <v>3.63</v>
      </c>
      <c r="E35" s="114"/>
      <c r="F35" s="117" t="n">
        <f aca="false">5000*31</f>
        <v>155000</v>
      </c>
      <c r="G35" s="114"/>
      <c r="H35" s="116" t="n">
        <f aca="false">+'[1]ELpaso SJ &amp; Prm'!$R21</f>
        <v>4.18666666666667</v>
      </c>
      <c r="I35" s="118" t="n">
        <f aca="false">(+D35-H35)*F35</f>
        <v>-86283.3333333333</v>
      </c>
      <c r="J35" s="120"/>
      <c r="K35" s="119" t="n">
        <f aca="false">+I35</f>
        <v>-86283.3333333333</v>
      </c>
    </row>
    <row r="36" customFormat="false" ht="12.75" hidden="false" customHeight="false" outlineLevel="0" collapsed="false">
      <c r="A36" s="113" t="n">
        <v>37196</v>
      </c>
      <c r="B36" s="114"/>
      <c r="C36" s="115" t="s">
        <v>97</v>
      </c>
      <c r="D36" s="116" t="n">
        <v>3.63</v>
      </c>
      <c r="E36" s="114"/>
      <c r="F36" s="117" t="n">
        <f aca="false">5000*30</f>
        <v>150000</v>
      </c>
      <c r="G36" s="114"/>
      <c r="H36" s="116" t="n">
        <f aca="false">+'[1]ELpaso SJ &amp; Prm'!$R22</f>
        <v>4.3375</v>
      </c>
      <c r="I36" s="118" t="n">
        <f aca="false">(+D36-H36)*F36</f>
        <v>-106125</v>
      </c>
      <c r="J36" s="120"/>
      <c r="K36" s="119" t="n">
        <f aca="false">+I36</f>
        <v>-106125</v>
      </c>
    </row>
    <row r="37" customFormat="false" ht="12.75" hidden="false" customHeight="false" outlineLevel="0" collapsed="false">
      <c r="A37" s="113" t="n">
        <v>37226</v>
      </c>
      <c r="B37" s="114"/>
      <c r="C37" s="115" t="s">
        <v>97</v>
      </c>
      <c r="D37" s="116" t="n">
        <v>3.63</v>
      </c>
      <c r="E37" s="114"/>
      <c r="F37" s="117" t="n">
        <f aca="false">5000*31</f>
        <v>155000</v>
      </c>
      <c r="G37" s="114"/>
      <c r="H37" s="116" t="n">
        <f aca="false">+'[1]ELpaso SJ &amp; Prm'!$R23</f>
        <v>4.46083333333333</v>
      </c>
      <c r="I37" s="118" t="n">
        <f aca="false">(+D37-H37)*F37</f>
        <v>-128779.166666667</v>
      </c>
      <c r="J37" s="120"/>
      <c r="K37" s="119" t="n">
        <f aca="false">+I37</f>
        <v>-128779.166666667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1825000</v>
      </c>
      <c r="G39" s="114"/>
      <c r="H39" s="114"/>
      <c r="I39" s="130" t="n">
        <f aca="false">SUM(I26:I38)</f>
        <v>-1376276.66666667</v>
      </c>
      <c r="J39" s="130" t="n">
        <f aca="false">SUM(J26:J38)</f>
        <v>0</v>
      </c>
      <c r="K39" s="130" t="n">
        <f aca="false">SUM(K26:K38)</f>
        <v>-1376276.66666667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n">
        <f aca="false">+I39+I22</f>
        <v>98770.8333333333</v>
      </c>
      <c r="J41" s="132" t="n">
        <f aca="false">+J39+J22</f>
        <v>0</v>
      </c>
      <c r="K41" s="132" t="n">
        <f aca="false">+K39+K22</f>
        <v>98770.8333333333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87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 t="s">
        <v>94</v>
      </c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36892</v>
      </c>
      <c r="B9" s="114"/>
      <c r="C9" s="115" t="s">
        <v>59</v>
      </c>
      <c r="D9" s="116" t="n">
        <v>3.585</v>
      </c>
      <c r="E9" s="114"/>
      <c r="F9" s="117" t="n">
        <f aca="false">-5000*31</f>
        <v>-155000</v>
      </c>
      <c r="G9" s="116"/>
      <c r="H9" s="116" t="n">
        <f aca="false">+'[1]ELpaso SJ &amp; Prm'!$F37</f>
        <v>5.077</v>
      </c>
      <c r="I9" s="118" t="n">
        <f aca="false">SUM(D9-H9)*F9</f>
        <v>231260</v>
      </c>
      <c r="J9" s="119"/>
      <c r="K9" s="119" t="n">
        <f aca="false">+I9</f>
        <v>231260</v>
      </c>
    </row>
    <row r="10" customFormat="false" ht="12.75" hidden="false" customHeight="false" outlineLevel="0" collapsed="false">
      <c r="A10" s="113" t="n">
        <v>36923</v>
      </c>
      <c r="B10" s="114"/>
      <c r="C10" s="115" t="s">
        <v>59</v>
      </c>
      <c r="D10" s="116" t="n">
        <v>3.585</v>
      </c>
      <c r="E10" s="114"/>
      <c r="F10" s="117" t="n">
        <f aca="false">-5000*28</f>
        <v>-140000</v>
      </c>
      <c r="G10" s="116"/>
      <c r="H10" s="116" t="n">
        <f aca="false">+'[1]ELpaso SJ &amp; Prm'!$F38</f>
        <v>4.826</v>
      </c>
      <c r="I10" s="118" t="n">
        <f aca="false">SUM(D10-H10)*F10</f>
        <v>173740</v>
      </c>
      <c r="J10" s="119"/>
      <c r="K10" s="119" t="n">
        <f aca="false">+I10</f>
        <v>173740</v>
      </c>
    </row>
    <row r="11" customFormat="false" ht="12.75" hidden="false" customHeight="false" outlineLevel="0" collapsed="false">
      <c r="A11" s="113" t="n">
        <v>36951</v>
      </c>
      <c r="B11" s="114"/>
      <c r="C11" s="115" t="s">
        <v>59</v>
      </c>
      <c r="D11" s="116" t="n">
        <v>3.585</v>
      </c>
      <c r="E11" s="114"/>
      <c r="F11" s="117" t="n">
        <f aca="false">-5000*31</f>
        <v>-155000</v>
      </c>
      <c r="G11" s="116"/>
      <c r="H11" s="116" t="n">
        <f aca="false">+'[1]ELpaso SJ &amp; Prm'!$F39</f>
        <v>4.5795</v>
      </c>
      <c r="I11" s="118" t="n">
        <f aca="false">SUM(D11-H11)*F11</f>
        <v>154147.5</v>
      </c>
      <c r="J11" s="119"/>
      <c r="K11" s="119" t="n">
        <f aca="false">+I11</f>
        <v>154147.5</v>
      </c>
    </row>
    <row r="12" customFormat="false" ht="12.75" hidden="false" customHeight="false" outlineLevel="0" collapsed="false">
      <c r="A12" s="113" t="n">
        <v>36982</v>
      </c>
      <c r="B12" s="114"/>
      <c r="C12" s="115" t="s">
        <v>59</v>
      </c>
      <c r="D12" s="116" t="n">
        <v>3.585</v>
      </c>
      <c r="E12" s="114"/>
      <c r="F12" s="117" t="n">
        <f aca="false">-5000*30</f>
        <v>-150000</v>
      </c>
      <c r="G12" s="116"/>
      <c r="H12" s="116" t="n">
        <f aca="false">+'[1]ELpaso SJ &amp; Prm'!$F40</f>
        <v>4.3525</v>
      </c>
      <c r="I12" s="118" t="n">
        <f aca="false">SUM(D12-H12)*F12</f>
        <v>115125</v>
      </c>
      <c r="J12" s="119"/>
      <c r="K12" s="119" t="n">
        <f aca="false">+I12</f>
        <v>115125</v>
      </c>
    </row>
    <row r="13" customFormat="false" ht="12.75" hidden="false" customHeight="false" outlineLevel="0" collapsed="false">
      <c r="A13" s="113" t="n">
        <v>37012</v>
      </c>
      <c r="B13" s="114"/>
      <c r="C13" s="115" t="s">
        <v>59</v>
      </c>
      <c r="D13" s="116" t="n">
        <v>3.585</v>
      </c>
      <c r="E13" s="114"/>
      <c r="F13" s="117" t="n">
        <f aca="false">-5000*31</f>
        <v>-155000</v>
      </c>
      <c r="G13" s="114"/>
      <c r="H13" s="116" t="n">
        <f aca="false">+'[1]ELpaso SJ &amp; Prm'!$F41</f>
        <v>4.2775</v>
      </c>
      <c r="I13" s="118" t="n">
        <f aca="false">SUM(D13-H13)*F13</f>
        <v>107337.5</v>
      </c>
      <c r="J13" s="120"/>
      <c r="K13" s="119" t="n">
        <f aca="false">+I13</f>
        <v>107337.5</v>
      </c>
    </row>
    <row r="14" customFormat="false" ht="12.75" hidden="false" customHeight="false" outlineLevel="0" collapsed="false">
      <c r="A14" s="113" t="n">
        <v>37043</v>
      </c>
      <c r="B14" s="114"/>
      <c r="C14" s="115" t="s">
        <v>59</v>
      </c>
      <c r="D14" s="116" t="n">
        <v>3.585</v>
      </c>
      <c r="E14" s="114"/>
      <c r="F14" s="117" t="n">
        <f aca="false">-5000*30</f>
        <v>-150000</v>
      </c>
      <c r="G14" s="114"/>
      <c r="H14" s="116" t="n">
        <f aca="false">+'[1]ELpaso SJ &amp; Prm'!$F42</f>
        <v>4.2625</v>
      </c>
      <c r="I14" s="118" t="n">
        <f aca="false">SUM(D14-H14)*F14</f>
        <v>101625</v>
      </c>
      <c r="J14" s="120"/>
      <c r="K14" s="119" t="n">
        <f aca="false">+I14</f>
        <v>101625</v>
      </c>
    </row>
    <row r="15" customFormat="false" ht="12.75" hidden="false" customHeight="false" outlineLevel="0" collapsed="false">
      <c r="A15" s="113" t="n">
        <v>37073</v>
      </c>
      <c r="B15" s="114"/>
      <c r="C15" s="115" t="s">
        <v>59</v>
      </c>
      <c r="D15" s="116" t="n">
        <v>3.585</v>
      </c>
      <c r="E15" s="114"/>
      <c r="F15" s="117" t="n">
        <f aca="false">-5000*31</f>
        <v>-155000</v>
      </c>
      <c r="G15" s="114"/>
      <c r="H15" s="116" t="n">
        <f aca="false">+'[1]ELpaso SJ &amp; Prm'!$F43</f>
        <v>4.2625</v>
      </c>
      <c r="I15" s="118" t="n">
        <f aca="false">SUM(D15-H15)*F15</f>
        <v>105012.5</v>
      </c>
      <c r="J15" s="120"/>
      <c r="K15" s="119" t="n">
        <f aca="false">+I15</f>
        <v>105012.5</v>
      </c>
    </row>
    <row r="16" customFormat="false" ht="12.75" hidden="false" customHeight="false" outlineLevel="0" collapsed="false">
      <c r="A16" s="113" t="n">
        <v>37104</v>
      </c>
      <c r="B16" s="114"/>
      <c r="C16" s="115" t="s">
        <v>59</v>
      </c>
      <c r="D16" s="116" t="n">
        <v>3.585</v>
      </c>
      <c r="E16" s="114"/>
      <c r="F16" s="117" t="n">
        <f aca="false">-5000*31</f>
        <v>-155000</v>
      </c>
      <c r="G16" s="114"/>
      <c r="H16" s="116" t="n">
        <f aca="false">+'[1]ELpaso SJ &amp; Prm'!$F44</f>
        <v>4.2625</v>
      </c>
      <c r="I16" s="118" t="n">
        <f aca="false">SUM(D16-H16)*F16</f>
        <v>105012.5</v>
      </c>
      <c r="J16" s="120"/>
      <c r="K16" s="119" t="n">
        <f aca="false">+I16</f>
        <v>105012.5</v>
      </c>
    </row>
    <row r="17" customFormat="false" ht="12.75" hidden="false" customHeight="false" outlineLevel="0" collapsed="false">
      <c r="A17" s="113" t="n">
        <v>37135</v>
      </c>
      <c r="B17" s="114"/>
      <c r="C17" s="115" t="s">
        <v>59</v>
      </c>
      <c r="D17" s="116" t="n">
        <v>3.585</v>
      </c>
      <c r="E17" s="114"/>
      <c r="F17" s="117" t="n">
        <f aca="false">-5000*30</f>
        <v>-150000</v>
      </c>
      <c r="G17" s="114"/>
      <c r="H17" s="116" t="n">
        <f aca="false">+'[1]ELpaso SJ &amp; Prm'!$F45</f>
        <v>4.2525</v>
      </c>
      <c r="I17" s="118" t="n">
        <f aca="false">SUM(D17-H17)*F17</f>
        <v>100125</v>
      </c>
      <c r="J17" s="120"/>
      <c r="K17" s="119" t="n">
        <f aca="false">+I17</f>
        <v>100125</v>
      </c>
    </row>
    <row r="18" customFormat="false" ht="12.75" hidden="false" customHeight="false" outlineLevel="0" collapsed="false">
      <c r="A18" s="113" t="n">
        <v>37165</v>
      </c>
      <c r="B18" s="114"/>
      <c r="C18" s="115" t="s">
        <v>59</v>
      </c>
      <c r="D18" s="116" t="n">
        <v>3.585</v>
      </c>
      <c r="E18" s="114"/>
      <c r="F18" s="117" t="n">
        <f aca="false">-5000*31</f>
        <v>-155000</v>
      </c>
      <c r="G18" s="114"/>
      <c r="H18" s="116" t="n">
        <f aca="false">+'[1]ELpaso SJ &amp; Prm'!$F46</f>
        <v>4.2525</v>
      </c>
      <c r="I18" s="118" t="n">
        <f aca="false">SUM(D18-H18)*F18</f>
        <v>103462.5</v>
      </c>
      <c r="J18" s="120"/>
      <c r="K18" s="119" t="n">
        <f aca="false">+I18</f>
        <v>103462.5</v>
      </c>
    </row>
    <row r="19" customFormat="false" ht="12.75" hidden="false" customHeight="false" outlineLevel="0" collapsed="false">
      <c r="A19" s="113" t="n">
        <v>37196</v>
      </c>
      <c r="B19" s="114"/>
      <c r="C19" s="115" t="s">
        <v>59</v>
      </c>
      <c r="D19" s="116" t="n">
        <v>3.585</v>
      </c>
      <c r="E19" s="114"/>
      <c r="F19" s="117" t="n">
        <f aca="false">-5000*30</f>
        <v>-150000</v>
      </c>
      <c r="G19" s="114"/>
      <c r="H19" s="116" t="n">
        <f aca="false">+'[1]ELpaso SJ &amp; Prm'!$F47</f>
        <v>4.375</v>
      </c>
      <c r="I19" s="118" t="n">
        <f aca="false">SUM(D19-H19)*F19</f>
        <v>118500</v>
      </c>
      <c r="J19" s="120"/>
      <c r="K19" s="119" t="n">
        <f aca="false">+I19</f>
        <v>118500</v>
      </c>
    </row>
    <row r="20" customFormat="false" ht="12.75" hidden="false" customHeight="false" outlineLevel="0" collapsed="false">
      <c r="A20" s="113" t="n">
        <v>37226</v>
      </c>
      <c r="B20" s="114"/>
      <c r="C20" s="115" t="s">
        <v>59</v>
      </c>
      <c r="D20" s="116" t="n">
        <v>3.585</v>
      </c>
      <c r="E20" s="114"/>
      <c r="F20" s="117" t="n">
        <f aca="false">-5000*31</f>
        <v>-155000</v>
      </c>
      <c r="G20" s="114"/>
      <c r="H20" s="116" t="n">
        <f aca="false">+'[1]ELpaso SJ &amp; Prm'!$F48</f>
        <v>4.5</v>
      </c>
      <c r="I20" s="118" t="n">
        <f aca="false">SUM(D20-H20)*F20</f>
        <v>141825</v>
      </c>
      <c r="J20" s="120"/>
      <c r="K20" s="119" t="n">
        <f aca="false">+I20</f>
        <v>141825</v>
      </c>
    </row>
    <row r="21" customFormat="false" ht="12.75" hidden="false" customHeight="false" outlineLevel="0" collapsed="false">
      <c r="A21" s="113"/>
      <c r="B21" s="114"/>
      <c r="C21" s="115"/>
      <c r="D21" s="116"/>
      <c r="E21" s="114"/>
      <c r="F21" s="117"/>
      <c r="G21" s="114"/>
      <c r="H21" s="116"/>
      <c r="I21" s="118"/>
      <c r="J21" s="120"/>
      <c r="K21" s="119"/>
    </row>
    <row r="22" customFormat="false" ht="12.75" hidden="false" customHeight="false" outlineLevel="0" collapsed="false">
      <c r="A22" s="114"/>
      <c r="B22" s="114"/>
      <c r="C22" s="114"/>
      <c r="D22" s="114"/>
      <c r="E22" s="114"/>
      <c r="F22" s="121" t="n">
        <f aca="false">SUM(F9:F20)</f>
        <v>-1825000</v>
      </c>
      <c r="G22" s="114"/>
      <c r="H22" s="114"/>
      <c r="I22" s="122" t="n">
        <f aca="false">SUM(I9:I20)</f>
        <v>1557172.5</v>
      </c>
      <c r="J22" s="122" t="n">
        <f aca="false">SUM(J9:J20)</f>
        <v>0</v>
      </c>
      <c r="K22" s="122" t="n">
        <f aca="false">SUM(K9:K20)</f>
        <v>1557172.5</v>
      </c>
    </row>
    <row r="23" customFormat="false" ht="12.75" hidden="false" customHeight="false" outlineLevel="0" collapsed="false">
      <c r="A23" s="114"/>
      <c r="B23" s="114"/>
      <c r="C23" s="114"/>
      <c r="D23" s="114"/>
      <c r="E23" s="114"/>
      <c r="F23" s="123"/>
      <c r="G23" s="114"/>
      <c r="H23" s="114"/>
      <c r="I23" s="124"/>
      <c r="J23" s="125"/>
      <c r="K23" s="125"/>
    </row>
    <row r="24" customFormat="false" ht="12.75" hidden="false" customHeight="false" outlineLevel="0" collapsed="false">
      <c r="A24" s="114"/>
      <c r="B24" s="114"/>
      <c r="C24" s="114"/>
      <c r="D24" s="114"/>
      <c r="E24" s="114"/>
      <c r="F24" s="114"/>
      <c r="G24" s="126" t="s">
        <v>96</v>
      </c>
      <c r="H24" s="127"/>
      <c r="I24" s="114"/>
      <c r="J24" s="120"/>
      <c r="K24" s="120"/>
    </row>
    <row r="25" customFormat="false" ht="12.75" hidden="false" customHeight="false" outlineLevel="0" collapsed="false">
      <c r="A25" s="114"/>
      <c r="B25" s="114"/>
      <c r="C25" s="114"/>
      <c r="D25" s="116"/>
      <c r="E25" s="114"/>
      <c r="F25" s="114"/>
      <c r="G25" s="128"/>
      <c r="H25" s="127"/>
      <c r="I25" s="114"/>
      <c r="J25" s="120"/>
      <c r="K25" s="120"/>
    </row>
    <row r="26" customFormat="false" ht="12.75" hidden="false" customHeight="false" outlineLevel="0" collapsed="false">
      <c r="A26" s="113" t="n">
        <v>36892</v>
      </c>
      <c r="B26" s="114"/>
      <c r="C26" s="115" t="s">
        <v>97</v>
      </c>
      <c r="D26" s="116" t="n">
        <v>3.585</v>
      </c>
      <c r="E26" s="114"/>
      <c r="F26" s="117" t="n">
        <f aca="false">5000*31</f>
        <v>155000</v>
      </c>
      <c r="G26" s="116"/>
      <c r="H26" s="116" t="n">
        <f aca="false">+'[1]ELpaso SJ &amp; Prm'!$R12</f>
        <v>5.04366666666667</v>
      </c>
      <c r="I26" s="118" t="n">
        <f aca="false">(+D26-H26)*F26</f>
        <v>-226093.333333333</v>
      </c>
      <c r="J26" s="119"/>
      <c r="K26" s="119" t="n">
        <f aca="false">+I26</f>
        <v>-226093.333333333</v>
      </c>
    </row>
    <row r="27" customFormat="false" ht="12.75" hidden="false" customHeight="false" outlineLevel="0" collapsed="false">
      <c r="A27" s="113" t="n">
        <v>36923</v>
      </c>
      <c r="B27" s="114"/>
      <c r="C27" s="115" t="s">
        <v>97</v>
      </c>
      <c r="D27" s="116" t="n">
        <v>3.585</v>
      </c>
      <c r="E27" s="114"/>
      <c r="F27" s="117" t="n">
        <f aca="false">5000*28</f>
        <v>140000</v>
      </c>
      <c r="G27" s="116"/>
      <c r="H27" s="116" t="n">
        <f aca="false">+'[1]ELpaso SJ &amp; Prm'!$R13</f>
        <v>4.7985</v>
      </c>
      <c r="I27" s="118" t="n">
        <f aca="false">(+D27-H27)*F27</f>
        <v>-169890</v>
      </c>
      <c r="J27" s="119"/>
      <c r="K27" s="119" t="n">
        <f aca="false">+I27</f>
        <v>-169890</v>
      </c>
    </row>
    <row r="28" customFormat="false" ht="12.75" hidden="false" customHeight="false" outlineLevel="0" collapsed="false">
      <c r="A28" s="113" t="n">
        <v>36951</v>
      </c>
      <c r="B28" s="114"/>
      <c r="C28" s="115" t="s">
        <v>97</v>
      </c>
      <c r="D28" s="116" t="n">
        <v>3.585</v>
      </c>
      <c r="E28" s="114"/>
      <c r="F28" s="117" t="n">
        <f aca="false">5000*31</f>
        <v>155000</v>
      </c>
      <c r="G28" s="116"/>
      <c r="H28" s="116" t="n">
        <f aca="false">+'[1]ELpaso SJ &amp; Prm'!$R14</f>
        <v>4.53033333333333</v>
      </c>
      <c r="I28" s="118" t="n">
        <f aca="false">(+D28-H28)*F28</f>
        <v>-146526.666666667</v>
      </c>
      <c r="J28" s="119"/>
      <c r="K28" s="119" t="n">
        <f aca="false">+I28</f>
        <v>-146526.666666667</v>
      </c>
    </row>
    <row r="29" customFormat="false" ht="12.75" hidden="false" customHeight="false" outlineLevel="0" collapsed="false">
      <c r="A29" s="113" t="n">
        <v>36982</v>
      </c>
      <c r="B29" s="114"/>
      <c r="C29" s="115" t="s">
        <v>97</v>
      </c>
      <c r="D29" s="116" t="n">
        <v>3.585</v>
      </c>
      <c r="E29" s="114"/>
      <c r="F29" s="117" t="n">
        <f aca="false">5000*30</f>
        <v>150000</v>
      </c>
      <c r="G29" s="116"/>
      <c r="H29" s="116" t="n">
        <f aca="false">+'[1]ELpaso SJ &amp; Prm'!$R15</f>
        <v>4.28583333333333</v>
      </c>
      <c r="I29" s="118" t="n">
        <f aca="false">(+D29-H29)*F29</f>
        <v>-105125</v>
      </c>
      <c r="J29" s="119"/>
      <c r="K29" s="119" t="n">
        <f aca="false">+I29</f>
        <v>-105125</v>
      </c>
    </row>
    <row r="30" customFormat="false" ht="12.75" hidden="false" customHeight="false" outlineLevel="0" collapsed="false">
      <c r="A30" s="113" t="n">
        <v>37012</v>
      </c>
      <c r="B30" s="114"/>
      <c r="C30" s="115" t="s">
        <v>97</v>
      </c>
      <c r="D30" s="116" t="n">
        <v>3.585</v>
      </c>
      <c r="E30" s="114"/>
      <c r="F30" s="117" t="n">
        <f aca="false">5000*31</f>
        <v>155000</v>
      </c>
      <c r="G30" s="114"/>
      <c r="H30" s="116" t="n">
        <f aca="false">+'[1]ELpaso SJ &amp; Prm'!$R16</f>
        <v>4.21083333333333</v>
      </c>
      <c r="I30" s="118" t="n">
        <f aca="false">(+D30-H30)*F30</f>
        <v>-97004.1666666667</v>
      </c>
      <c r="J30" s="120"/>
      <c r="K30" s="119" t="n">
        <f aca="false">+I30</f>
        <v>-97004.1666666667</v>
      </c>
    </row>
    <row r="31" customFormat="false" ht="12.75" hidden="false" customHeight="false" outlineLevel="0" collapsed="false">
      <c r="A31" s="113" t="n">
        <v>37043</v>
      </c>
      <c r="B31" s="114"/>
      <c r="C31" s="115" t="s">
        <v>97</v>
      </c>
      <c r="D31" s="116" t="n">
        <v>3.585</v>
      </c>
      <c r="E31" s="114"/>
      <c r="F31" s="117" t="n">
        <f aca="false">5000*30</f>
        <v>150000</v>
      </c>
      <c r="G31" s="114"/>
      <c r="H31" s="116" t="n">
        <f aca="false">+'[1]ELpaso SJ &amp; Prm'!$R17</f>
        <v>4.19583333333333</v>
      </c>
      <c r="I31" s="118" t="n">
        <f aca="false">(+D31-H31)*F31</f>
        <v>-91624.9999999999</v>
      </c>
      <c r="J31" s="120"/>
      <c r="K31" s="119" t="n">
        <f aca="false">+I31</f>
        <v>-91624.9999999999</v>
      </c>
    </row>
    <row r="32" customFormat="false" ht="12.75" hidden="false" customHeight="false" outlineLevel="0" collapsed="false">
      <c r="A32" s="113" t="n">
        <v>37073</v>
      </c>
      <c r="B32" s="114"/>
      <c r="C32" s="115" t="s">
        <v>97</v>
      </c>
      <c r="D32" s="116" t="n">
        <v>3.585</v>
      </c>
      <c r="E32" s="114"/>
      <c r="F32" s="117" t="n">
        <f aca="false">5000*31</f>
        <v>155000</v>
      </c>
      <c r="G32" s="114"/>
      <c r="H32" s="116" t="n">
        <f aca="false">+'[1]ELpaso SJ &amp; Prm'!$R18</f>
        <v>4.1975</v>
      </c>
      <c r="I32" s="118" t="n">
        <f aca="false">(+D32-H32)*F32</f>
        <v>-94937.4999999998</v>
      </c>
      <c r="J32" s="120"/>
      <c r="K32" s="119" t="n">
        <f aca="false">+I32</f>
        <v>-94937.4999999998</v>
      </c>
    </row>
    <row r="33" customFormat="false" ht="12.75" hidden="false" customHeight="false" outlineLevel="0" collapsed="false">
      <c r="A33" s="113" t="n">
        <v>37104</v>
      </c>
      <c r="B33" s="114"/>
      <c r="C33" s="115" t="s">
        <v>97</v>
      </c>
      <c r="D33" s="116" t="n">
        <v>3.585</v>
      </c>
      <c r="E33" s="114"/>
      <c r="F33" s="117" t="n">
        <f aca="false">5000*31</f>
        <v>155000</v>
      </c>
      <c r="G33" s="114"/>
      <c r="H33" s="116" t="n">
        <f aca="false">+'[1]ELpaso SJ &amp; Prm'!$R19</f>
        <v>4.1975</v>
      </c>
      <c r="I33" s="118" t="n">
        <f aca="false">(+D33-H33)*F33</f>
        <v>-94937.4999999998</v>
      </c>
      <c r="J33" s="120"/>
      <c r="K33" s="119" t="n">
        <f aca="false">+I33</f>
        <v>-94937.4999999998</v>
      </c>
    </row>
    <row r="34" customFormat="false" ht="12.75" hidden="false" customHeight="false" outlineLevel="0" collapsed="false">
      <c r="A34" s="113" t="n">
        <v>37135</v>
      </c>
      <c r="B34" s="114"/>
      <c r="C34" s="115" t="s">
        <v>97</v>
      </c>
      <c r="D34" s="116" t="n">
        <v>3.585</v>
      </c>
      <c r="E34" s="114"/>
      <c r="F34" s="117" t="n">
        <f aca="false">5000*30</f>
        <v>150000</v>
      </c>
      <c r="G34" s="114"/>
      <c r="H34" s="116" t="n">
        <f aca="false">+'[1]ELpaso SJ &amp; Prm'!$R20</f>
        <v>4.1875</v>
      </c>
      <c r="I34" s="118" t="n">
        <f aca="false">(+D34-H34)*F34</f>
        <v>-90375</v>
      </c>
      <c r="J34" s="120"/>
      <c r="K34" s="119" t="n">
        <f aca="false">+I34</f>
        <v>-90375</v>
      </c>
    </row>
    <row r="35" customFormat="false" ht="12.75" hidden="false" customHeight="false" outlineLevel="0" collapsed="false">
      <c r="A35" s="113" t="n">
        <v>37165</v>
      </c>
      <c r="B35" s="114"/>
      <c r="C35" s="115" t="s">
        <v>97</v>
      </c>
      <c r="D35" s="116" t="n">
        <v>3.585</v>
      </c>
      <c r="E35" s="114"/>
      <c r="F35" s="117" t="n">
        <f aca="false">5000*31</f>
        <v>155000</v>
      </c>
      <c r="G35" s="114"/>
      <c r="H35" s="116" t="n">
        <f aca="false">+'[1]ELpaso SJ &amp; Prm'!$R21</f>
        <v>4.18666666666667</v>
      </c>
      <c r="I35" s="118" t="n">
        <f aca="false">(+D35-H35)*F35</f>
        <v>-93258.3333333333</v>
      </c>
      <c r="J35" s="120"/>
      <c r="K35" s="119" t="n">
        <f aca="false">+I35</f>
        <v>-93258.3333333333</v>
      </c>
    </row>
    <row r="36" customFormat="false" ht="12.75" hidden="false" customHeight="false" outlineLevel="0" collapsed="false">
      <c r="A36" s="113" t="n">
        <v>37196</v>
      </c>
      <c r="B36" s="114"/>
      <c r="C36" s="115" t="s">
        <v>97</v>
      </c>
      <c r="D36" s="116" t="n">
        <v>3.585</v>
      </c>
      <c r="E36" s="114"/>
      <c r="F36" s="117" t="n">
        <f aca="false">5000*30</f>
        <v>150000</v>
      </c>
      <c r="G36" s="114"/>
      <c r="H36" s="116" t="n">
        <f aca="false">+'[1]ELpaso SJ &amp; Prm'!$R22</f>
        <v>4.3375</v>
      </c>
      <c r="I36" s="118" t="n">
        <f aca="false">(+D36-H36)*F36</f>
        <v>-112875</v>
      </c>
      <c r="J36" s="120"/>
      <c r="K36" s="119" t="n">
        <f aca="false">+I36</f>
        <v>-112875</v>
      </c>
    </row>
    <row r="37" customFormat="false" ht="12.75" hidden="false" customHeight="false" outlineLevel="0" collapsed="false">
      <c r="A37" s="113" t="n">
        <v>37226</v>
      </c>
      <c r="B37" s="114"/>
      <c r="C37" s="115" t="s">
        <v>97</v>
      </c>
      <c r="D37" s="116" t="n">
        <v>3.585</v>
      </c>
      <c r="E37" s="114"/>
      <c r="F37" s="117" t="n">
        <f aca="false">5000*31</f>
        <v>155000</v>
      </c>
      <c r="G37" s="114"/>
      <c r="H37" s="116" t="n">
        <f aca="false">+'[1]ELpaso SJ &amp; Prm'!$R23</f>
        <v>4.46083333333333</v>
      </c>
      <c r="I37" s="118" t="n">
        <f aca="false">(+D37-H37)*F37</f>
        <v>-135754.166666667</v>
      </c>
      <c r="J37" s="120"/>
      <c r="K37" s="119" t="n">
        <f aca="false">+I37</f>
        <v>-135754.166666667</v>
      </c>
    </row>
    <row r="38" customFormat="false" ht="12.75" hidden="false" customHeight="false" outlineLevel="0" collapsed="false">
      <c r="A38" s="113"/>
      <c r="B38" s="114"/>
      <c r="C38" s="115"/>
      <c r="D38" s="116"/>
      <c r="E38" s="114"/>
      <c r="F38" s="117"/>
      <c r="G38" s="114"/>
      <c r="H38" s="116"/>
      <c r="I38" s="129"/>
      <c r="J38" s="120"/>
      <c r="K38" s="119"/>
    </row>
    <row r="39" customFormat="false" ht="12.75" hidden="false" customHeight="false" outlineLevel="0" collapsed="false">
      <c r="A39" s="114"/>
      <c r="B39" s="114"/>
      <c r="C39" s="114"/>
      <c r="D39" s="114"/>
      <c r="E39" s="114"/>
      <c r="F39" s="121" t="n">
        <f aca="false">SUM(F26:F38)</f>
        <v>1825000</v>
      </c>
      <c r="G39" s="114"/>
      <c r="H39" s="114"/>
      <c r="I39" s="130" t="n">
        <f aca="false">SUM(I26:I38)</f>
        <v>-1458401.66666667</v>
      </c>
      <c r="J39" s="130" t="n">
        <f aca="false">SUM(J26:J38)</f>
        <v>0</v>
      </c>
      <c r="K39" s="130" t="n">
        <f aca="false">SUM(K26:K38)</f>
        <v>-1458401.66666667</v>
      </c>
    </row>
    <row r="40" customFormat="false" ht="12.75" hidden="false" customHeight="false" outlineLevel="0" collapsed="false">
      <c r="A40" s="114"/>
      <c r="B40" s="114"/>
      <c r="C40" s="114"/>
      <c r="D40" s="114"/>
      <c r="E40" s="114"/>
      <c r="F40" s="114"/>
      <c r="G40" s="114"/>
      <c r="H40" s="114"/>
      <c r="I40" s="114"/>
      <c r="J40" s="120"/>
      <c r="K40" s="120"/>
    </row>
    <row r="41" customFormat="false" ht="13.5" hidden="false" customHeight="false" outlineLevel="0" collapsed="false">
      <c r="A41" s="114"/>
      <c r="B41" s="114"/>
      <c r="C41" s="114"/>
      <c r="D41" s="114"/>
      <c r="E41" s="114"/>
      <c r="F41" s="131" t="n">
        <f aca="false">+F39+F22</f>
        <v>0</v>
      </c>
      <c r="G41" s="114"/>
      <c r="H41" s="114"/>
      <c r="I41" s="132" t="n">
        <f aca="false">+I39+I22</f>
        <v>98770.833333333</v>
      </c>
      <c r="J41" s="132" t="n">
        <f aca="false">+J39+J22</f>
        <v>0</v>
      </c>
      <c r="K41" s="132" t="n">
        <f aca="false">+K39+K22</f>
        <v>98770.833333333</v>
      </c>
    </row>
    <row r="42" customFormat="false" ht="13.5" hidden="false" customHeight="fals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4"/>
      <c r="K42" s="134"/>
    </row>
    <row r="44" customFormat="false" ht="12.75" hidden="false" customHeight="false" outlineLevel="0" collapsed="false">
      <c r="A44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7.28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107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108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/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36831</v>
      </c>
      <c r="B9" s="114"/>
      <c r="C9" s="115" t="s">
        <v>109</v>
      </c>
      <c r="D9" s="116" t="n">
        <v>0.07</v>
      </c>
      <c r="E9" s="114"/>
      <c r="F9" s="117" t="n">
        <f aca="false">-5000*31</f>
        <v>-155000</v>
      </c>
      <c r="G9" s="116"/>
      <c r="H9" s="116"/>
      <c r="I9" s="118" t="n">
        <f aca="false">-F9*D9</f>
        <v>10850</v>
      </c>
      <c r="J9" s="119" t="n">
        <f aca="false">+I9</f>
        <v>10850</v>
      </c>
      <c r="K9" s="119"/>
    </row>
    <row r="10" customFormat="false" ht="12.75" hidden="false" customHeight="false" outlineLevel="0" collapsed="false">
      <c r="A10" s="113"/>
      <c r="B10" s="114"/>
      <c r="C10" s="115"/>
      <c r="D10" s="116"/>
      <c r="E10" s="114"/>
      <c r="F10" s="117"/>
      <c r="G10" s="116"/>
      <c r="H10" s="116"/>
      <c r="I10" s="118"/>
      <c r="J10" s="119"/>
      <c r="K10" s="119"/>
    </row>
    <row r="11" customFormat="false" ht="12.75" hidden="false" customHeight="false" outlineLevel="0" collapsed="false">
      <c r="A11" s="113"/>
      <c r="B11" s="114"/>
      <c r="C11" s="115"/>
      <c r="D11" s="116"/>
      <c r="E11" s="114"/>
      <c r="F11" s="117"/>
      <c r="H11" s="116"/>
      <c r="I11" s="118"/>
      <c r="J11" s="120"/>
      <c r="K11" s="119"/>
    </row>
    <row r="12" customFormat="false" ht="13.5" hidden="false" customHeight="false" outlineLevel="0" collapsed="false">
      <c r="A12" s="114"/>
      <c r="B12" s="114"/>
      <c r="C12" s="114"/>
      <c r="D12" s="114"/>
      <c r="E12" s="114"/>
      <c r="F12" s="131" t="n">
        <f aca="false">SUM(F9:F10)</f>
        <v>-155000</v>
      </c>
      <c r="G12" s="114"/>
      <c r="H12" s="144"/>
      <c r="I12" s="145" t="n">
        <f aca="false">SUM(I9:I10)</f>
        <v>10850</v>
      </c>
      <c r="J12" s="145" t="n">
        <f aca="false">SUM(J9:J10)</f>
        <v>10850</v>
      </c>
      <c r="K12" s="145" t="n">
        <f aca="false">SUM(K9:K10)</f>
        <v>0</v>
      </c>
    </row>
    <row r="13" customFormat="false" ht="13.5" hidden="false" customHeight="false" outlineLevel="0" collapsed="false">
      <c r="A13" s="114"/>
      <c r="B13" s="114"/>
      <c r="C13" s="114"/>
      <c r="D13" s="114"/>
      <c r="E13" s="114"/>
      <c r="F13" s="123"/>
      <c r="G13" s="114"/>
      <c r="H13" s="114"/>
      <c r="I13" s="124"/>
      <c r="J13" s="125"/>
      <c r="K13" s="125"/>
    </row>
    <row r="14" customFormat="false" ht="12.75" hidden="false" customHeight="false" outlineLevel="0" collapsed="false">
      <c r="A14" s="114"/>
      <c r="B14" s="114"/>
      <c r="C14" s="114"/>
      <c r="D14" s="114"/>
      <c r="E14" s="114"/>
      <c r="F14" s="114"/>
      <c r="G14" s="114"/>
      <c r="H14" s="114"/>
      <c r="I14" s="114"/>
      <c r="J14" s="120"/>
      <c r="K14" s="120"/>
    </row>
    <row r="15" customFormat="false" ht="12.75" hidden="false" customHeight="false" outlineLevel="0" collapsed="false">
      <c r="A15" s="133"/>
      <c r="B15" s="133"/>
      <c r="C15" s="133"/>
      <c r="D15" s="133"/>
      <c r="E15" s="133"/>
      <c r="F15" s="133"/>
      <c r="G15" s="133"/>
      <c r="H15" s="133"/>
      <c r="I15" s="133"/>
      <c r="J15" s="134"/>
      <c r="K15" s="134"/>
    </row>
    <row r="17" customFormat="false" ht="12.75" hidden="false" customHeight="false" outlineLevel="0" collapsed="false">
      <c r="A17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99" t="s">
        <v>99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customFormat="false" ht="15" hidden="false" customHeight="false" outlineLevel="0" collapsed="false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customFormat="false" ht="15.75" hidden="false" customHeight="false" outlineLevel="0" collapsed="false">
      <c r="A3" s="99" t="s">
        <v>110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15.75" hidden="false" customHeight="false" outlineLevel="0" collapsed="false">
      <c r="A4" s="100"/>
      <c r="B4" s="100"/>
      <c r="C4" s="100"/>
      <c r="D4" s="100"/>
      <c r="E4" s="100"/>
      <c r="F4" s="100"/>
      <c r="G4" s="100"/>
      <c r="H4" s="100"/>
      <c r="I4" s="100"/>
      <c r="J4" s="101"/>
      <c r="K4" s="101"/>
    </row>
    <row r="6" customFormat="false" ht="12.75" hidden="false" customHeight="false" outlineLevel="0" collapsed="false">
      <c r="A6" s="102" t="s">
        <v>89</v>
      </c>
      <c r="B6" s="103" t="s">
        <v>7</v>
      </c>
      <c r="C6" s="103" t="s">
        <v>7</v>
      </c>
      <c r="D6" s="103" t="s">
        <v>90</v>
      </c>
      <c r="E6" s="103"/>
      <c r="F6" s="103" t="s">
        <v>14</v>
      </c>
      <c r="G6" s="103" t="s">
        <v>91</v>
      </c>
      <c r="H6" s="103" t="s">
        <v>28</v>
      </c>
      <c r="I6" s="104" t="s">
        <v>92</v>
      </c>
      <c r="J6" s="104"/>
      <c r="K6" s="104"/>
    </row>
    <row r="7" customFormat="false" ht="12.75" hidden="false" customHeight="false" outlineLevel="0" collapsed="false">
      <c r="A7" s="105" t="s">
        <v>21</v>
      </c>
      <c r="B7" s="106" t="s">
        <v>17</v>
      </c>
      <c r="C7" s="106" t="s">
        <v>16</v>
      </c>
      <c r="D7" s="106" t="s">
        <v>22</v>
      </c>
      <c r="E7" s="106"/>
      <c r="F7" s="106" t="s">
        <v>93</v>
      </c>
      <c r="G7" s="106" t="s">
        <v>22</v>
      </c>
      <c r="H7" s="106" t="s">
        <v>22</v>
      </c>
      <c r="I7" s="106" t="s">
        <v>30</v>
      </c>
      <c r="J7" s="106" t="s">
        <v>31</v>
      </c>
      <c r="K7" s="107" t="s">
        <v>32</v>
      </c>
    </row>
    <row r="8" customFormat="false" ht="12.75" hidden="false" customHeight="false" outlineLevel="0" collapsed="false">
      <c r="A8" s="108"/>
      <c r="B8" s="109"/>
      <c r="C8" s="109"/>
      <c r="D8" s="109"/>
      <c r="E8" s="109"/>
      <c r="F8" s="109"/>
      <c r="G8" s="110"/>
      <c r="H8" s="111"/>
      <c r="I8" s="111" t="s">
        <v>95</v>
      </c>
      <c r="J8" s="111" t="s">
        <v>95</v>
      </c>
      <c r="K8" s="112" t="s">
        <v>95</v>
      </c>
    </row>
    <row r="9" customFormat="false" ht="12.75" hidden="false" customHeight="false" outlineLevel="0" collapsed="false">
      <c r="A9" s="113" t="n">
        <v>36831</v>
      </c>
      <c r="B9" s="114"/>
      <c r="C9" s="115" t="s">
        <v>111</v>
      </c>
      <c r="D9" s="116" t="n">
        <v>0.05</v>
      </c>
      <c r="E9" s="114"/>
      <c r="F9" s="117" t="n">
        <v>155000</v>
      </c>
      <c r="G9" s="116"/>
      <c r="H9" s="116"/>
      <c r="I9" s="118" t="n">
        <f aca="false">-F9*D9</f>
        <v>-7750</v>
      </c>
      <c r="J9" s="119" t="n">
        <f aca="false">+I9</f>
        <v>-7750</v>
      </c>
      <c r="K9" s="119"/>
    </row>
    <row r="10" customFormat="false" ht="12.75" hidden="false" customHeight="false" outlineLevel="0" collapsed="false">
      <c r="A10" s="113"/>
      <c r="B10" s="114"/>
      <c r="C10" s="115"/>
      <c r="D10" s="116"/>
      <c r="E10" s="114"/>
      <c r="F10" s="117"/>
      <c r="G10" s="114"/>
      <c r="H10" s="116"/>
      <c r="I10" s="118"/>
      <c r="J10" s="119"/>
      <c r="K10" s="119"/>
    </row>
    <row r="11" customFormat="false" ht="12.75" hidden="false" customHeight="false" outlineLevel="0" collapsed="false">
      <c r="A11" s="113"/>
      <c r="B11" s="114"/>
      <c r="C11" s="115"/>
      <c r="D11" s="116"/>
      <c r="E11" s="114"/>
      <c r="F11" s="117"/>
      <c r="G11" s="114"/>
      <c r="H11" s="116"/>
      <c r="I11" s="118"/>
      <c r="J11" s="119"/>
      <c r="K11" s="119"/>
    </row>
    <row r="12" customFormat="false" ht="13.5" hidden="false" customHeight="false" outlineLevel="0" collapsed="false">
      <c r="A12" s="114"/>
      <c r="B12" s="114"/>
      <c r="C12" s="114"/>
      <c r="D12" s="114"/>
      <c r="E12" s="114"/>
      <c r="F12" s="131" t="n">
        <f aca="false">SUM(F9:F11)</f>
        <v>155000</v>
      </c>
      <c r="G12" s="114"/>
      <c r="H12" s="144"/>
      <c r="I12" s="145" t="n">
        <f aca="false">SUM(I9:I11)</f>
        <v>-7750</v>
      </c>
      <c r="J12" s="145" t="n">
        <f aca="false">SUM(J9:J11)</f>
        <v>-7750</v>
      </c>
      <c r="K12" s="145" t="n">
        <f aca="false">SUM(K9:K11)</f>
        <v>0</v>
      </c>
    </row>
    <row r="13" customFormat="false" ht="13.5" hidden="false" customHeight="false" outlineLevel="0" collapsed="false">
      <c r="A13" s="114"/>
      <c r="B13" s="114"/>
      <c r="C13" s="114"/>
      <c r="D13" s="114"/>
      <c r="E13" s="114"/>
      <c r="F13" s="123"/>
      <c r="G13" s="114"/>
      <c r="H13" s="114"/>
      <c r="I13" s="124"/>
      <c r="J13" s="125"/>
      <c r="K13" s="125"/>
    </row>
    <row r="14" customFormat="false" ht="12.75" hidden="false" customHeight="false" outlineLevel="0" collapsed="false">
      <c r="A14" s="114"/>
      <c r="B14" s="114"/>
      <c r="C14" s="114"/>
      <c r="D14" s="116"/>
      <c r="E14" s="114"/>
      <c r="F14" s="114"/>
      <c r="G14" s="128"/>
      <c r="H14" s="127"/>
      <c r="I14" s="114"/>
      <c r="J14" s="120"/>
      <c r="K14" s="120"/>
    </row>
    <row r="15" customFormat="false" ht="12.75" hidden="false" customHeight="false" outlineLevel="0" collapsed="false">
      <c r="A15" s="133"/>
      <c r="B15" s="133"/>
      <c r="C15" s="133"/>
      <c r="D15" s="133"/>
      <c r="E15" s="133"/>
      <c r="F15" s="133"/>
      <c r="G15" s="133"/>
      <c r="H15" s="133"/>
      <c r="I15" s="133"/>
      <c r="J15" s="134"/>
      <c r="K15" s="134"/>
    </row>
    <row r="17" customFormat="false" ht="12.75" hidden="false" customHeight="false" outlineLevel="0" collapsed="false">
      <c r="A17" s="98" t="s">
        <v>98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DEBBIE A MOSELEY</cp:lastModifiedBy>
  <cp:lastPrinted>2000-10-30T17:12:35Z</cp:lastPrinted>
  <cp:revision>0</cp:revision>
  <dc:subject/>
  <dc:title/>
</cp:coreProperties>
</file>