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Avista_1" sheetId="2" state="visible" r:id="rId4"/>
    <sheet name="Sempra_1" sheetId="3" state="visible" r:id="rId5"/>
    <sheet name="Avista_2" sheetId="4" state="visible" r:id="rId6"/>
    <sheet name="Sempra_2" sheetId="5" state="visible" r:id="rId7"/>
    <sheet name="Sempra_2.1" sheetId="6" state="visible" r:id="rId8"/>
    <sheet name="RMTC_2" sheetId="7" state="visible" r:id="rId9"/>
    <sheet name="Elpaso_6" sheetId="8" state="visible" r:id="rId10"/>
    <sheet name="MEC_8" sheetId="9" state="visible" r:id="rId11"/>
    <sheet name="Open Positions (2)" sheetId="10" state="visible" r:id="rId12"/>
  </sheets>
  <externalReferences>
    <externalReference r:id="rId13"/>
  </externalReferences>
  <definedNames>
    <definedName function="false" hidden="false" localSheetId="1" name="_xlnm.Print_Area" vbProcedure="false">Avista_1!$A$1:$K$41</definedName>
    <definedName function="false" hidden="false" localSheetId="3" name="_xlnm.Print_Area" vbProcedure="false">Avista_2!$A$1:$K$46</definedName>
    <definedName function="false" hidden="false" localSheetId="2" name="_xlnm.Print_Area" vbProcedure="false">Sempra_1!$A$1:$K$44</definedName>
    <definedName function="false" hidden="false" localSheetId="0" name="_xlnm.Print_Area" vbProcedure="false">Summary!$A$1:$Q$72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<sst xmlns="http://schemas.openxmlformats.org/spreadsheetml/2006/main" count="1098" uniqueCount="115">
  <si>
    <t xml:space="preserve">ENRON TRANSPORTATION &amp; STORAGE</t>
  </si>
  <si>
    <t xml:space="preserve">FUEL HEDGING BOOK</t>
  </si>
  <si>
    <t xml:space="preserve">SUMMARY</t>
  </si>
  <si>
    <t xml:space="preserve">AS OF DECEMBER 09, 1999</t>
  </si>
  <si>
    <t xml:space="preserve">Related</t>
  </si>
  <si>
    <t xml:space="preserve">Company</t>
  </si>
  <si>
    <t xml:space="preserve">Contract</t>
  </si>
  <si>
    <t xml:space="preserve">Hedged</t>
  </si>
  <si>
    <t xml:space="preserve">Offsetting</t>
  </si>
  <si>
    <t xml:space="preserve">Hedge</t>
  </si>
  <si>
    <t xml:space="preserve">Unhedged</t>
  </si>
  <si>
    <t xml:space="preserve">Avg.</t>
  </si>
  <si>
    <t xml:space="preserve">Spread</t>
  </si>
  <si>
    <t xml:space="preserve">Fuel</t>
  </si>
  <si>
    <t xml:space="preserve">Trans.</t>
  </si>
  <si>
    <t xml:space="preserve">Name</t>
  </si>
  <si>
    <t xml:space="preserve">Number</t>
  </si>
  <si>
    <t xml:space="preserve">Type</t>
  </si>
  <si>
    <t xml:space="preserve">Counter-</t>
  </si>
  <si>
    <t xml:space="preserve">Term</t>
  </si>
  <si>
    <t xml:space="preserve">Price</t>
  </si>
  <si>
    <t xml:space="preserve">Actual/</t>
  </si>
  <si>
    <t xml:space="preserve">Volume</t>
  </si>
  <si>
    <t xml:space="preserve">Dth/d</t>
  </si>
  <si>
    <t xml:space="preserve">Gains and (Losses)</t>
  </si>
  <si>
    <t xml:space="preserve">(1)</t>
  </si>
  <si>
    <t xml:space="preserve">Party</t>
  </si>
  <si>
    <t xml:space="preserve">Futures</t>
  </si>
  <si>
    <t xml:space="preserve">(Short)</t>
  </si>
  <si>
    <t xml:space="preserve">Total</t>
  </si>
  <si>
    <t xml:space="preserve">Realized</t>
  </si>
  <si>
    <t xml:space="preserve">Unrealized</t>
  </si>
  <si>
    <t xml:space="preserve">Prices</t>
  </si>
  <si>
    <t xml:space="preserve">Long</t>
  </si>
  <si>
    <t xml:space="preserve">(4)</t>
  </si>
  <si>
    <t xml:space="preserve">TW</t>
  </si>
  <si>
    <t xml:space="preserve">Avista</t>
  </si>
  <si>
    <t xml:space="preserve">F</t>
  </si>
  <si>
    <t xml:space="preserve">Engage</t>
  </si>
  <si>
    <t xml:space="preserve">06/98-05/99</t>
  </si>
  <si>
    <t xml:space="preserve">P</t>
  </si>
  <si>
    <t xml:space="preserve">Y</t>
  </si>
  <si>
    <t xml:space="preserve">Sempra</t>
  </si>
  <si>
    <t xml:space="preserve"> 06/99-05/00</t>
  </si>
  <si>
    <t xml:space="preserve">Over-rtnd</t>
  </si>
  <si>
    <t xml:space="preserve">10/98-12/99</t>
  </si>
  <si>
    <t xml:space="preserve">05/99-12/99</t>
  </si>
  <si>
    <t xml:space="preserve">RMTC</t>
  </si>
  <si>
    <t xml:space="preserve">01/01-12/00</t>
  </si>
  <si>
    <t xml:space="preserve">NNG</t>
  </si>
  <si>
    <t xml:space="preserve">El Paso</t>
  </si>
  <si>
    <t xml:space="preserve">Base Gas Repurchase</t>
  </si>
  <si>
    <t xml:space="preserve"> 06/02-10/02 (5)</t>
  </si>
  <si>
    <t xml:space="preserve">MEC</t>
  </si>
  <si>
    <t xml:space="preserve">N</t>
  </si>
  <si>
    <t xml:space="preserve">11/99-04/00</t>
  </si>
  <si>
    <t xml:space="preserve">UNHEDGED PRICE EXPOSURE</t>
  </si>
  <si>
    <t xml:space="preserve">*</t>
  </si>
  <si>
    <t xml:space="preserve">Short(-)</t>
  </si>
  <si>
    <t xml:space="preserve">Long(+)</t>
  </si>
  <si>
    <t xml:space="preserve">06/00-05/03</t>
  </si>
  <si>
    <t xml:space="preserve">01/01-12/01</t>
  </si>
  <si>
    <t xml:space="preserve">GPM</t>
  </si>
  <si>
    <t xml:space="preserve">01/96-12/05</t>
  </si>
  <si>
    <t xml:space="preserve">Apache</t>
  </si>
  <si>
    <t xml:space="preserve">Annuel Evergreen</t>
  </si>
  <si>
    <t xml:space="preserve">(1) Contract Type:</t>
  </si>
  <si>
    <t xml:space="preserve">F-Financial</t>
  </si>
  <si>
    <t xml:space="preserve">P-Physical</t>
  </si>
  <si>
    <t xml:space="preserve">(2)TW Over Retention is estimated for 15 mnths. @ 200,000/mnth less outstanding deals(Avista_2 &amp; Sempra_2).</t>
  </si>
  <si>
    <t xml:space="preserve">(3)Contract term 12 month evergreen.</t>
  </si>
  <si>
    <t xml:space="preserve">(4)Gain and Losses are a measurement of the effectiveness of meeting the stated hedge objective.</t>
  </si>
  <si>
    <t xml:space="preserve">(5)Margin call:  $   1,000,000-NNG</t>
  </si>
  <si>
    <t xml:space="preserve">                            $20,000,000-El Paso</t>
  </si>
  <si>
    <t xml:space="preserve">TRANSWESTERN PIPELINE COMPANY</t>
  </si>
  <si>
    <t xml:space="preserve">Avista_1</t>
  </si>
  <si>
    <t xml:space="preserve">DEAL EXPIRED</t>
  </si>
  <si>
    <t xml:space="preserve">Prod.</t>
  </si>
  <si>
    <t xml:space="preserve">Fixed</t>
  </si>
  <si>
    <t xml:space="preserve">Settled</t>
  </si>
  <si>
    <t xml:space="preserve">(Gains) and Losses</t>
  </si>
  <si>
    <t xml:space="preserve">Date</t>
  </si>
  <si>
    <t xml:space="preserve">Dth</t>
  </si>
  <si>
    <t xml:space="preserve">El Paso SJ</t>
  </si>
  <si>
    <t xml:space="preserve">TW Index</t>
  </si>
  <si>
    <t xml:space="preserve">Sempra_1</t>
  </si>
  <si>
    <t xml:space="preserve">Jun-1999</t>
  </si>
  <si>
    <t xml:space="preserve">Jul-1999</t>
  </si>
  <si>
    <t xml:space="preserve">Aug-1999</t>
  </si>
  <si>
    <t xml:space="preserve">Sep-1999</t>
  </si>
  <si>
    <t xml:space="preserve">Oct-1999</t>
  </si>
  <si>
    <t xml:space="preserve">Nov-1999</t>
  </si>
  <si>
    <t xml:space="preserve">Dec-1999</t>
  </si>
  <si>
    <t xml:space="preserve">Jan-2000</t>
  </si>
  <si>
    <t xml:space="preserve">Feb-2000</t>
  </si>
  <si>
    <t xml:space="preserve">Mar-2000</t>
  </si>
  <si>
    <t xml:space="preserve">Apr-2000</t>
  </si>
  <si>
    <t xml:space="preserve">May-2000</t>
  </si>
  <si>
    <t xml:space="preserve">Avista_2</t>
  </si>
  <si>
    <t xml:space="preserve">El Paso Prmn</t>
  </si>
  <si>
    <t xml:space="preserve">Over-retention</t>
  </si>
  <si>
    <t xml:space="preserve">Sempra_2</t>
  </si>
  <si>
    <t xml:space="preserve">Sempra_2.1</t>
  </si>
  <si>
    <t xml:space="preserve">Risk Management &amp; Trading Corp._2</t>
  </si>
  <si>
    <t xml:space="preserve">NORTHERN NATURAL GAS COMPANY</t>
  </si>
  <si>
    <t xml:space="preserve">EL PASO ENERGY MARKETING COMPANY_6</t>
  </si>
  <si>
    <t xml:space="preserve">IF-DEMARC</t>
  </si>
  <si>
    <t xml:space="preserve">EL PASO</t>
  </si>
  <si>
    <t xml:space="preserve">MID-AMERICAN ENERGY COMPANY</t>
  </si>
  <si>
    <t xml:space="preserve">IF-Ventura</t>
  </si>
  <si>
    <t xml:space="preserve">NGI-Chicago</t>
  </si>
  <si>
    <t xml:space="preserve">Long (Short)</t>
  </si>
  <si>
    <t xml:space="preserve">DTs</t>
  </si>
  <si>
    <t xml:space="preserve">Customer</t>
  </si>
  <si>
    <t xml:space="preserve">over-retention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</si>
</sst>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_);_(* \(#,##0\);_(* \-??_);_(@_)"/>
    <numFmt numFmtId="166" formatCode="_(\$* #,##0.0000_);_(\$* \(#,##0.0000\);_(\$* \-??_);_(@_)"/>
    <numFmt numFmtId="167" formatCode="_(\$* #,##0.00_);_(\$* \(#,##0.00\);_(\$* \-??_);_(@_)"/>
    <numFmt numFmtId="168" formatCode="_(* #,##0.00_);_(* \(#,##0.00\);_(* \-??_);_(@_)"/>
    <numFmt numFmtId="169" formatCode="[$-409]mmm\-yy"/>
    <numFmt numFmtId="170" formatCode="_(\$* #,##0.000_);_(\$* \(#,##0.000\);_(\$* \-??_);_(@_)"/>
    <numFmt numFmtId="171" formatCode="0"/>
    <numFmt numFmtId="172" formatCode="0%"/>
    <numFmt numFmtId="173" formatCode="0.00%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i val="true"/>
      <sz val="8"/>
      <name val="Arial"/>
      <family val="2"/>
    </font>
    <font>
      <b val="true"/>
      <sz val="8"/>
      <name val="Arial"/>
      <family val="2"/>
    </font>
    <font>
      <sz val="10"/>
      <name val="Times New Roman"/>
      <family val="1"/>
    </font>
    <font>
      <i val="true"/>
      <sz val="8"/>
      <name val="Arial"/>
      <family val="2"/>
    </font>
    <font>
      <b val="true"/>
      <i val="true"/>
      <sz val="12"/>
      <name val="Arial"/>
      <family val="0"/>
    </font>
    <font>
      <b val="true"/>
      <sz val="12"/>
      <name val="Arial"/>
      <family val="2"/>
    </font>
    <font>
      <b val="true"/>
      <i val="true"/>
      <sz val="10"/>
      <name val="Arial"/>
      <family val="0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P&amp;L_Curves/futur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Elpaso"/>
      <sheetName val="Mec"/>
      <sheetName val="Sheet3"/>
    </sheetNames>
    <sheetDataSet>
      <sheetData sheetId="0">
        <row r="9">
          <cell r="F9">
            <v>2.205</v>
          </cell>
        </row>
        <row r="9">
          <cell r="R9">
            <v>2.19833333333333</v>
          </cell>
        </row>
        <row r="10">
          <cell r="F10">
            <v>2.202</v>
          </cell>
        </row>
        <row r="10">
          <cell r="R10">
            <v>2.202</v>
          </cell>
        </row>
        <row r="11">
          <cell r="F11">
            <v>2.17</v>
          </cell>
        </row>
        <row r="11">
          <cell r="R11">
            <v>2.18</v>
          </cell>
        </row>
        <row r="12">
          <cell r="F12">
            <v>2.043</v>
          </cell>
        </row>
        <row r="12">
          <cell r="R12">
            <v>2.12433333333333</v>
          </cell>
        </row>
        <row r="13">
          <cell r="F13">
            <v>2.06</v>
          </cell>
        </row>
        <row r="13">
          <cell r="R13">
            <v>2.14133333333333</v>
          </cell>
        </row>
        <row r="14">
          <cell r="R14">
            <v>2.16433333333333</v>
          </cell>
        </row>
        <row r="15">
          <cell r="R15">
            <v>2.19733333333333</v>
          </cell>
        </row>
        <row r="16">
          <cell r="R16">
            <v>2.21933333333333</v>
          </cell>
        </row>
        <row r="17">
          <cell r="R17">
            <v>2.24633333333333</v>
          </cell>
        </row>
        <row r="18">
          <cell r="R18">
            <v>2.26833333333333</v>
          </cell>
        </row>
        <row r="19">
          <cell r="R19">
            <v>2.337</v>
          </cell>
        </row>
        <row r="20">
          <cell r="R20">
            <v>2.47966666666667</v>
          </cell>
        </row>
        <row r="29">
          <cell r="F29">
            <v>2.205</v>
          </cell>
        </row>
        <row r="30">
          <cell r="F30">
            <v>2.212</v>
          </cell>
        </row>
        <row r="31">
          <cell r="F31">
            <v>2.195</v>
          </cell>
        </row>
        <row r="32">
          <cell r="F32">
            <v>2.175</v>
          </cell>
        </row>
        <row r="33">
          <cell r="F33">
            <v>2.192</v>
          </cell>
        </row>
        <row r="34">
          <cell r="F34">
            <v>2.215</v>
          </cell>
        </row>
        <row r="35">
          <cell r="F35">
            <v>2.238</v>
          </cell>
        </row>
        <row r="36">
          <cell r="F36">
            <v>2.26</v>
          </cell>
        </row>
        <row r="37">
          <cell r="F37">
            <v>2.287</v>
          </cell>
        </row>
        <row r="38">
          <cell r="F38">
            <v>2.319</v>
          </cell>
        </row>
        <row r="39">
          <cell r="F39">
            <v>2.422</v>
          </cell>
        </row>
        <row r="40">
          <cell r="F40">
            <v>2.56</v>
          </cell>
        </row>
      </sheetData>
      <sheetData sheetId="1">
        <row r="9">
          <cell r="F9">
            <v>2.319</v>
          </cell>
        </row>
        <row r="10">
          <cell r="F10">
            <v>2.325</v>
          </cell>
        </row>
        <row r="11">
          <cell r="F11">
            <v>2.332</v>
          </cell>
        </row>
        <row r="12">
          <cell r="F12">
            <v>2.346</v>
          </cell>
        </row>
        <row r="13">
          <cell r="F13">
            <v>2.393</v>
          </cell>
        </row>
      </sheetData>
      <sheetData sheetId="2">
        <row r="13">
          <cell r="E13">
            <v>2.3395</v>
          </cell>
        </row>
        <row r="14">
          <cell r="E14">
            <v>2.34</v>
          </cell>
        </row>
        <row r="15">
          <cell r="E15">
            <v>2.24</v>
          </cell>
        </row>
        <row r="16">
          <cell r="E16">
            <v>2.247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5625" defaultRowHeight="11.2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8.99"/>
    <col collapsed="false" customWidth="true" hidden="false" outlineLevel="0" max="3" min="3" style="1" width="9.7"/>
    <col collapsed="false" customWidth="true" hidden="false" outlineLevel="0" max="5" min="4" style="1" width="8.41"/>
    <col collapsed="false" customWidth="true" hidden="false" outlineLevel="0" max="6" min="6" style="1" width="7.42"/>
    <col collapsed="false" customWidth="true" hidden="false" outlineLevel="0" max="7" min="7" style="1" width="9.41"/>
    <col collapsed="false" customWidth="true" hidden="false" outlineLevel="0" max="8" min="8" style="1" width="9.7"/>
    <col collapsed="false" customWidth="true" hidden="false" outlineLevel="0" max="9" min="9" style="1" width="9.41"/>
    <col collapsed="false" customWidth="true" hidden="false" outlineLevel="0" max="10" min="10" style="1" width="8.41"/>
    <col collapsed="false" customWidth="true" hidden="false" outlineLevel="0" max="11" min="11" style="1" width="8.56"/>
    <col collapsed="false" customWidth="false" hidden="false" outlineLevel="0" max="12" min="12" style="1" width="9.56"/>
    <col collapsed="false" customWidth="true" hidden="false" outlineLevel="0" max="13" min="13" style="1" width="11.56"/>
    <col collapsed="false" customWidth="false" hidden="false" outlineLevel="0" max="14" min="14" style="1" width="9.56"/>
    <col collapsed="false" customWidth="true" hidden="false" outlineLevel="0" max="15" min="15" style="1" width="13.99"/>
    <col collapsed="false" customWidth="true" hidden="false" outlineLevel="0" max="17" min="16" style="1" width="12.56"/>
    <col collapsed="false" customWidth="false" hidden="false" outlineLevel="0" max="257" min="18" style="1" width="9.56"/>
  </cols>
  <sheetData>
    <row r="1" customFormat="false" ht="10.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</row>
    <row r="2" customFormat="false" ht="10.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</row>
    <row r="3" customFormat="false" ht="10.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5" customFormat="false" ht="11.25" hidden="false" customHeight="false" outlineLevel="0" collapsed="false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customFormat="false" ht="11.25" hidden="false" customHeight="false" outlineLevel="0" collapsed="false">
      <c r="L6" s="4"/>
    </row>
    <row r="7" customFormat="false" ht="10.5" hidden="false" customHeight="false" outlineLevel="0" collapsed="false">
      <c r="A7" s="5" t="s">
        <v>4</v>
      </c>
      <c r="B7" s="6" t="s">
        <v>5</v>
      </c>
      <c r="C7" s="6" t="s">
        <v>6</v>
      </c>
      <c r="D7" s="6" t="s">
        <v>6</v>
      </c>
      <c r="E7" s="6" t="s">
        <v>6</v>
      </c>
      <c r="F7" s="6" t="s">
        <v>7</v>
      </c>
      <c r="G7" s="6" t="s">
        <v>8</v>
      </c>
      <c r="H7" s="6" t="s">
        <v>9</v>
      </c>
      <c r="I7" s="6" t="s">
        <v>10</v>
      </c>
      <c r="J7" s="6" t="s">
        <v>6</v>
      </c>
      <c r="K7" s="6" t="s">
        <v>11</v>
      </c>
      <c r="L7" s="6" t="s">
        <v>12</v>
      </c>
      <c r="M7" s="6" t="s">
        <v>6</v>
      </c>
      <c r="N7" s="6" t="s">
        <v>13</v>
      </c>
      <c r="O7" s="6"/>
      <c r="P7" s="6"/>
      <c r="Q7" s="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10.5" hidden="false" customHeight="false" outlineLevel="0" collapsed="false">
      <c r="A8" s="9" t="s">
        <v>14</v>
      </c>
      <c r="B8" s="10" t="s">
        <v>15</v>
      </c>
      <c r="C8" s="10" t="s">
        <v>15</v>
      </c>
      <c r="D8" s="10" t="s">
        <v>16</v>
      </c>
      <c r="E8" s="10" t="s">
        <v>17</v>
      </c>
      <c r="F8" s="10"/>
      <c r="G8" s="10" t="s">
        <v>18</v>
      </c>
      <c r="H8" s="10" t="s">
        <v>19</v>
      </c>
      <c r="I8" s="10" t="s">
        <v>19</v>
      </c>
      <c r="J8" s="10" t="s">
        <v>20</v>
      </c>
      <c r="K8" s="10" t="s">
        <v>21</v>
      </c>
      <c r="L8" s="10"/>
      <c r="M8" s="10" t="s">
        <v>22</v>
      </c>
      <c r="N8" s="10" t="s">
        <v>23</v>
      </c>
      <c r="O8" s="11" t="s">
        <v>24</v>
      </c>
      <c r="P8" s="11"/>
      <c r="Q8" s="11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10.5" hidden="false" customHeight="false" outlineLevel="0" collapsed="false">
      <c r="A9" s="9"/>
      <c r="B9" s="10"/>
      <c r="C9" s="10"/>
      <c r="D9" s="10"/>
      <c r="E9" s="10" t="s">
        <v>25</v>
      </c>
      <c r="F9" s="10"/>
      <c r="G9" s="10" t="s">
        <v>26</v>
      </c>
      <c r="H9" s="10"/>
      <c r="I9" s="10"/>
      <c r="J9" s="10"/>
      <c r="K9" s="10" t="s">
        <v>27</v>
      </c>
      <c r="L9" s="10"/>
      <c r="M9" s="10" t="s">
        <v>28</v>
      </c>
      <c r="N9" s="10"/>
      <c r="O9" s="10" t="s">
        <v>29</v>
      </c>
      <c r="P9" s="10" t="s">
        <v>30</v>
      </c>
      <c r="Q9" s="12" t="s">
        <v>31</v>
      </c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10.5" hidden="false" customHeight="false" outlineLevel="0" collapsed="false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 t="s">
        <v>32</v>
      </c>
      <c r="L10" s="14"/>
      <c r="M10" s="14" t="s">
        <v>33</v>
      </c>
      <c r="N10" s="14"/>
      <c r="O10" s="14" t="s">
        <v>34</v>
      </c>
      <c r="P10" s="14" t="s">
        <v>34</v>
      </c>
      <c r="Q10" s="11" t="s">
        <v>34</v>
      </c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1.25" hidden="true" customHeight="false" outlineLevel="0" collapsed="false">
      <c r="A11" s="15" t="n">
        <v>1</v>
      </c>
      <c r="B11" s="15" t="s">
        <v>35</v>
      </c>
      <c r="C11" s="15" t="s">
        <v>36</v>
      </c>
      <c r="D11" s="16"/>
      <c r="E11" s="15" t="s">
        <v>37</v>
      </c>
      <c r="F11" s="16"/>
      <c r="G11" s="15" t="s">
        <v>38</v>
      </c>
      <c r="H11" s="17" t="s">
        <v>39</v>
      </c>
      <c r="I11" s="16"/>
      <c r="J11" s="18" t="n">
        <f aca="false">+Avista_1!D10</f>
        <v>2.22</v>
      </c>
      <c r="K11" s="19" t="n">
        <f aca="false">(SUM(Avista_1!G10:G21)+SUM(Avista_1!H26:H37))/12</f>
        <v>1.7525</v>
      </c>
      <c r="L11" s="18" t="n">
        <f aca="false">-O11/M11</f>
        <v>-0.466027397260274</v>
      </c>
      <c r="M11" s="20" t="n">
        <f aca="false">-Avista_1!F22</f>
        <v>-91250</v>
      </c>
      <c r="N11" s="20" t="n">
        <f aca="false">+M11/365</f>
        <v>-250</v>
      </c>
      <c r="O11" s="21" t="n">
        <f aca="false">-Avista_1!I22</f>
        <v>-42525</v>
      </c>
      <c r="P11" s="22" t="n">
        <f aca="false">-Avista_1!J22</f>
        <v>-42525</v>
      </c>
      <c r="Q11" s="22" t="n">
        <f aca="false">-Avista_1!K22</f>
        <v>-0</v>
      </c>
    </row>
    <row r="12" customFormat="false" ht="11.25" hidden="true" customHeight="false" outlineLevel="0" collapsed="false">
      <c r="A12" s="23" t="n">
        <v>1</v>
      </c>
      <c r="B12" s="23" t="s">
        <v>35</v>
      </c>
      <c r="C12" s="23" t="s">
        <v>38</v>
      </c>
      <c r="D12" s="23" t="n">
        <v>26125</v>
      </c>
      <c r="E12" s="23" t="s">
        <v>40</v>
      </c>
      <c r="F12" s="23" t="s">
        <v>41</v>
      </c>
      <c r="G12" s="23" t="s">
        <v>36</v>
      </c>
      <c r="H12" s="17" t="s">
        <v>39</v>
      </c>
      <c r="I12" s="24"/>
      <c r="J12" s="25" t="n">
        <f aca="false">+Avista_1!D26</f>
        <v>2.22</v>
      </c>
      <c r="K12" s="26" t="n">
        <f aca="false">(SUM(Avista_1!G26:G37)+SUM(Avista_1!H26:H37))/12</f>
        <v>1.81916666666667</v>
      </c>
      <c r="L12" s="27" t="n">
        <f aca="false">+O12/M12</f>
        <v>0.368739726027397</v>
      </c>
      <c r="M12" s="28" t="n">
        <f aca="false">-Avista_1!F38</f>
        <v>91250</v>
      </c>
      <c r="N12" s="29" t="n">
        <f aca="false">+M12/365</f>
        <v>250</v>
      </c>
      <c r="O12" s="30" t="n">
        <f aca="false">-Avista_1!I38</f>
        <v>33647.5</v>
      </c>
      <c r="P12" s="22" t="n">
        <f aca="false">-Avista_1!J38</f>
        <v>33647.5</v>
      </c>
      <c r="Q12" s="22" t="n">
        <f aca="false">-Avista_1!K38</f>
        <v>-0</v>
      </c>
    </row>
    <row r="13" customFormat="false" ht="11.25" hidden="true" customHeight="false" outlineLevel="0" collapsed="false">
      <c r="A13" s="23"/>
      <c r="B13" s="23"/>
      <c r="C13" s="23"/>
      <c r="D13" s="23"/>
      <c r="E13" s="23"/>
      <c r="F13" s="23"/>
      <c r="G13" s="23"/>
      <c r="H13" s="24"/>
      <c r="I13" s="24"/>
      <c r="J13" s="25"/>
      <c r="K13" s="19"/>
      <c r="L13" s="25" t="n">
        <f aca="false">+L11+L12</f>
        <v>-0.0972876712328767</v>
      </c>
      <c r="M13" s="31" t="n">
        <f aca="false">SUM(M11:M12)</f>
        <v>0</v>
      </c>
      <c r="N13" s="31" t="n">
        <f aca="false">SUM(N11:N12)</f>
        <v>0</v>
      </c>
      <c r="O13" s="32" t="n">
        <f aca="false">SUM(O11:O12)</f>
        <v>-8877.5</v>
      </c>
      <c r="P13" s="32" t="n">
        <f aca="false">SUM(P11:P12)</f>
        <v>-8877.5</v>
      </c>
      <c r="Q13" s="32" t="n">
        <f aca="false">SUM(Q11:Q12)</f>
        <v>0</v>
      </c>
    </row>
    <row r="14" customFormat="false" ht="9.95" hidden="true" customHeight="true" outlineLevel="0" collapsed="false">
      <c r="A14" s="23"/>
      <c r="B14" s="23"/>
      <c r="C14" s="23"/>
      <c r="D14" s="23"/>
      <c r="E14" s="23"/>
      <c r="F14" s="23"/>
      <c r="G14" s="23"/>
      <c r="H14" s="24"/>
      <c r="I14" s="24"/>
      <c r="J14" s="25"/>
      <c r="K14" s="19"/>
      <c r="L14" s="25"/>
      <c r="M14" s="29"/>
      <c r="N14" s="29"/>
      <c r="O14" s="30"/>
      <c r="P14" s="22"/>
      <c r="Q14" s="22"/>
    </row>
    <row r="15" customFormat="false" ht="11.25" hidden="false" customHeight="false" outlineLevel="0" collapsed="false">
      <c r="A15" s="23" t="n">
        <v>1</v>
      </c>
      <c r="B15" s="23" t="s">
        <v>35</v>
      </c>
      <c r="C15" s="23" t="s">
        <v>42</v>
      </c>
      <c r="D15" s="23"/>
      <c r="E15" s="23" t="s">
        <v>37</v>
      </c>
      <c r="F15" s="23"/>
      <c r="G15" s="23" t="s">
        <v>38</v>
      </c>
      <c r="H15" s="17" t="s">
        <v>43</v>
      </c>
      <c r="I15" s="24"/>
      <c r="J15" s="25" t="n">
        <f aca="false">+Sempra_1!D9</f>
        <v>1.945</v>
      </c>
      <c r="K15" s="26" t="n">
        <f aca="false">(SUM(Sempra_1!G9:H20)/12)</f>
        <v>2.23916666666667</v>
      </c>
      <c r="L15" s="25" t="n">
        <f aca="false">-O15/M15</f>
        <v>0.292959016393443</v>
      </c>
      <c r="M15" s="28" t="n">
        <f aca="false">-Sempra_1!F21</f>
        <v>-91500</v>
      </c>
      <c r="N15" s="29" t="n">
        <f aca="false">+M15/366</f>
        <v>-250</v>
      </c>
      <c r="O15" s="30" t="n">
        <f aca="false">-Sempra_1!I21</f>
        <v>26805.75</v>
      </c>
      <c r="P15" s="22" t="n">
        <f aca="false">-Sempra_1!J21</f>
        <v>18511.25</v>
      </c>
      <c r="Q15" s="22" t="n">
        <f aca="false">-Sempra_1!K21</f>
        <v>8294.5</v>
      </c>
    </row>
    <row r="16" customFormat="false" ht="11.25" hidden="false" customHeight="false" outlineLevel="0" collapsed="false">
      <c r="A16" s="23" t="n">
        <v>1</v>
      </c>
      <c r="B16" s="23" t="s">
        <v>35</v>
      </c>
      <c r="C16" s="23" t="s">
        <v>38</v>
      </c>
      <c r="D16" s="23" t="n">
        <v>26125</v>
      </c>
      <c r="E16" s="23" t="s">
        <v>40</v>
      </c>
      <c r="F16" s="23" t="s">
        <v>41</v>
      </c>
      <c r="G16" s="23" t="s">
        <v>42</v>
      </c>
      <c r="H16" s="17" t="s">
        <v>43</v>
      </c>
      <c r="I16" s="24"/>
      <c r="J16" s="25" t="n">
        <f aca="false">+Sempra_1!D25</f>
        <v>1.945</v>
      </c>
      <c r="K16" s="19" t="n">
        <f aca="false">(SUM(Sempra_1!G25:H36)/12)</f>
        <v>2.23133333333333</v>
      </c>
      <c r="L16" s="27" t="n">
        <f aca="false">+O16/M16</f>
        <v>-0.287042805100182</v>
      </c>
      <c r="M16" s="29" t="n">
        <f aca="false">-Sempra_1!F37</f>
        <v>91500</v>
      </c>
      <c r="N16" s="29" t="n">
        <f aca="false">+M16/366</f>
        <v>250</v>
      </c>
      <c r="O16" s="30" t="n">
        <f aca="false">-Sempra_1!I37</f>
        <v>-26264.4166666667</v>
      </c>
      <c r="P16" s="22" t="n">
        <f aca="false">-Sempra_1!J37</f>
        <v>-16626.25</v>
      </c>
      <c r="Q16" s="22" t="n">
        <f aca="false">-Sempra_1!K37</f>
        <v>-9638.16666666666</v>
      </c>
    </row>
    <row r="17" customFormat="false" ht="11.25" hidden="false" customHeight="false" outlineLevel="0" collapsed="false">
      <c r="A17" s="23"/>
      <c r="B17" s="23"/>
      <c r="C17" s="23"/>
      <c r="D17" s="24"/>
      <c r="E17" s="24"/>
      <c r="F17" s="24"/>
      <c r="G17" s="24"/>
      <c r="H17" s="24"/>
      <c r="I17" s="24"/>
      <c r="J17" s="24"/>
      <c r="K17" s="33"/>
      <c r="L17" s="25" t="n">
        <f aca="false">+L15+L16</f>
        <v>0.00591621129326053</v>
      </c>
      <c r="M17" s="34" t="n">
        <f aca="false">+M11+M12</f>
        <v>0</v>
      </c>
      <c r="N17" s="34" t="n">
        <f aca="false">+N11+N12</f>
        <v>0</v>
      </c>
      <c r="O17" s="35" t="n">
        <f aca="false">+O15+O16</f>
        <v>541.333333333336</v>
      </c>
      <c r="P17" s="35" t="n">
        <f aca="false">+P15+P16</f>
        <v>1885</v>
      </c>
      <c r="Q17" s="35" t="n">
        <f aca="false">+Q15+Q16</f>
        <v>-1343.66666666666</v>
      </c>
    </row>
    <row r="18" customFormat="false" ht="9.95" hidden="false" customHeight="true" outlineLevel="0" collapsed="false">
      <c r="A18" s="23"/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36"/>
      <c r="Q18" s="36"/>
    </row>
    <row r="19" customFormat="false" ht="11.25" hidden="false" customHeight="false" outlineLevel="0" collapsed="false">
      <c r="A19" s="23" t="n">
        <v>2</v>
      </c>
      <c r="B19" s="23" t="s">
        <v>35</v>
      </c>
      <c r="C19" s="23" t="s">
        <v>36</v>
      </c>
      <c r="D19" s="24"/>
      <c r="E19" s="23" t="s">
        <v>37</v>
      </c>
      <c r="F19" s="24"/>
      <c r="G19" s="23" t="s">
        <v>44</v>
      </c>
      <c r="H19" s="17" t="s">
        <v>45</v>
      </c>
      <c r="I19" s="24"/>
      <c r="J19" s="19" t="n">
        <f aca="false">+Avista_2!D9</f>
        <v>2.005</v>
      </c>
      <c r="K19" s="19" t="n">
        <f aca="false">(SUM(Avista_2!G9:G23)+SUM(Avista_2!H9:H23))/15</f>
        <v>2.08933333333333</v>
      </c>
      <c r="L19" s="25" t="n">
        <f aca="false">-O19/M19</f>
        <v>0.0852625820568929</v>
      </c>
      <c r="M19" s="29" t="n">
        <f aca="false">-Avista_2!F24</f>
        <v>1142500</v>
      </c>
      <c r="N19" s="29" t="n">
        <f aca="false">+M19/457</f>
        <v>2500</v>
      </c>
      <c r="O19" s="30" t="n">
        <f aca="false">-Avista_2!I24</f>
        <v>-97412.5000000001</v>
      </c>
      <c r="P19" s="22" t="n">
        <f aca="false">-Avista_2!J24</f>
        <v>-91600.0000000001</v>
      </c>
      <c r="Q19" s="22" t="n">
        <f aca="false">-Avista_2!K24</f>
        <v>-5812.50000000001</v>
      </c>
    </row>
    <row r="20" customFormat="false" ht="11.25" hidden="false" customHeight="false" outlineLevel="0" collapsed="false">
      <c r="A20" s="23" t="n">
        <v>2</v>
      </c>
      <c r="B20" s="23" t="s">
        <v>35</v>
      </c>
      <c r="C20" s="23" t="s">
        <v>44</v>
      </c>
      <c r="D20" s="24"/>
      <c r="E20" s="23" t="s">
        <v>40</v>
      </c>
      <c r="F20" s="23" t="s">
        <v>41</v>
      </c>
      <c r="G20" s="23" t="s">
        <v>36</v>
      </c>
      <c r="H20" s="17" t="s">
        <v>45</v>
      </c>
      <c r="I20" s="24"/>
      <c r="J20" s="19" t="n">
        <f aca="false">+Avista_2!D28</f>
        <v>2.005</v>
      </c>
      <c r="K20" s="19" t="n">
        <f aca="false">(SUM(Avista_2!G28:G42)+SUM(Avista_2!H28:H42))/15</f>
        <v>2.026</v>
      </c>
      <c r="L20" s="27" t="n">
        <f aca="false">+O20/M20</f>
        <v>-0.0227242888402626</v>
      </c>
      <c r="M20" s="29" t="n">
        <f aca="false">-Avista_2!F43</f>
        <v>-1142500</v>
      </c>
      <c r="N20" s="29" t="n">
        <f aca="false">+M20/457</f>
        <v>-2500</v>
      </c>
      <c r="O20" s="30" t="n">
        <f aca="false">-Avista_2!I43</f>
        <v>25962.5000000001</v>
      </c>
      <c r="P20" s="22" t="n">
        <f aca="false">-Avista_2!J43</f>
        <v>19375.0000000001</v>
      </c>
      <c r="Q20" s="22" t="n">
        <f aca="false">-Avista_2!K43</f>
        <v>6587.5</v>
      </c>
    </row>
    <row r="21" customFormat="false" ht="11.25" hidden="false" customHeight="false" outlineLevel="0" collapsed="false">
      <c r="A21" s="23"/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5" t="n">
        <f aca="false">+L19+L20</f>
        <v>0.0625382932166303</v>
      </c>
      <c r="M21" s="34" t="n">
        <f aca="false">+M20+M19</f>
        <v>0</v>
      </c>
      <c r="N21" s="34" t="n">
        <f aca="false">+N20+N19</f>
        <v>0</v>
      </c>
      <c r="O21" s="35" t="n">
        <f aca="false">+O20+O19</f>
        <v>-71450.0000000001</v>
      </c>
      <c r="P21" s="35" t="n">
        <f aca="false">+P20+P19</f>
        <v>-72225.0000000001</v>
      </c>
      <c r="Q21" s="35" t="n">
        <f aca="false">+Q20+Q19</f>
        <v>774.999999999984</v>
      </c>
    </row>
    <row r="22" customFormat="false" ht="9.95" hidden="false" customHeight="true" outlineLevel="0" collapsed="false">
      <c r="A22" s="23"/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36"/>
      <c r="Q22" s="36"/>
    </row>
    <row r="23" customFormat="false" ht="11.25" hidden="false" customHeight="false" outlineLevel="0" collapsed="false">
      <c r="A23" s="23" t="n">
        <v>2</v>
      </c>
      <c r="B23" s="23" t="s">
        <v>35</v>
      </c>
      <c r="C23" s="23" t="s">
        <v>42</v>
      </c>
      <c r="D23" s="24"/>
      <c r="E23" s="23" t="s">
        <v>37</v>
      </c>
      <c r="F23" s="24"/>
      <c r="G23" s="23" t="s">
        <v>44</v>
      </c>
      <c r="H23" s="17" t="s">
        <v>45</v>
      </c>
      <c r="I23" s="24"/>
      <c r="J23" s="19" t="n">
        <f aca="false">+Sempra_2!D9</f>
        <v>2.1</v>
      </c>
      <c r="K23" s="19" t="n">
        <f aca="false">(SUM(Sempra_2!G9:G23)+SUM(Sempra_2!H9:H23))/15</f>
        <v>2.08933333333333</v>
      </c>
      <c r="L23" s="25" t="n">
        <f aca="false">-O23/M23</f>
        <v>-0.00973741794310733</v>
      </c>
      <c r="M23" s="29" t="n">
        <f aca="false">-Sempra_2!F24</f>
        <v>1142500</v>
      </c>
      <c r="N23" s="29" t="n">
        <f aca="false">+M23/457</f>
        <v>2500</v>
      </c>
      <c r="O23" s="30" t="n">
        <f aca="false">-Sempra_2!I24</f>
        <v>11125.0000000001</v>
      </c>
      <c r="P23" s="22" t="n">
        <f aca="false">-Sempra_2!J24</f>
        <v>9575.00000000012</v>
      </c>
      <c r="Q23" s="22" t="n">
        <f aca="false">-Sempra_2!K24</f>
        <v>1550</v>
      </c>
    </row>
    <row r="24" customFormat="false" ht="11.25" hidden="false" customHeight="false" outlineLevel="0" collapsed="false">
      <c r="A24" s="23" t="n">
        <v>2</v>
      </c>
      <c r="B24" s="23" t="s">
        <v>35</v>
      </c>
      <c r="C24" s="23" t="s">
        <v>44</v>
      </c>
      <c r="D24" s="24"/>
      <c r="E24" s="23" t="s">
        <v>40</v>
      </c>
      <c r="F24" s="23" t="s">
        <v>41</v>
      </c>
      <c r="G24" s="23" t="s">
        <v>42</v>
      </c>
      <c r="H24" s="17" t="s">
        <v>45</v>
      </c>
      <c r="I24" s="24"/>
      <c r="J24" s="19" t="n">
        <f aca="false">+Sempra_2!D28</f>
        <v>2.1</v>
      </c>
      <c r="K24" s="19" t="n">
        <f aca="false">(SUM(Sempra_2!G28:G42)+SUM(Sempra_2!H28:H42))/15</f>
        <v>2.026</v>
      </c>
      <c r="L24" s="27" t="n">
        <f aca="false">+O24/M24</f>
        <v>0.0722757111597376</v>
      </c>
      <c r="M24" s="37" t="n">
        <f aca="false">-Sempra_2!F43</f>
        <v>-1142500</v>
      </c>
      <c r="N24" s="37" t="n">
        <f aca="false">+M24/457</f>
        <v>-2500</v>
      </c>
      <c r="O24" s="38" t="n">
        <f aca="false">-Sempra_2!I43</f>
        <v>-82575.0000000002</v>
      </c>
      <c r="P24" s="39" t="n">
        <f aca="false">-Sempra_2!J43</f>
        <v>-81800.0000000002</v>
      </c>
      <c r="Q24" s="39" t="n">
        <f aca="false">-Sempra_2!K43</f>
        <v>-775.000000000018</v>
      </c>
    </row>
    <row r="25" customFormat="false" ht="11.25" hidden="false" customHeight="false" outlineLevel="0" collapsed="false">
      <c r="A25" s="23"/>
      <c r="B25" s="23"/>
      <c r="C25" s="23"/>
      <c r="D25" s="24"/>
      <c r="E25" s="23"/>
      <c r="F25" s="23"/>
      <c r="G25" s="23"/>
      <c r="H25" s="24"/>
      <c r="I25" s="24"/>
      <c r="J25" s="19"/>
      <c r="K25" s="19"/>
      <c r="L25" s="25" t="n">
        <f aca="false">+L23+L24</f>
        <v>0.0625382932166302</v>
      </c>
      <c r="M25" s="29" t="n">
        <f aca="false">+M24+M23</f>
        <v>0</v>
      </c>
      <c r="N25" s="29" t="n">
        <f aca="false">+N24+N23</f>
        <v>0</v>
      </c>
      <c r="O25" s="40" t="n">
        <f aca="false">+O24+O23</f>
        <v>-71450</v>
      </c>
      <c r="P25" s="40" t="n">
        <f aca="false">+P24+P23</f>
        <v>-72225</v>
      </c>
      <c r="Q25" s="40" t="n">
        <f aca="false">+Q24+Q23</f>
        <v>774.999999999984</v>
      </c>
    </row>
    <row r="26" customFormat="false" ht="9.95" hidden="false" customHeight="true" outlineLevel="0" collapsed="false">
      <c r="A26" s="23"/>
      <c r="B26" s="23"/>
      <c r="C26" s="23"/>
      <c r="D26" s="24"/>
      <c r="E26" s="23"/>
      <c r="F26" s="23"/>
      <c r="G26" s="23"/>
      <c r="H26" s="24"/>
      <c r="I26" s="24"/>
      <c r="J26" s="19"/>
      <c r="K26" s="19"/>
      <c r="L26" s="19"/>
      <c r="M26" s="29"/>
      <c r="N26" s="29"/>
      <c r="O26" s="30"/>
      <c r="P26" s="22"/>
      <c r="Q26" s="22"/>
    </row>
    <row r="27" customFormat="false" ht="11.25" hidden="false" customHeight="false" outlineLevel="0" collapsed="false">
      <c r="A27" s="23" t="n">
        <v>2</v>
      </c>
      <c r="B27" s="23" t="s">
        <v>35</v>
      </c>
      <c r="C27" s="23" t="s">
        <v>42</v>
      </c>
      <c r="D27" s="24"/>
      <c r="E27" s="23" t="s">
        <v>37</v>
      </c>
      <c r="F27" s="24"/>
      <c r="G27" s="23" t="s">
        <v>44</v>
      </c>
      <c r="H27" s="17" t="s">
        <v>46</v>
      </c>
      <c r="I27" s="24"/>
      <c r="J27" s="19" t="n">
        <v>2.01</v>
      </c>
      <c r="K27" s="19" t="n">
        <f aca="false">(SUM('Sempra_2.1'!G9:G16)+SUM('Sempra_2.1'!H9:H19))/8</f>
        <v>2.3775</v>
      </c>
      <c r="L27" s="25" t="n">
        <f aca="false">-O27/M27</f>
        <v>0.365061224489796</v>
      </c>
      <c r="M27" s="29" t="n">
        <f aca="false">-'Sempra_2.1'!F17</f>
        <v>2450000</v>
      </c>
      <c r="N27" s="29" t="n">
        <f aca="false">+M27/245</f>
        <v>10000</v>
      </c>
      <c r="O27" s="30" t="n">
        <f aca="false">-'Sempra_2.1'!I17</f>
        <v>-894400.000000001</v>
      </c>
      <c r="P27" s="22" t="n">
        <f aca="false">-'Sempra_2.1'!J17</f>
        <v>-872700.000000001</v>
      </c>
      <c r="Q27" s="22" t="n">
        <f aca="false">-'Sempra_2.1'!K17</f>
        <v>-21700.0000000001</v>
      </c>
    </row>
    <row r="28" customFormat="false" ht="11.25" hidden="false" customHeight="false" outlineLevel="0" collapsed="false">
      <c r="A28" s="23" t="n">
        <v>2</v>
      </c>
      <c r="B28" s="23" t="s">
        <v>35</v>
      </c>
      <c r="C28" s="23" t="s">
        <v>44</v>
      </c>
      <c r="D28" s="24"/>
      <c r="E28" s="23" t="s">
        <v>40</v>
      </c>
      <c r="F28" s="23" t="s">
        <v>41</v>
      </c>
      <c r="G28" s="23" t="s">
        <v>42</v>
      </c>
      <c r="H28" s="17" t="s">
        <v>46</v>
      </c>
      <c r="I28" s="24"/>
      <c r="J28" s="19" t="n">
        <v>2.01</v>
      </c>
      <c r="K28" s="19" t="n">
        <f aca="false">(SUM('Sempra_2.1'!G21:G28)+SUM('Sempra_2.1'!H21:H28))/8</f>
        <v>2.24875</v>
      </c>
      <c r="L28" s="27" t="n">
        <f aca="false">+O28/M28</f>
        <v>-0.23934693877551</v>
      </c>
      <c r="M28" s="29" t="n">
        <f aca="false">-'Sempra_2.1'!F29</f>
        <v>-2450000</v>
      </c>
      <c r="N28" s="29" t="n">
        <f aca="false">+M28/245</f>
        <v>-10000</v>
      </c>
      <c r="O28" s="30" t="n">
        <f aca="false">-'Sempra_2.1'!I29</f>
        <v>586400</v>
      </c>
      <c r="P28" s="22" t="n">
        <f aca="false">-'Sempra_2.1'!J29</f>
        <v>561600</v>
      </c>
      <c r="Q28" s="22" t="n">
        <f aca="false">-'Sempra_2.1'!K29</f>
        <v>24800</v>
      </c>
    </row>
    <row r="29" customFormat="false" ht="11.25" hidden="false" customHeight="false" outlineLevel="0" collapsed="false">
      <c r="A29" s="23"/>
      <c r="B29" s="23"/>
      <c r="C29" s="24"/>
      <c r="D29" s="24"/>
      <c r="E29" s="24"/>
      <c r="F29" s="24"/>
      <c r="G29" s="24"/>
      <c r="H29" s="24"/>
      <c r="I29" s="24"/>
      <c r="J29" s="24"/>
      <c r="K29" s="24"/>
      <c r="L29" s="25" t="n">
        <f aca="false">+L27+L28</f>
        <v>0.125714285714286</v>
      </c>
      <c r="M29" s="34" t="n">
        <f aca="false">+M27+M28</f>
        <v>0</v>
      </c>
      <c r="N29" s="34" t="n">
        <f aca="false">+N27+N28</f>
        <v>0</v>
      </c>
      <c r="O29" s="35" t="n">
        <f aca="false">+O27+O28</f>
        <v>-308000</v>
      </c>
      <c r="P29" s="35" t="n">
        <f aca="false">+P27+P28</f>
        <v>-311100</v>
      </c>
      <c r="Q29" s="35" t="n">
        <f aca="false">+Q27+Q28</f>
        <v>3099.99999999993</v>
      </c>
    </row>
    <row r="30" customFormat="false" ht="9.95" hidden="false" customHeight="true" outlineLevel="0" collapsed="false">
      <c r="A30" s="23"/>
      <c r="B30" s="23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33"/>
      <c r="N30" s="33"/>
      <c r="O30" s="40"/>
      <c r="P30" s="41"/>
      <c r="Q30" s="41"/>
    </row>
    <row r="31" customFormat="false" ht="11.25" hidden="false" customHeight="false" outlineLevel="0" collapsed="false">
      <c r="A31" s="23" t="n">
        <v>2</v>
      </c>
      <c r="B31" s="23" t="s">
        <v>35</v>
      </c>
      <c r="C31" s="23" t="s">
        <v>47</v>
      </c>
      <c r="D31" s="24"/>
      <c r="E31" s="23" t="s">
        <v>37</v>
      </c>
      <c r="F31" s="24"/>
      <c r="G31" s="23" t="s">
        <v>44</v>
      </c>
      <c r="H31" s="17" t="s">
        <v>48</v>
      </c>
      <c r="I31" s="24"/>
      <c r="J31" s="19" t="n">
        <v>2.365</v>
      </c>
      <c r="K31" s="19" t="n">
        <f aca="false">(SUM(RMTC_2!G9:G20)+SUM(RMTC_2!H9:H20))/12</f>
        <v>2.27333333333333</v>
      </c>
      <c r="L31" s="25" t="n">
        <f aca="false">-O31/M31</f>
        <v>-0.0913469945355195</v>
      </c>
      <c r="M31" s="42" t="n">
        <f aca="false">-RMTC_2!F22</f>
        <v>5490000</v>
      </c>
      <c r="N31" s="42" t="n">
        <f aca="false">+M31/366</f>
        <v>15000</v>
      </c>
      <c r="O31" s="30" t="n">
        <f aca="false">-RMTC_2!I22</f>
        <v>501495.000000002</v>
      </c>
      <c r="P31" s="22" t="n">
        <f aca="false">-RMTC_2!J22</f>
        <v>-0</v>
      </c>
      <c r="Q31" s="22" t="n">
        <f aca="false">-RMTC_2!K22</f>
        <v>501495.000000002</v>
      </c>
    </row>
    <row r="32" customFormat="false" ht="11.25" hidden="false" customHeight="false" outlineLevel="0" collapsed="false">
      <c r="A32" s="23" t="n">
        <v>2</v>
      </c>
      <c r="B32" s="23" t="s">
        <v>35</v>
      </c>
      <c r="C32" s="23" t="s">
        <v>44</v>
      </c>
      <c r="D32" s="24"/>
      <c r="E32" s="23" t="s">
        <v>40</v>
      </c>
      <c r="F32" s="23" t="s">
        <v>41</v>
      </c>
      <c r="G32" s="23" t="s">
        <v>47</v>
      </c>
      <c r="H32" s="17" t="s">
        <v>48</v>
      </c>
      <c r="I32" s="24"/>
      <c r="J32" s="19" t="n">
        <v>2.365</v>
      </c>
      <c r="K32" s="19" t="n">
        <f aca="false">(SUM(RMTC_2!G26:G37)+SUM(RMTC_2!H26:H37))/12</f>
        <v>2.22986111111111</v>
      </c>
      <c r="L32" s="27" t="n">
        <f aca="false">+O32/M32</f>
        <v>0.134857012750456</v>
      </c>
      <c r="M32" s="43" t="n">
        <f aca="false">-RMTC_2!F39</f>
        <v>-5490000</v>
      </c>
      <c r="N32" s="43" t="n">
        <f aca="false">+M32/366</f>
        <v>-15000</v>
      </c>
      <c r="O32" s="38" t="n">
        <f aca="false">-RMTC_2!I39</f>
        <v>-740365.000000001</v>
      </c>
      <c r="P32" s="39" t="n">
        <f aca="false">-RMTC_2!J39</f>
        <v>-0</v>
      </c>
      <c r="Q32" s="39" t="n">
        <f aca="false">-RMTC_2!K39</f>
        <v>-740365.000000001</v>
      </c>
    </row>
    <row r="33" customFormat="false" ht="11.25" hidden="false" customHeight="false" outlineLevel="0" collapsed="false">
      <c r="A33" s="23"/>
      <c r="B33" s="23"/>
      <c r="C33" s="24"/>
      <c r="D33" s="24"/>
      <c r="E33" s="24"/>
      <c r="F33" s="24"/>
      <c r="G33" s="24"/>
      <c r="H33" s="24"/>
      <c r="I33" s="24"/>
      <c r="J33" s="24"/>
      <c r="K33" s="24"/>
      <c r="L33" s="25" t="n">
        <f aca="false">+L31+L32</f>
        <v>0.043510018214936</v>
      </c>
      <c r="M33" s="33" t="n">
        <f aca="false">+M31+M32</f>
        <v>0</v>
      </c>
      <c r="N33" s="33" t="n">
        <f aca="false">+N31+N32</f>
        <v>0</v>
      </c>
      <c r="O33" s="40" t="n">
        <f aca="false">+O31+O32</f>
        <v>-238869.999999999</v>
      </c>
      <c r="P33" s="40" t="n">
        <f aca="false">+P31+P32</f>
        <v>-0</v>
      </c>
      <c r="Q33" s="40" t="n">
        <f aca="false">+Q31+Q32</f>
        <v>-238869.999999999</v>
      </c>
    </row>
    <row r="34" customFormat="false" ht="9.95" hidden="false" customHeight="true" outlineLevel="0" collapsed="false">
      <c r="A34" s="23"/>
      <c r="B34" s="2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36"/>
      <c r="Q34" s="36"/>
    </row>
    <row r="35" customFormat="false" ht="22.5" hidden="false" customHeight="false" outlineLevel="0" collapsed="false">
      <c r="A35" s="23" t="n">
        <v>6</v>
      </c>
      <c r="B35" s="23" t="s">
        <v>49</v>
      </c>
      <c r="C35" s="23" t="s">
        <v>50</v>
      </c>
      <c r="D35" s="23" t="n">
        <v>25834</v>
      </c>
      <c r="E35" s="23" t="s">
        <v>40</v>
      </c>
      <c r="F35" s="23" t="s">
        <v>41</v>
      </c>
      <c r="G35" s="17" t="s">
        <v>51</v>
      </c>
      <c r="H35" s="17" t="s">
        <v>52</v>
      </c>
      <c r="I35" s="24"/>
      <c r="J35" s="19" t="n">
        <v>2.216</v>
      </c>
      <c r="K35" s="19" t="n">
        <f aca="false">SUM(Elpaso_6!G9:H13)/5</f>
        <v>2.293</v>
      </c>
      <c r="L35" s="25" t="n">
        <f aca="false">O35/M35</f>
        <v>0.0819333333333332</v>
      </c>
      <c r="M35" s="29" t="n">
        <f aca="false">+Elpaso_6!F15</f>
        <v>15000000</v>
      </c>
      <c r="N35" s="44" t="n">
        <f aca="false">+M35/153</f>
        <v>98039.2156862745</v>
      </c>
      <c r="O35" s="30" t="n">
        <f aca="false">-Elpaso_6!I15</f>
        <v>1229000</v>
      </c>
      <c r="P35" s="45" t="n">
        <f aca="false">-Elpaso_6!J15</f>
        <v>-0</v>
      </c>
      <c r="Q35" s="30" t="n">
        <f aca="false">-Elpaso_6!K15</f>
        <v>1229000</v>
      </c>
    </row>
    <row r="36" customFormat="false" ht="22.5" hidden="false" customHeight="false" outlineLevel="0" collapsed="false">
      <c r="A36" s="23" t="n">
        <v>6</v>
      </c>
      <c r="B36" s="23" t="s">
        <v>49</v>
      </c>
      <c r="C36" s="23" t="s">
        <v>50</v>
      </c>
      <c r="D36" s="23"/>
      <c r="E36" s="23" t="s">
        <v>37</v>
      </c>
      <c r="F36" s="23" t="s">
        <v>41</v>
      </c>
      <c r="G36" s="17" t="s">
        <v>51</v>
      </c>
      <c r="H36" s="17" t="s">
        <v>52</v>
      </c>
      <c r="I36" s="24"/>
      <c r="J36" s="19" t="n">
        <v>2.216</v>
      </c>
      <c r="K36" s="19" t="n">
        <f aca="false">SUM(Elpaso_6!G9:H13)/5</f>
        <v>2.293</v>
      </c>
      <c r="L36" s="46" t="n">
        <f aca="false">O36/M36</f>
        <v>0.0819333333333332</v>
      </c>
      <c r="M36" s="37" t="n">
        <f aca="false">-Elpaso_6!F15</f>
        <v>-15000000</v>
      </c>
      <c r="N36" s="47" t="n">
        <f aca="false">+M36/153</f>
        <v>-98039.2156862745</v>
      </c>
      <c r="O36" s="38" t="n">
        <f aca="false">Elpaso_6!I15</f>
        <v>-1229000</v>
      </c>
      <c r="P36" s="48" t="n">
        <f aca="false">-Elpaso_6!J26</f>
        <v>-0</v>
      </c>
      <c r="Q36" s="38" t="n">
        <f aca="false">Elpaso_6!K15</f>
        <v>-1229000</v>
      </c>
    </row>
    <row r="37" customFormat="false" ht="11.25" hidden="false" customHeight="false" outlineLevel="0" collapsed="false">
      <c r="A37" s="23"/>
      <c r="B37" s="23"/>
      <c r="C37" s="23"/>
      <c r="D37" s="23"/>
      <c r="E37" s="23"/>
      <c r="F37" s="23"/>
      <c r="G37" s="17"/>
      <c r="H37" s="17"/>
      <c r="I37" s="24"/>
      <c r="J37" s="19"/>
      <c r="K37" s="19"/>
      <c r="L37" s="25" t="n">
        <f aca="false">+L35-L36</f>
        <v>0</v>
      </c>
      <c r="M37" s="29" t="n">
        <f aca="false">+M36+M35</f>
        <v>0</v>
      </c>
      <c r="N37" s="29" t="n">
        <f aca="false">+N36+N35</f>
        <v>0</v>
      </c>
      <c r="O37" s="49" t="n">
        <f aca="false">+O36+O35</f>
        <v>0</v>
      </c>
      <c r="P37" s="50" t="n">
        <f aca="false">+P36+P35</f>
        <v>-0</v>
      </c>
      <c r="Q37" s="49" t="n">
        <f aca="false">+Q36+Q35</f>
        <v>0</v>
      </c>
    </row>
    <row r="38" customFormat="false" ht="11.25" hidden="false" customHeight="false" outlineLevel="0" collapsed="false">
      <c r="A38" s="23"/>
      <c r="B38" s="23"/>
      <c r="C38" s="23"/>
      <c r="D38" s="23"/>
      <c r="E38" s="23"/>
      <c r="F38" s="23"/>
      <c r="G38" s="17"/>
      <c r="H38" s="17"/>
      <c r="I38" s="24"/>
      <c r="J38" s="19"/>
      <c r="K38" s="19"/>
      <c r="L38" s="25"/>
      <c r="M38" s="29"/>
      <c r="N38" s="44"/>
      <c r="O38" s="49"/>
      <c r="P38" s="50"/>
      <c r="Q38" s="49"/>
    </row>
    <row r="39" customFormat="false" ht="11.25" hidden="false" customHeight="false" outlineLevel="0" collapsed="false">
      <c r="A39" s="23" t="n">
        <v>8</v>
      </c>
      <c r="B39" s="23" t="s">
        <v>49</v>
      </c>
      <c r="C39" s="23" t="s">
        <v>53</v>
      </c>
      <c r="D39" s="23" t="n">
        <v>105706</v>
      </c>
      <c r="E39" s="23" t="s">
        <v>40</v>
      </c>
      <c r="F39" s="23" t="s">
        <v>54</v>
      </c>
      <c r="G39" s="17"/>
      <c r="H39" s="17" t="s">
        <v>55</v>
      </c>
      <c r="I39" s="17"/>
      <c r="J39" s="19"/>
      <c r="K39" s="25" t="n">
        <f aca="false">SUM(MEC_8!H9:H14)/6</f>
        <v>1.87941666666667</v>
      </c>
      <c r="L39" s="25" t="n">
        <f aca="false">O39/M39</f>
        <v>2.09904347826087</v>
      </c>
      <c r="M39" s="29" t="n">
        <f aca="false">-MEC_8!F15</f>
        <v>-230000</v>
      </c>
      <c r="N39" s="44" t="n">
        <f aca="false">+M39/182</f>
        <v>-1263.73626373626</v>
      </c>
      <c r="O39" s="30" t="n">
        <f aca="false">-MEC_8!I15</f>
        <v>-482780</v>
      </c>
      <c r="P39" s="45" t="n">
        <f aca="false">-MEC_8!J15</f>
        <v>-121600</v>
      </c>
      <c r="Q39" s="30" t="n">
        <f aca="false">-MEC_8!K15</f>
        <v>-361180</v>
      </c>
    </row>
    <row r="40" customFormat="false" ht="11.25" hidden="false" customHeight="false" outlineLevel="0" collapsed="false">
      <c r="A40" s="23" t="n">
        <v>8</v>
      </c>
      <c r="B40" s="23" t="s">
        <v>49</v>
      </c>
      <c r="C40" s="23" t="s">
        <v>53</v>
      </c>
      <c r="D40" s="23" t="n">
        <v>105706</v>
      </c>
      <c r="E40" s="23" t="s">
        <v>40</v>
      </c>
      <c r="F40" s="23" t="s">
        <v>54</v>
      </c>
      <c r="G40" s="17"/>
      <c r="H40" s="17" t="s">
        <v>55</v>
      </c>
      <c r="I40" s="17"/>
      <c r="J40" s="19"/>
      <c r="K40" s="19" t="n">
        <f aca="false">SUM(MEC_8!H20:H25)/6</f>
        <v>1.89441666666667</v>
      </c>
      <c r="L40" s="46" t="n">
        <f aca="false">O40/M40</f>
        <v>2.42360869565217</v>
      </c>
      <c r="M40" s="37" t="n">
        <f aca="false">-MEC_8!F26</f>
        <v>230000</v>
      </c>
      <c r="N40" s="37" t="n">
        <f aca="false">+M40/182</f>
        <v>1263.73626373626</v>
      </c>
      <c r="O40" s="38" t="n">
        <f aca="false">-MEC_8!I26</f>
        <v>557430</v>
      </c>
      <c r="P40" s="48" t="n">
        <f aca="false">-MEC_8!J26</f>
        <v>125240</v>
      </c>
      <c r="Q40" s="38" t="n">
        <f aca="false">-MEC_8!K26</f>
        <v>432190</v>
      </c>
    </row>
    <row r="41" customFormat="false" ht="11.25" hidden="false" customHeight="false" outlineLevel="0" collapsed="false">
      <c r="A41" s="23"/>
      <c r="B41" s="23"/>
      <c r="C41" s="23"/>
      <c r="D41" s="23"/>
      <c r="E41" s="23"/>
      <c r="F41" s="23"/>
      <c r="G41" s="17"/>
      <c r="H41" s="17"/>
      <c r="I41" s="17"/>
      <c r="J41" s="19"/>
      <c r="K41" s="19"/>
      <c r="L41" s="25" t="n">
        <f aca="false">+L39-L40</f>
        <v>-0.324565217391304</v>
      </c>
      <c r="M41" s="29" t="n">
        <f aca="false">+M40+M39</f>
        <v>0</v>
      </c>
      <c r="N41" s="29" t="n">
        <f aca="false">+N40+N39</f>
        <v>0</v>
      </c>
      <c r="O41" s="30" t="n">
        <f aca="false">+O40+O39</f>
        <v>74650</v>
      </c>
      <c r="P41" s="45" t="n">
        <f aca="false">+P40+P39</f>
        <v>3639.99999999999</v>
      </c>
      <c r="Q41" s="30" t="n">
        <f aca="false">+Q40+Q39</f>
        <v>71010</v>
      </c>
    </row>
    <row r="42" customFormat="false" ht="11.25" hidden="false" customHeight="false" outlineLevel="0" collapsed="false">
      <c r="A42" s="23"/>
      <c r="B42" s="23"/>
      <c r="C42" s="23"/>
      <c r="D42" s="23"/>
      <c r="E42" s="23"/>
      <c r="F42" s="23"/>
      <c r="G42" s="17"/>
      <c r="H42" s="17"/>
      <c r="I42" s="24"/>
      <c r="J42" s="19"/>
      <c r="K42" s="19"/>
      <c r="L42" s="25"/>
      <c r="M42" s="29"/>
      <c r="N42" s="44"/>
      <c r="O42" s="30"/>
      <c r="P42" s="45"/>
      <c r="Q42" s="30"/>
    </row>
    <row r="43" customFormat="false" ht="12" hidden="false" customHeight="false" outlineLevel="0" collapsed="false">
      <c r="A43" s="23"/>
      <c r="B43" s="23"/>
      <c r="C43" s="23"/>
      <c r="D43" s="23"/>
      <c r="E43" s="23"/>
      <c r="F43" s="23"/>
      <c r="G43" s="23"/>
      <c r="H43" s="23"/>
      <c r="I43" s="24"/>
      <c r="J43" s="24"/>
      <c r="K43" s="24"/>
      <c r="L43" s="24"/>
      <c r="M43" s="51" t="n">
        <f aca="false">+M37+M33+M29+M25+M21+M17+M13+M41</f>
        <v>0</v>
      </c>
      <c r="N43" s="51" t="n">
        <f aca="false">+N37+N33+N29+N25+N21+N17+N13+N41</f>
        <v>0</v>
      </c>
      <c r="O43" s="52" t="n">
        <f aca="false">+O37+O33+O29+O25+O21+O17+O13+O41</f>
        <v>-623456.166666666</v>
      </c>
      <c r="P43" s="52" t="n">
        <f aca="false">+P37+P33+P29+P25+P21+P17+P13+P41</f>
        <v>-458902.5</v>
      </c>
      <c r="Q43" s="52" t="n">
        <f aca="false">+Q37+Q33+Q29+Q25+Q21+Q17+Q13+Q41</f>
        <v>-164553.666666665</v>
      </c>
    </row>
    <row r="44" customFormat="false" ht="9" hidden="false" customHeight="true" outlineLevel="0" collapsed="false">
      <c r="A44" s="53"/>
      <c r="B44" s="53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5"/>
      <c r="Q44" s="55"/>
    </row>
    <row r="45" customFormat="false" ht="11.25" hidden="false" customHeight="false" outlineLevel="0" collapsed="false">
      <c r="A45" s="56"/>
      <c r="B45" s="56"/>
    </row>
    <row r="46" customFormat="false" ht="10.5" hidden="false" customHeight="false" outlineLevel="0" collapsed="false">
      <c r="A46" s="2" t="s">
        <v>56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</row>
    <row r="47" customFormat="false" ht="10.5" hidden="false" customHeight="false" outlineLevel="0" collapsed="false">
      <c r="A47" s="2" t="s">
        <v>2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</row>
    <row r="48" customFormat="false" ht="11.25" hidden="false" customHeight="false" outlineLevel="0" collapsed="false">
      <c r="B48" s="56"/>
    </row>
    <row r="49" customFormat="false" ht="10.5" hidden="false" customHeight="false" outlineLevel="0" collapsed="false">
      <c r="A49" s="5" t="s">
        <v>4</v>
      </c>
      <c r="B49" s="6" t="s">
        <v>5</v>
      </c>
      <c r="C49" s="6" t="s">
        <v>6</v>
      </c>
      <c r="D49" s="6" t="s">
        <v>6</v>
      </c>
      <c r="E49" s="6" t="s">
        <v>6</v>
      </c>
      <c r="F49" s="6" t="s">
        <v>7</v>
      </c>
      <c r="G49" s="6" t="s">
        <v>18</v>
      </c>
      <c r="H49" s="6" t="s">
        <v>9</v>
      </c>
      <c r="I49" s="6" t="s">
        <v>10</v>
      </c>
      <c r="J49" s="6" t="s">
        <v>6</v>
      </c>
      <c r="K49" s="6" t="s">
        <v>11</v>
      </c>
      <c r="L49" s="6" t="s">
        <v>12</v>
      </c>
      <c r="M49" s="6" t="s">
        <v>6</v>
      </c>
      <c r="N49" s="6" t="s">
        <v>13</v>
      </c>
      <c r="O49" s="6"/>
      <c r="P49" s="6"/>
      <c r="Q49" s="7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</row>
    <row r="50" customFormat="false" ht="10.5" hidden="false" customHeight="false" outlineLevel="0" collapsed="false">
      <c r="A50" s="9" t="s">
        <v>14</v>
      </c>
      <c r="B50" s="10" t="s">
        <v>15</v>
      </c>
      <c r="C50" s="10" t="s">
        <v>15</v>
      </c>
      <c r="D50" s="10" t="s">
        <v>16</v>
      </c>
      <c r="E50" s="10" t="s">
        <v>17</v>
      </c>
      <c r="F50" s="10"/>
      <c r="G50" s="10" t="s">
        <v>26</v>
      </c>
      <c r="H50" s="10" t="s">
        <v>19</v>
      </c>
      <c r="I50" s="10" t="s">
        <v>19</v>
      </c>
      <c r="J50" s="10" t="s">
        <v>20</v>
      </c>
      <c r="K50" s="10" t="s">
        <v>21</v>
      </c>
      <c r="L50" s="10"/>
      <c r="M50" s="10" t="s">
        <v>22</v>
      </c>
      <c r="N50" s="10" t="s">
        <v>23</v>
      </c>
      <c r="O50" s="11" t="s">
        <v>24</v>
      </c>
      <c r="P50" s="11"/>
      <c r="Q50" s="11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</row>
    <row r="51" customFormat="false" ht="10.5" hidden="false" customHeight="false" outlineLevel="0" collapsed="false">
      <c r="A51" s="9"/>
      <c r="B51" s="10"/>
      <c r="C51" s="10"/>
      <c r="D51" s="10"/>
      <c r="E51" s="10" t="s">
        <v>57</v>
      </c>
      <c r="F51" s="10"/>
      <c r="G51" s="10"/>
      <c r="H51" s="10"/>
      <c r="I51" s="10"/>
      <c r="J51" s="10"/>
      <c r="K51" s="10" t="s">
        <v>27</v>
      </c>
      <c r="L51" s="10"/>
      <c r="M51" s="10" t="s">
        <v>58</v>
      </c>
      <c r="N51" s="10"/>
      <c r="O51" s="10" t="s">
        <v>29</v>
      </c>
      <c r="P51" s="10" t="s">
        <v>30</v>
      </c>
      <c r="Q51" s="12" t="s">
        <v>31</v>
      </c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</row>
    <row r="52" customFormat="false" ht="10.5" hidden="false" customHeight="false" outlineLevel="0" collapsed="false">
      <c r="A52" s="9"/>
      <c r="B52" s="10"/>
      <c r="C52" s="10"/>
      <c r="D52" s="10"/>
      <c r="E52" s="10"/>
      <c r="F52" s="10"/>
      <c r="G52" s="10"/>
      <c r="H52" s="10"/>
      <c r="I52" s="10"/>
      <c r="J52" s="10"/>
      <c r="K52" s="10" t="s">
        <v>32</v>
      </c>
      <c r="L52" s="10"/>
      <c r="M52" s="10" t="s">
        <v>59</v>
      </c>
      <c r="N52" s="57"/>
      <c r="O52" s="14" t="s">
        <v>34</v>
      </c>
      <c r="P52" s="14" t="s">
        <v>34</v>
      </c>
      <c r="Q52" s="11" t="s">
        <v>34</v>
      </c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</row>
    <row r="53" customFormat="false" ht="11.25" hidden="false" customHeight="false" outlineLevel="0" collapsed="false">
      <c r="A53" s="15" t="n">
        <v>1</v>
      </c>
      <c r="B53" s="15" t="s">
        <v>35</v>
      </c>
      <c r="C53" s="15" t="s">
        <v>38</v>
      </c>
      <c r="D53" s="15" t="n">
        <v>26125</v>
      </c>
      <c r="E53" s="15" t="s">
        <v>40</v>
      </c>
      <c r="F53" s="15" t="s">
        <v>54</v>
      </c>
      <c r="G53" s="16"/>
      <c r="H53" s="16"/>
      <c r="I53" s="15" t="s">
        <v>60</v>
      </c>
      <c r="J53" s="16"/>
      <c r="K53" s="16"/>
      <c r="L53" s="16"/>
      <c r="M53" s="20" t="n">
        <v>-273750</v>
      </c>
      <c r="N53" s="20" t="n">
        <f aca="false">(+M53/1095)</f>
        <v>-250</v>
      </c>
      <c r="O53" s="16"/>
      <c r="P53" s="36"/>
      <c r="Q53" s="36"/>
    </row>
    <row r="54" customFormat="false" ht="9" hidden="false" customHeight="true" outlineLevel="0" collapsed="false">
      <c r="A54" s="24"/>
      <c r="B54" s="24"/>
      <c r="C54" s="24"/>
      <c r="D54" s="24"/>
      <c r="E54" s="24"/>
      <c r="F54" s="23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</row>
    <row r="55" customFormat="false" ht="12" hidden="false" customHeight="true" outlineLevel="0" collapsed="false">
      <c r="A55" s="23" t="n">
        <v>7</v>
      </c>
      <c r="B55" s="23" t="s">
        <v>35</v>
      </c>
      <c r="C55" s="23" t="s">
        <v>44</v>
      </c>
      <c r="D55" s="24"/>
      <c r="E55" s="23" t="s">
        <v>40</v>
      </c>
      <c r="F55" s="23" t="s">
        <v>54</v>
      </c>
      <c r="G55" s="24"/>
      <c r="H55" s="24"/>
      <c r="I55" s="23" t="s">
        <v>61</v>
      </c>
      <c r="J55" s="24"/>
      <c r="K55" s="24"/>
      <c r="L55" s="24"/>
      <c r="M55" s="29" t="n">
        <v>5475000</v>
      </c>
      <c r="N55" s="29" t="n">
        <f aca="false">+M55/365</f>
        <v>15000</v>
      </c>
      <c r="O55" s="24"/>
      <c r="P55" s="36"/>
      <c r="Q55" s="36"/>
    </row>
    <row r="56" customFormat="false" ht="9" hidden="false" customHeight="true" outlineLevel="0" collapsed="false">
      <c r="A56" s="24"/>
      <c r="B56" s="24"/>
      <c r="C56" s="24"/>
      <c r="D56" s="24"/>
      <c r="E56" s="24"/>
      <c r="F56" s="23"/>
      <c r="G56" s="24"/>
      <c r="H56" s="24"/>
      <c r="I56" s="24"/>
      <c r="J56" s="24"/>
      <c r="K56" s="24"/>
      <c r="L56" s="24"/>
      <c r="M56" s="24"/>
      <c r="N56" s="24"/>
      <c r="O56" s="24"/>
      <c r="P56" s="36"/>
      <c r="Q56" s="36"/>
    </row>
    <row r="57" customFormat="false" ht="11.25" hidden="false" customHeight="false" outlineLevel="0" collapsed="false">
      <c r="A57" s="23" t="n">
        <v>3</v>
      </c>
      <c r="B57" s="23" t="s">
        <v>49</v>
      </c>
      <c r="C57" s="23" t="s">
        <v>62</v>
      </c>
      <c r="D57" s="23" t="n">
        <v>101021</v>
      </c>
      <c r="E57" s="23" t="s">
        <v>40</v>
      </c>
      <c r="F57" s="23" t="s">
        <v>54</v>
      </c>
      <c r="G57" s="24"/>
      <c r="H57" s="24"/>
      <c r="I57" s="23" t="s">
        <v>63</v>
      </c>
      <c r="J57" s="24"/>
      <c r="K57" s="24"/>
      <c r="L57" s="24"/>
      <c r="M57" s="29" t="n">
        <v>923648.25</v>
      </c>
      <c r="N57" s="29" t="n">
        <f aca="false">+M57/2240</f>
        <v>412.34296875</v>
      </c>
      <c r="O57" s="24"/>
      <c r="P57" s="36"/>
      <c r="Q57" s="36"/>
    </row>
    <row r="58" customFormat="false" ht="9" hidden="false" customHeight="true" outlineLevel="0" collapsed="false">
      <c r="A58" s="24"/>
      <c r="B58" s="24"/>
      <c r="C58" s="24"/>
      <c r="D58" s="23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36"/>
      <c r="Q58" s="36"/>
    </row>
    <row r="59" customFormat="false" ht="11.25" hidden="false" customHeight="false" outlineLevel="0" collapsed="false">
      <c r="A59" s="23" t="n">
        <v>4</v>
      </c>
      <c r="B59" s="23" t="s">
        <v>49</v>
      </c>
      <c r="C59" s="23" t="s">
        <v>62</v>
      </c>
      <c r="D59" s="23" t="n">
        <v>101073</v>
      </c>
      <c r="E59" s="23" t="s">
        <v>40</v>
      </c>
      <c r="F59" s="23" t="s">
        <v>54</v>
      </c>
      <c r="G59" s="24"/>
      <c r="H59" s="24"/>
      <c r="I59" s="23" t="s">
        <v>63</v>
      </c>
      <c r="J59" s="24"/>
      <c r="K59" s="24"/>
      <c r="L59" s="24"/>
      <c r="M59" s="29" t="n">
        <v>164380.4375</v>
      </c>
      <c r="N59" s="29" t="n">
        <f aca="false">+M59/2230</f>
        <v>73.7132006726457</v>
      </c>
      <c r="O59" s="24"/>
      <c r="P59" s="36"/>
      <c r="Q59" s="36"/>
    </row>
    <row r="60" customFormat="false" ht="9" hidden="false" customHeight="true" outlineLevel="0" collapsed="false">
      <c r="A60" s="23"/>
      <c r="B60" s="23"/>
      <c r="C60" s="23"/>
      <c r="D60" s="23"/>
      <c r="E60" s="23"/>
      <c r="F60" s="23"/>
      <c r="G60" s="24"/>
      <c r="H60" s="24"/>
      <c r="I60" s="23"/>
      <c r="J60" s="24"/>
      <c r="K60" s="24"/>
      <c r="L60" s="24"/>
      <c r="M60" s="24"/>
      <c r="N60" s="24"/>
      <c r="O60" s="24"/>
      <c r="P60" s="36"/>
      <c r="Q60" s="36"/>
    </row>
    <row r="61" customFormat="false" ht="22.5" hidden="false" customHeight="false" outlineLevel="0" collapsed="false">
      <c r="A61" s="23" t="n">
        <v>5</v>
      </c>
      <c r="B61" s="23" t="s">
        <v>49</v>
      </c>
      <c r="C61" s="23" t="s">
        <v>64</v>
      </c>
      <c r="D61" s="23" t="n">
        <v>22064</v>
      </c>
      <c r="E61" s="23" t="s">
        <v>40</v>
      </c>
      <c r="F61" s="23" t="s">
        <v>54</v>
      </c>
      <c r="G61" s="24"/>
      <c r="H61" s="24"/>
      <c r="I61" s="17" t="s">
        <v>65</v>
      </c>
      <c r="J61" s="24"/>
      <c r="K61" s="24"/>
      <c r="L61" s="24"/>
      <c r="M61" s="29" t="n">
        <v>-3900</v>
      </c>
      <c r="N61" s="29" t="n">
        <f aca="false">+M61/397</f>
        <v>-9.82367758186398</v>
      </c>
      <c r="O61" s="24"/>
      <c r="P61" s="36"/>
      <c r="Q61" s="36"/>
    </row>
    <row r="62" customFormat="false" ht="9" hidden="false" customHeight="true" outlineLevel="0" collapsed="false">
      <c r="A62" s="23"/>
      <c r="B62" s="23"/>
      <c r="C62" s="23"/>
      <c r="D62" s="23"/>
      <c r="E62" s="23"/>
      <c r="F62" s="23"/>
      <c r="G62" s="24"/>
      <c r="H62" s="24"/>
      <c r="I62" s="23"/>
      <c r="J62" s="24"/>
      <c r="K62" s="24"/>
      <c r="L62" s="24"/>
      <c r="M62" s="29"/>
      <c r="N62" s="29"/>
      <c r="O62" s="24"/>
      <c r="P62" s="36"/>
      <c r="Q62" s="36"/>
    </row>
    <row r="63" customFormat="false" ht="12" hidden="false" customHeight="false" outlineLevel="0" collapsed="false">
      <c r="A63" s="23"/>
      <c r="B63" s="23"/>
      <c r="C63" s="23"/>
      <c r="D63" s="23"/>
      <c r="E63" s="23"/>
      <c r="F63" s="23"/>
      <c r="G63" s="24"/>
      <c r="H63" s="24"/>
      <c r="I63" s="23"/>
      <c r="J63" s="24"/>
      <c r="K63" s="24"/>
      <c r="L63" s="24"/>
      <c r="M63" s="58" t="n">
        <f aca="false">SUM(M53:M61)</f>
        <v>6285378.6875</v>
      </c>
      <c r="N63" s="58" t="n">
        <f aca="false">SUM(N53:N61)</f>
        <v>15226.2324918408</v>
      </c>
      <c r="O63" s="24"/>
      <c r="P63" s="36"/>
      <c r="Q63" s="36"/>
    </row>
    <row r="64" customFormat="false" ht="9" hidden="false" customHeight="true" outlineLevel="0" collapsed="false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5"/>
      <c r="Q64" s="55"/>
    </row>
    <row r="65" customFormat="false" ht="12.75" hidden="false" customHeight="false" outlineLevel="0" collapsed="false">
      <c r="M65" s="59"/>
    </row>
    <row r="66" customFormat="false" ht="11.25" hidden="false" customHeight="false" outlineLevel="0" collapsed="false">
      <c r="A66" s="60" t="s">
        <v>66</v>
      </c>
      <c r="B66" s="60"/>
      <c r="C66" s="60" t="s">
        <v>67</v>
      </c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0"/>
      <c r="DB66" s="60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0"/>
      <c r="DQ66" s="60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0"/>
      <c r="EF66" s="60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0"/>
      <c r="EU66" s="60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0"/>
      <c r="FJ66" s="60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0"/>
      <c r="FY66" s="60"/>
      <c r="FZ66" s="60"/>
      <c r="GA66" s="60"/>
      <c r="GB66" s="60"/>
      <c r="GC66" s="60"/>
      <c r="GD66" s="60"/>
      <c r="GE66" s="60"/>
      <c r="GF66" s="60"/>
      <c r="GG66" s="60"/>
      <c r="GH66" s="60"/>
      <c r="GI66" s="60"/>
      <c r="GJ66" s="60"/>
      <c r="GK66" s="60"/>
      <c r="GL66" s="60"/>
      <c r="GM66" s="60"/>
      <c r="GN66" s="60"/>
      <c r="GO66" s="60"/>
      <c r="GP66" s="60"/>
      <c r="GQ66" s="60"/>
      <c r="GR66" s="60"/>
      <c r="GS66" s="60"/>
      <c r="GT66" s="60"/>
      <c r="GU66" s="60"/>
      <c r="GV66" s="60"/>
      <c r="GW66" s="60"/>
      <c r="GX66" s="60"/>
      <c r="GY66" s="60"/>
      <c r="GZ66" s="60"/>
      <c r="HA66" s="60"/>
      <c r="HB66" s="60"/>
      <c r="HC66" s="60"/>
      <c r="HD66" s="60"/>
      <c r="HE66" s="60"/>
      <c r="HF66" s="60"/>
      <c r="HG66" s="60"/>
      <c r="HH66" s="60"/>
      <c r="HI66" s="60"/>
      <c r="HJ66" s="60"/>
      <c r="HK66" s="60"/>
      <c r="HL66" s="60"/>
      <c r="HM66" s="60"/>
      <c r="HN66" s="60"/>
      <c r="HO66" s="60"/>
      <c r="HP66" s="60"/>
      <c r="HQ66" s="60"/>
      <c r="HR66" s="60"/>
      <c r="HS66" s="60"/>
      <c r="HT66" s="60"/>
      <c r="HU66" s="60"/>
      <c r="HV66" s="60"/>
      <c r="HW66" s="60"/>
      <c r="HX66" s="60"/>
      <c r="HY66" s="60"/>
      <c r="HZ66" s="60"/>
      <c r="IA66" s="60"/>
      <c r="IB66" s="60"/>
      <c r="IC66" s="60"/>
      <c r="ID66" s="60"/>
      <c r="IE66" s="60"/>
      <c r="IF66" s="60"/>
      <c r="IG66" s="60"/>
      <c r="IH66" s="60"/>
      <c r="II66" s="60"/>
      <c r="IJ66" s="60"/>
      <c r="IK66" s="60"/>
      <c r="IL66" s="60"/>
      <c r="IM66" s="60"/>
      <c r="IN66" s="60"/>
      <c r="IO66" s="60"/>
      <c r="IP66" s="60"/>
      <c r="IQ66" s="60"/>
      <c r="IR66" s="60"/>
      <c r="IS66" s="60"/>
      <c r="IT66" s="60"/>
      <c r="IU66" s="60"/>
      <c r="IV66" s="60"/>
      <c r="IW66" s="60"/>
    </row>
    <row r="67" customFormat="false" ht="11.25" hidden="false" customHeight="false" outlineLevel="0" collapsed="false">
      <c r="A67" s="60"/>
      <c r="B67" s="60"/>
      <c r="C67" s="60" t="s">
        <v>68</v>
      </c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0"/>
      <c r="CM67" s="60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0"/>
      <c r="DB67" s="60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0"/>
      <c r="DQ67" s="60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0"/>
      <c r="EF67" s="60"/>
      <c r="EG67" s="60"/>
      <c r="EH67" s="60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0"/>
      <c r="EU67" s="60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G67" s="60"/>
      <c r="FH67" s="60"/>
      <c r="FI67" s="60"/>
      <c r="FJ67" s="60"/>
      <c r="FK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0"/>
      <c r="FY67" s="60"/>
      <c r="FZ67" s="60"/>
      <c r="GA67" s="60"/>
      <c r="GB67" s="60"/>
      <c r="GC67" s="60"/>
      <c r="GD67" s="60"/>
      <c r="GE67" s="60"/>
      <c r="GF67" s="60"/>
      <c r="GG67" s="60"/>
      <c r="GH67" s="60"/>
      <c r="GI67" s="60"/>
      <c r="GJ67" s="60"/>
      <c r="GK67" s="60"/>
      <c r="GL67" s="60"/>
      <c r="GM67" s="60"/>
      <c r="GN67" s="60"/>
      <c r="GO67" s="60"/>
      <c r="GP67" s="60"/>
      <c r="GQ67" s="60"/>
      <c r="GR67" s="60"/>
      <c r="GS67" s="60"/>
      <c r="GT67" s="60"/>
      <c r="GU67" s="60"/>
      <c r="GV67" s="60"/>
      <c r="GW67" s="60"/>
      <c r="GX67" s="60"/>
      <c r="GY67" s="60"/>
      <c r="GZ67" s="60"/>
      <c r="HA67" s="60"/>
      <c r="HB67" s="60"/>
      <c r="HC67" s="60"/>
      <c r="HD67" s="60"/>
      <c r="HE67" s="60"/>
      <c r="HF67" s="60"/>
      <c r="HG67" s="60"/>
      <c r="HH67" s="60"/>
      <c r="HI67" s="60"/>
      <c r="HJ67" s="60"/>
      <c r="HK67" s="60"/>
      <c r="HL67" s="60"/>
      <c r="HM67" s="60"/>
      <c r="HN67" s="60"/>
      <c r="HO67" s="60"/>
      <c r="HP67" s="60"/>
      <c r="HQ67" s="60"/>
      <c r="HR67" s="60"/>
      <c r="HS67" s="60"/>
      <c r="HT67" s="60"/>
      <c r="HU67" s="60"/>
      <c r="HV67" s="60"/>
      <c r="HW67" s="60"/>
      <c r="HX67" s="60"/>
      <c r="HY67" s="60"/>
      <c r="HZ67" s="60"/>
      <c r="IA67" s="60"/>
      <c r="IB67" s="60"/>
      <c r="IC67" s="60"/>
      <c r="ID67" s="60"/>
      <c r="IE67" s="60"/>
      <c r="IF67" s="60"/>
      <c r="IG67" s="60"/>
      <c r="IH67" s="60"/>
      <c r="II67" s="60"/>
      <c r="IJ67" s="60"/>
      <c r="IK67" s="60"/>
      <c r="IL67" s="60"/>
      <c r="IM67" s="60"/>
      <c r="IN67" s="60"/>
      <c r="IO67" s="60"/>
      <c r="IP67" s="60"/>
      <c r="IQ67" s="60"/>
      <c r="IR67" s="60"/>
      <c r="IS67" s="60"/>
      <c r="IT67" s="60"/>
      <c r="IU67" s="60"/>
      <c r="IV67" s="60"/>
      <c r="IW67" s="60"/>
    </row>
    <row r="68" customFormat="false" ht="11.25" hidden="false" customHeight="false" outlineLevel="0" collapsed="false">
      <c r="A68" s="60" t="s">
        <v>69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0"/>
      <c r="CM68" s="60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0"/>
      <c r="DB68" s="60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0"/>
      <c r="DQ68" s="60"/>
      <c r="DR68" s="60"/>
      <c r="DS68" s="60"/>
      <c r="DT68" s="60"/>
      <c r="DU68" s="60"/>
      <c r="DV68" s="60"/>
      <c r="DW68" s="60"/>
      <c r="DX68" s="60"/>
      <c r="DY68" s="60"/>
      <c r="DZ68" s="60"/>
      <c r="EA68" s="60"/>
      <c r="EB68" s="60"/>
      <c r="EC68" s="60"/>
      <c r="ED68" s="60"/>
      <c r="EE68" s="60"/>
      <c r="EF68" s="60"/>
      <c r="EG68" s="60"/>
      <c r="EH68" s="60"/>
      <c r="EI68" s="60"/>
      <c r="EJ68" s="60"/>
      <c r="EK68" s="60"/>
      <c r="EL68" s="60"/>
      <c r="EM68" s="60"/>
      <c r="EN68" s="60"/>
      <c r="EO68" s="60"/>
      <c r="EP68" s="60"/>
      <c r="EQ68" s="60"/>
      <c r="ER68" s="60"/>
      <c r="ES68" s="60"/>
      <c r="ET68" s="60"/>
      <c r="EU68" s="60"/>
      <c r="EV68" s="60"/>
      <c r="EW68" s="60"/>
      <c r="EX68" s="60"/>
      <c r="EY68" s="60"/>
      <c r="EZ68" s="60"/>
      <c r="FA68" s="60"/>
      <c r="FB68" s="60"/>
      <c r="FC68" s="60"/>
      <c r="FD68" s="60"/>
      <c r="FE68" s="60"/>
      <c r="FF68" s="60"/>
      <c r="FG68" s="60"/>
      <c r="FH68" s="60"/>
      <c r="FI68" s="60"/>
      <c r="FJ68" s="60"/>
      <c r="FK68" s="60"/>
      <c r="FL68" s="60"/>
      <c r="FM68" s="60"/>
      <c r="FN68" s="60"/>
      <c r="FO68" s="60"/>
      <c r="FP68" s="60"/>
      <c r="FQ68" s="60"/>
      <c r="FR68" s="60"/>
      <c r="FS68" s="60"/>
      <c r="FT68" s="60"/>
      <c r="FU68" s="60"/>
      <c r="FV68" s="60"/>
      <c r="FW68" s="60"/>
      <c r="FX68" s="60"/>
      <c r="FY68" s="60"/>
      <c r="FZ68" s="60"/>
      <c r="GA68" s="60"/>
      <c r="GB68" s="60"/>
      <c r="GC68" s="60"/>
      <c r="GD68" s="60"/>
      <c r="GE68" s="60"/>
      <c r="GF68" s="60"/>
      <c r="GG68" s="60"/>
      <c r="GH68" s="60"/>
      <c r="GI68" s="60"/>
      <c r="GJ68" s="60"/>
      <c r="GK68" s="60"/>
      <c r="GL68" s="60"/>
      <c r="GM68" s="60"/>
      <c r="GN68" s="60"/>
      <c r="GO68" s="60"/>
      <c r="GP68" s="60"/>
      <c r="GQ68" s="60"/>
      <c r="GR68" s="60"/>
      <c r="GS68" s="60"/>
      <c r="GT68" s="60"/>
      <c r="GU68" s="60"/>
      <c r="GV68" s="60"/>
      <c r="GW68" s="60"/>
      <c r="GX68" s="60"/>
      <c r="GY68" s="60"/>
      <c r="GZ68" s="60"/>
      <c r="HA68" s="60"/>
      <c r="HB68" s="60"/>
      <c r="HC68" s="60"/>
      <c r="HD68" s="60"/>
      <c r="HE68" s="60"/>
      <c r="HF68" s="60"/>
      <c r="HG68" s="60"/>
      <c r="HH68" s="60"/>
      <c r="HI68" s="60"/>
      <c r="HJ68" s="60"/>
      <c r="HK68" s="60"/>
      <c r="HL68" s="60"/>
      <c r="HM68" s="60"/>
      <c r="HN68" s="60"/>
      <c r="HO68" s="60"/>
      <c r="HP68" s="60"/>
      <c r="HQ68" s="60"/>
      <c r="HR68" s="60"/>
      <c r="HS68" s="60"/>
      <c r="HT68" s="60"/>
      <c r="HU68" s="60"/>
      <c r="HV68" s="60"/>
      <c r="HW68" s="60"/>
      <c r="HX68" s="60"/>
      <c r="HY68" s="60"/>
      <c r="HZ68" s="60"/>
      <c r="IA68" s="60"/>
      <c r="IB68" s="60"/>
      <c r="IC68" s="60"/>
      <c r="ID68" s="60"/>
      <c r="IE68" s="60"/>
      <c r="IF68" s="60"/>
      <c r="IG68" s="60"/>
      <c r="IH68" s="60"/>
      <c r="II68" s="60"/>
      <c r="IJ68" s="60"/>
      <c r="IK68" s="60"/>
      <c r="IL68" s="60"/>
      <c r="IM68" s="60"/>
      <c r="IN68" s="60"/>
      <c r="IO68" s="60"/>
      <c r="IP68" s="60"/>
      <c r="IQ68" s="60"/>
      <c r="IR68" s="60"/>
      <c r="IS68" s="60"/>
      <c r="IT68" s="60"/>
      <c r="IU68" s="60"/>
      <c r="IV68" s="60"/>
      <c r="IW68" s="60"/>
    </row>
    <row r="69" customFormat="false" ht="11.25" hidden="false" customHeight="false" outlineLevel="0" collapsed="false">
      <c r="A69" s="60" t="s">
        <v>70</v>
      </c>
    </row>
    <row r="70" customFormat="false" ht="11.25" hidden="false" customHeight="false" outlineLevel="0" collapsed="false">
      <c r="A70" s="60" t="s">
        <v>71</v>
      </c>
    </row>
    <row r="71" customFormat="false" ht="11.25" hidden="false" customHeight="false" outlineLevel="0" collapsed="false">
      <c r="A71" s="60" t="s">
        <v>72</v>
      </c>
      <c r="B71" s="60"/>
      <c r="C71" s="60"/>
    </row>
    <row r="72" customFormat="false" ht="11.25" hidden="false" customHeight="false" outlineLevel="0" collapsed="false">
      <c r="A72" s="60" t="s">
        <v>73</v>
      </c>
      <c r="B72" s="60"/>
      <c r="C72" s="60"/>
    </row>
  </sheetData>
  <mergeCells count="8">
    <mergeCell ref="A1:Q1"/>
    <mergeCell ref="A2:Q2"/>
    <mergeCell ref="A3:Q3"/>
    <mergeCell ref="A5:Q5"/>
    <mergeCell ref="O8:Q8"/>
    <mergeCell ref="A46:Q46"/>
    <mergeCell ref="A47:Q47"/>
    <mergeCell ref="O50:Q50"/>
  </mergeCells>
  <printOptions headings="false" gridLines="false" gridLinesSet="true" horizontalCentered="true" verticalCentered="true"/>
  <pageMargins left="0.25" right="0.25" top="0.179861111111111" bottom="0.35" header="0.511811023622047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&amp;L&amp;"Arial,Italic"&amp;8&amp;D&amp;T&amp;R&amp;"Arial,Italic"&amp;8G:/Common/TW Fuel Hedge/Fixed2_Summary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E3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:C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13"/>
    <col collapsed="false" customWidth="true" hidden="false" outlineLevel="0" max="3" min="3" style="0" width="9.99"/>
    <col collapsed="false" customWidth="true" hidden="false" outlineLevel="0" max="4" min="4" style="0" width="11.99"/>
  </cols>
  <sheetData>
    <row r="5" customFormat="false" ht="12.75" hidden="false" customHeight="false" outlineLevel="0" collapsed="false">
      <c r="A5" s="123"/>
      <c r="B5" s="123" t="s">
        <v>111</v>
      </c>
      <c r="C5" s="123"/>
      <c r="D5" s="123"/>
    </row>
    <row r="6" customFormat="false" ht="12.75" hidden="false" customHeight="false" outlineLevel="0" collapsed="false">
      <c r="A6" s="123"/>
      <c r="B6" s="123" t="s">
        <v>112</v>
      </c>
      <c r="C6" s="123"/>
      <c r="D6" s="123" t="s">
        <v>113</v>
      </c>
      <c r="E6" s="123" t="s">
        <v>6</v>
      </c>
      <c r="G6" s="124" t="n">
        <v>36100</v>
      </c>
      <c r="H6" s="124" t="n">
        <v>36130</v>
      </c>
      <c r="I6" s="124" t="n">
        <v>36161</v>
      </c>
      <c r="J6" s="124" t="n">
        <v>36192</v>
      </c>
      <c r="K6" s="124" t="n">
        <v>36220</v>
      </c>
      <c r="L6" s="124" t="n">
        <v>36251</v>
      </c>
      <c r="M6" s="124" t="n">
        <v>36281</v>
      </c>
      <c r="N6" s="124" t="n">
        <v>36312</v>
      </c>
      <c r="O6" s="124" t="n">
        <v>36342</v>
      </c>
      <c r="P6" s="124" t="n">
        <v>36373</v>
      </c>
      <c r="Q6" s="124" t="n">
        <v>36404</v>
      </c>
      <c r="R6" s="124" t="n">
        <v>36434</v>
      </c>
      <c r="S6" s="124" t="n">
        <v>36465</v>
      </c>
      <c r="T6" s="124" t="n">
        <v>36495</v>
      </c>
      <c r="U6" s="124" t="n">
        <v>36526</v>
      </c>
      <c r="V6" s="124" t="n">
        <v>36557</v>
      </c>
      <c r="W6" s="124" t="n">
        <v>36586</v>
      </c>
      <c r="X6" s="124" t="n">
        <v>36617</v>
      </c>
      <c r="Y6" s="124" t="n">
        <v>36647</v>
      </c>
      <c r="Z6" s="124" t="n">
        <v>36678</v>
      </c>
      <c r="AA6" s="124" t="n">
        <v>36708</v>
      </c>
      <c r="AB6" s="124" t="n">
        <v>36739</v>
      </c>
      <c r="AC6" s="124" t="n">
        <v>36770</v>
      </c>
      <c r="AD6" s="124" t="n">
        <v>36800</v>
      </c>
      <c r="AE6" s="124" t="n">
        <v>36831</v>
      </c>
      <c r="AF6" s="124" t="n">
        <v>36861</v>
      </c>
      <c r="AG6" s="124" t="n">
        <v>36892</v>
      </c>
      <c r="AH6" s="124" t="n">
        <v>36923</v>
      </c>
      <c r="AI6" s="124" t="n">
        <v>36951</v>
      </c>
      <c r="AJ6" s="124" t="n">
        <v>36982</v>
      </c>
      <c r="AK6" s="124" t="n">
        <v>37012</v>
      </c>
      <c r="AL6" s="124" t="n">
        <v>37043</v>
      </c>
      <c r="AM6" s="124" t="n">
        <v>37073</v>
      </c>
      <c r="AN6" s="124" t="n">
        <v>37104</v>
      </c>
      <c r="AO6" s="124" t="n">
        <v>37135</v>
      </c>
      <c r="AP6" s="124" t="n">
        <v>37165</v>
      </c>
      <c r="AQ6" s="124" t="n">
        <v>37196</v>
      </c>
      <c r="AR6" s="124" t="n">
        <v>37226</v>
      </c>
      <c r="AS6" s="124" t="n">
        <v>37257</v>
      </c>
      <c r="AT6" s="124" t="n">
        <v>37288</v>
      </c>
      <c r="AU6" s="124" t="n">
        <v>37316</v>
      </c>
      <c r="AV6" s="124" t="n">
        <v>37347</v>
      </c>
      <c r="AW6" s="124" t="n">
        <v>37377</v>
      </c>
      <c r="AX6" s="124" t="n">
        <v>37408</v>
      </c>
      <c r="AY6" s="124" t="n">
        <v>37438</v>
      </c>
      <c r="AZ6" s="124" t="n">
        <v>37469</v>
      </c>
      <c r="BA6" s="124" t="n">
        <v>37500</v>
      </c>
      <c r="BB6" s="124" t="n">
        <v>37530</v>
      </c>
      <c r="BC6" s="124" t="n">
        <v>37561</v>
      </c>
      <c r="BD6" s="124" t="n">
        <v>37591</v>
      </c>
      <c r="BE6" s="124" t="n">
        <v>37622</v>
      </c>
      <c r="BF6" s="124" t="n">
        <v>37653</v>
      </c>
      <c r="BG6" s="124" t="n">
        <v>37681</v>
      </c>
      <c r="BH6" s="124" t="n">
        <v>37712</v>
      </c>
      <c r="BI6" s="124" t="n">
        <v>37742</v>
      </c>
      <c r="BJ6" s="124" t="n">
        <v>37773</v>
      </c>
      <c r="BK6" s="124" t="n">
        <v>37803</v>
      </c>
      <c r="BL6" s="124" t="n">
        <v>37834</v>
      </c>
      <c r="BM6" s="124" t="n">
        <v>37865</v>
      </c>
      <c r="BN6" s="124" t="n">
        <v>37895</v>
      </c>
      <c r="BO6" s="124" t="n">
        <v>37926</v>
      </c>
      <c r="BP6" s="124" t="n">
        <v>37956</v>
      </c>
      <c r="BQ6" s="124" t="n">
        <v>37987</v>
      </c>
      <c r="BR6" s="124" t="n">
        <v>38018</v>
      </c>
      <c r="BS6" s="124" t="n">
        <v>38047</v>
      </c>
      <c r="BT6" s="124" t="n">
        <v>38078</v>
      </c>
      <c r="BU6" s="124" t="n">
        <v>38108</v>
      </c>
      <c r="BV6" s="124" t="n">
        <v>38139</v>
      </c>
      <c r="BW6" s="124" t="n">
        <v>38169</v>
      </c>
      <c r="BX6" s="124" t="n">
        <v>38200</v>
      </c>
      <c r="BY6" s="124" t="n">
        <v>38231</v>
      </c>
      <c r="BZ6" s="124" t="n">
        <v>38261</v>
      </c>
      <c r="CA6" s="124" t="n">
        <v>38292</v>
      </c>
      <c r="CB6" s="124" t="n">
        <v>38322</v>
      </c>
      <c r="CC6" s="124" t="n">
        <v>38353</v>
      </c>
      <c r="CD6" s="124" t="n">
        <v>38384</v>
      </c>
      <c r="CE6" s="124" t="n">
        <v>38412</v>
      </c>
      <c r="CF6" s="124" t="n">
        <v>38443</v>
      </c>
      <c r="CG6" s="124" t="n">
        <v>38473</v>
      </c>
      <c r="CH6" s="124" t="n">
        <v>38504</v>
      </c>
      <c r="CI6" s="124" t="n">
        <v>38534</v>
      </c>
      <c r="CJ6" s="124" t="n">
        <v>38565</v>
      </c>
      <c r="CK6" s="124" t="n">
        <v>38596</v>
      </c>
      <c r="CL6" s="124" t="n">
        <v>38626</v>
      </c>
      <c r="CM6" s="124" t="n">
        <v>38657</v>
      </c>
      <c r="CN6" s="124" t="n">
        <v>38687</v>
      </c>
      <c r="CO6" s="124"/>
      <c r="CP6" s="124"/>
      <c r="CQ6" s="124"/>
      <c r="CR6" s="124"/>
      <c r="CS6" s="124"/>
      <c r="CT6" s="124"/>
      <c r="CU6" s="124"/>
      <c r="CV6" s="124"/>
      <c r="CW6" s="124"/>
      <c r="CX6" s="124"/>
      <c r="CY6" s="124"/>
      <c r="CZ6" s="124"/>
      <c r="DA6" s="124"/>
      <c r="DB6" s="124"/>
      <c r="DC6" s="124"/>
      <c r="DD6" s="124"/>
      <c r="DE6" s="124"/>
    </row>
    <row r="7" customFormat="false" ht="12.75" hidden="false" customHeight="false" outlineLevel="0" collapsed="false">
      <c r="A7" s="125" t="n">
        <v>36100</v>
      </c>
      <c r="B7" s="126" t="n">
        <v>5137.35</v>
      </c>
      <c r="C7" s="125" t="s">
        <v>49</v>
      </c>
      <c r="D7" s="125" t="s">
        <v>62</v>
      </c>
      <c r="E7" s="127" t="n">
        <v>101073</v>
      </c>
      <c r="G7" s="126" t="n">
        <v>74632</v>
      </c>
      <c r="H7" s="126" t="n">
        <v>77120</v>
      </c>
      <c r="I7" s="126" t="n">
        <v>77120</v>
      </c>
      <c r="J7" s="126" t="n">
        <v>69657</v>
      </c>
      <c r="K7" s="126" t="n">
        <v>77120</v>
      </c>
      <c r="L7" s="126" t="n">
        <v>74632</v>
      </c>
      <c r="M7" s="126" t="n">
        <v>77120</v>
      </c>
      <c r="N7" s="126" t="n">
        <v>74632</v>
      </c>
      <c r="O7" s="126" t="n">
        <v>77120</v>
      </c>
      <c r="P7" s="126" t="n">
        <v>77120</v>
      </c>
      <c r="Q7" s="126" t="n">
        <v>74632</v>
      </c>
      <c r="R7" s="126" t="n">
        <v>77120</v>
      </c>
      <c r="S7" s="126" t="n">
        <v>74632</v>
      </c>
      <c r="T7" s="126" t="n">
        <v>77120</v>
      </c>
      <c r="U7" s="126" t="n">
        <v>22541</v>
      </c>
      <c r="V7" s="126" t="n">
        <v>21337</v>
      </c>
      <c r="W7" s="126" t="n">
        <v>22541</v>
      </c>
      <c r="X7" s="126" t="n">
        <v>21814</v>
      </c>
      <c r="Y7" s="126" t="n">
        <v>22541</v>
      </c>
      <c r="Z7" s="126" t="n">
        <v>21814</v>
      </c>
      <c r="AA7" s="126" t="n">
        <v>22541</v>
      </c>
      <c r="AB7" s="126" t="n">
        <v>22541</v>
      </c>
      <c r="AC7" s="126" t="n">
        <v>21814</v>
      </c>
      <c r="AD7" s="126" t="n">
        <v>22541</v>
      </c>
      <c r="AE7" s="126" t="n">
        <v>21814</v>
      </c>
      <c r="AF7" s="126" t="n">
        <v>22541</v>
      </c>
      <c r="AG7" s="126" t="n">
        <v>20767</v>
      </c>
      <c r="AH7" s="126" t="n">
        <v>18757</v>
      </c>
      <c r="AI7" s="126" t="n">
        <v>20767</v>
      </c>
      <c r="AJ7" s="126" t="n">
        <v>20097</v>
      </c>
      <c r="AK7" s="126" t="n">
        <v>20767</v>
      </c>
      <c r="AL7" s="126" t="n">
        <v>20097</v>
      </c>
      <c r="AM7" s="126" t="n">
        <v>20767</v>
      </c>
      <c r="AN7" s="126" t="n">
        <v>20767</v>
      </c>
      <c r="AO7" s="126" t="n">
        <v>20097</v>
      </c>
      <c r="AP7" s="126" t="n">
        <v>20767</v>
      </c>
      <c r="AQ7" s="126" t="n">
        <v>20097</v>
      </c>
      <c r="AR7" s="126" t="n">
        <v>20767</v>
      </c>
      <c r="AS7" s="126" t="n">
        <v>20767</v>
      </c>
      <c r="AT7" s="126" t="n">
        <v>18757</v>
      </c>
      <c r="AU7" s="126" t="n">
        <v>20767</v>
      </c>
      <c r="AV7" s="126" t="n">
        <v>20097</v>
      </c>
      <c r="AW7" s="126" t="n">
        <v>20767</v>
      </c>
      <c r="AX7" s="126" t="n">
        <v>20097</v>
      </c>
      <c r="AY7" s="126" t="n">
        <v>20767</v>
      </c>
      <c r="AZ7" s="126" t="n">
        <v>20767</v>
      </c>
      <c r="BA7" s="126" t="n">
        <v>20097</v>
      </c>
      <c r="BB7" s="126" t="n">
        <v>20767</v>
      </c>
      <c r="BC7" s="126" t="n">
        <v>20097</v>
      </c>
      <c r="BD7" s="126" t="n">
        <v>20767</v>
      </c>
      <c r="BE7" s="126" t="n">
        <v>19543</v>
      </c>
      <c r="BF7" s="126" t="n">
        <v>17651</v>
      </c>
      <c r="BG7" s="126" t="n">
        <v>19543</v>
      </c>
      <c r="BH7" s="126" t="n">
        <v>18912</v>
      </c>
      <c r="BI7" s="126" t="n">
        <v>19543</v>
      </c>
      <c r="BJ7" s="126" t="n">
        <v>26412</v>
      </c>
      <c r="BK7" s="126" t="n">
        <v>27293</v>
      </c>
      <c r="BL7" s="126" t="n">
        <v>27293</v>
      </c>
      <c r="BM7" s="126" t="n">
        <v>26412</v>
      </c>
      <c r="BN7" s="126" t="n">
        <v>27293</v>
      </c>
      <c r="BO7" s="126" t="n">
        <v>26412</v>
      </c>
      <c r="BP7" s="126" t="n">
        <v>27293</v>
      </c>
      <c r="BQ7" s="126" t="n">
        <v>26927</v>
      </c>
      <c r="BR7" s="126" t="n">
        <v>24321</v>
      </c>
      <c r="BS7" s="126" t="n">
        <v>26927</v>
      </c>
      <c r="BT7" s="126" t="n">
        <v>26058</v>
      </c>
      <c r="BU7" s="126" t="n">
        <v>26927</v>
      </c>
      <c r="BV7" s="126" t="n">
        <v>26058</v>
      </c>
      <c r="BW7" s="126" t="n">
        <v>26927</v>
      </c>
      <c r="BX7" s="126" t="n">
        <v>26927</v>
      </c>
      <c r="BY7" s="126" t="n">
        <v>26058</v>
      </c>
      <c r="BZ7" s="126" t="n">
        <v>26927</v>
      </c>
      <c r="CA7" s="126" t="n">
        <v>26058</v>
      </c>
      <c r="CB7" s="126" t="n">
        <v>26927</v>
      </c>
      <c r="CC7" s="126" t="n">
        <v>26927</v>
      </c>
      <c r="CD7" s="126" t="n">
        <v>24321</v>
      </c>
      <c r="CE7" s="126" t="n">
        <v>26927</v>
      </c>
      <c r="CF7" s="126" t="n">
        <v>26058</v>
      </c>
      <c r="CG7" s="126" t="n">
        <v>26927</v>
      </c>
      <c r="CH7" s="126" t="n">
        <v>26058</v>
      </c>
      <c r="CI7" s="126" t="n">
        <v>26927</v>
      </c>
      <c r="CJ7" s="126" t="n">
        <v>26927</v>
      </c>
      <c r="CK7" s="126" t="n">
        <v>26058</v>
      </c>
      <c r="CL7" s="126" t="n">
        <v>26927</v>
      </c>
      <c r="CM7" s="126" t="n">
        <v>26058</v>
      </c>
      <c r="CN7" s="126" t="n">
        <v>26927</v>
      </c>
    </row>
    <row r="8" customFormat="false" ht="12.75" hidden="false" customHeight="false" outlineLevel="0" collapsed="false">
      <c r="A8" s="125" t="n">
        <v>36100</v>
      </c>
      <c r="B8" s="126" t="n">
        <v>24885</v>
      </c>
      <c r="C8" s="125" t="s">
        <v>49</v>
      </c>
      <c r="D8" s="125" t="s">
        <v>62</v>
      </c>
      <c r="E8" s="127" t="n">
        <v>101021</v>
      </c>
      <c r="F8" s="126"/>
      <c r="G8" s="128"/>
      <c r="H8" s="128"/>
      <c r="I8" s="129"/>
      <c r="J8" s="126"/>
      <c r="R8" s="130" t="n">
        <f aca="false">SUM(G7:R7)</f>
        <v>908025</v>
      </c>
      <c r="S8" s="130" t="n">
        <f aca="false">SUM(H7:S7)</f>
        <v>908025</v>
      </c>
      <c r="T8" s="130" t="n">
        <f aca="false">SUM(I7:T7)</f>
        <v>908025</v>
      </c>
      <c r="U8" s="130" t="n">
        <f aca="false">SUM(J7:U7)</f>
        <v>853446</v>
      </c>
      <c r="V8" s="130" t="n">
        <f aca="false">SUM(K7:V7)</f>
        <v>805126</v>
      </c>
      <c r="W8" s="130" t="n">
        <f aca="false">SUM(L7:W7)</f>
        <v>750547</v>
      </c>
      <c r="X8" s="130" t="n">
        <f aca="false">SUM(M7:X7)</f>
        <v>697729</v>
      </c>
      <c r="Y8" s="130" t="n">
        <f aca="false">SUM(N7:Y7)</f>
        <v>643150</v>
      </c>
      <c r="Z8" s="130" t="n">
        <f aca="false">SUM(O7:Z7)</f>
        <v>590332</v>
      </c>
      <c r="AA8" s="130" t="n">
        <f aca="false">SUM(P7:AA7)</f>
        <v>535753</v>
      </c>
      <c r="AB8" s="130" t="n">
        <f aca="false">SUM(Q7:AB7)</f>
        <v>481174</v>
      </c>
      <c r="AC8" s="130" t="n">
        <f aca="false">SUM(R7:AC7)</f>
        <v>428356</v>
      </c>
      <c r="AD8" s="130" t="n">
        <f aca="false">SUM(S7:AD7)</f>
        <v>373777</v>
      </c>
      <c r="AE8" s="130" t="n">
        <f aca="false">SUM(T7:AE7)</f>
        <v>320959</v>
      </c>
      <c r="AF8" s="130" t="n">
        <f aca="false">SUM(U7:AF7)</f>
        <v>266380</v>
      </c>
      <c r="AG8" s="130" t="n">
        <f aca="false">SUM(V7:AG7)</f>
        <v>264606</v>
      </c>
      <c r="AH8" s="130" t="n">
        <f aca="false">SUM(W7:AH7)</f>
        <v>262026</v>
      </c>
      <c r="AI8" s="130" t="n">
        <f aca="false">SUM(X7:AI7)</f>
        <v>260252</v>
      </c>
      <c r="AJ8" s="130" t="n">
        <f aca="false">SUM(Y7:AJ7)</f>
        <v>258535</v>
      </c>
      <c r="AK8" s="130" t="n">
        <f aca="false">SUM(Z7:AK7)</f>
        <v>256761</v>
      </c>
      <c r="AL8" s="130" t="n">
        <f aca="false">SUM(AA7:AL7)</f>
        <v>255044</v>
      </c>
      <c r="AM8" s="130" t="n">
        <f aca="false">SUM(AB7:AM7)</f>
        <v>253270</v>
      </c>
      <c r="AN8" s="130" t="n">
        <f aca="false">SUM(AC7:AN7)</f>
        <v>251496</v>
      </c>
      <c r="AO8" s="130" t="n">
        <f aca="false">SUM(AD7:AO7)</f>
        <v>249779</v>
      </c>
      <c r="AP8" s="130" t="n">
        <f aca="false">SUM(AE7:AP7)</f>
        <v>248005</v>
      </c>
      <c r="AQ8" s="130" t="n">
        <f aca="false">SUM(AF7:AQ7)</f>
        <v>246288</v>
      </c>
      <c r="AR8" s="130" t="n">
        <f aca="false">SUM(AG7:AR7)</f>
        <v>244514</v>
      </c>
      <c r="AS8" s="130" t="n">
        <f aca="false">SUM(AH7:AS7)</f>
        <v>244514</v>
      </c>
      <c r="AT8" s="130" t="n">
        <f aca="false">SUM(AI7:AT7)</f>
        <v>244514</v>
      </c>
      <c r="AU8" s="130" t="n">
        <f aca="false">SUM(AJ7:AU7)</f>
        <v>244514</v>
      </c>
      <c r="AV8" s="130" t="n">
        <f aca="false">SUM(AK7:AV7)</f>
        <v>244514</v>
      </c>
      <c r="AW8" s="130" t="n">
        <f aca="false">SUM(AL7:AW7)</f>
        <v>244514</v>
      </c>
      <c r="AX8" s="130" t="n">
        <f aca="false">SUM(AM7:AX7)</f>
        <v>244514</v>
      </c>
      <c r="AY8" s="130" t="n">
        <f aca="false">SUM(AN7:AY7)</f>
        <v>244514</v>
      </c>
      <c r="AZ8" s="130" t="n">
        <f aca="false">SUM(AO7:AZ7)</f>
        <v>244514</v>
      </c>
      <c r="BA8" s="130" t="n">
        <f aca="false">SUM(AP7:BA7)</f>
        <v>244514</v>
      </c>
      <c r="BB8" s="130" t="n">
        <f aca="false">SUM(AQ7:BB7)</f>
        <v>244514</v>
      </c>
      <c r="BC8" s="130" t="n">
        <f aca="false">SUM(AR7:BC7)</f>
        <v>244514</v>
      </c>
      <c r="BD8" s="130" t="n">
        <f aca="false">SUM(AS7:BD7)</f>
        <v>244514</v>
      </c>
      <c r="BE8" s="130" t="n">
        <f aca="false">SUM(AT7:BE7)</f>
        <v>243290</v>
      </c>
      <c r="BF8" s="130" t="n">
        <f aca="false">SUM(AU7:BF7)</f>
        <v>242184</v>
      </c>
      <c r="BG8" s="130" t="n">
        <f aca="false">SUM(AV7:BG7)</f>
        <v>240960</v>
      </c>
      <c r="BH8" s="130" t="n">
        <f aca="false">SUM(AW7:BH7)</f>
        <v>239775</v>
      </c>
      <c r="BI8" s="130" t="n">
        <f aca="false">SUM(AX7:BI7)</f>
        <v>238551</v>
      </c>
      <c r="BJ8" s="130" t="n">
        <f aca="false">SUM(AY7:BJ7)</f>
        <v>244866</v>
      </c>
      <c r="BK8" s="130" t="n">
        <f aca="false">SUM(AZ7:BK7)</f>
        <v>251392</v>
      </c>
      <c r="BL8" s="130" t="n">
        <f aca="false">SUM(BA7:BL7)</f>
        <v>257918</v>
      </c>
      <c r="BM8" s="130" t="n">
        <f aca="false">SUM(BB7:BM7)</f>
        <v>264233</v>
      </c>
      <c r="BN8" s="130" t="n">
        <f aca="false">SUM(BC7:BN7)</f>
        <v>270759</v>
      </c>
      <c r="BO8" s="130" t="n">
        <f aca="false">SUM(BD7:BO7)</f>
        <v>277074</v>
      </c>
      <c r="BP8" s="130" t="n">
        <f aca="false">SUM(BE7:BP7)</f>
        <v>283600</v>
      </c>
      <c r="BQ8" s="130" t="n">
        <f aca="false">SUM(BF7:BQ7)</f>
        <v>290984</v>
      </c>
      <c r="BR8" s="130" t="n">
        <f aca="false">SUM(BG7:BR7)</f>
        <v>297654</v>
      </c>
      <c r="BS8" s="130" t="n">
        <f aca="false">SUM(BH7:BS7)</f>
        <v>305038</v>
      </c>
      <c r="BT8" s="130" t="n">
        <f aca="false">SUM(BI7:BT7)</f>
        <v>312184</v>
      </c>
      <c r="BU8" s="130" t="n">
        <f aca="false">SUM(BJ7:BU7)</f>
        <v>319568</v>
      </c>
      <c r="BV8" s="130" t="n">
        <f aca="false">SUM(BK7:BV7)</f>
        <v>319214</v>
      </c>
      <c r="BW8" s="130" t="n">
        <f aca="false">SUM(BL7:BW7)</f>
        <v>318848</v>
      </c>
      <c r="BX8" s="130" t="n">
        <f aca="false">SUM(BM7:BX7)</f>
        <v>318482</v>
      </c>
      <c r="BY8" s="130" t="n">
        <f aca="false">SUM(BN7:BY7)</f>
        <v>318128</v>
      </c>
      <c r="BZ8" s="130" t="n">
        <f aca="false">SUM(BO7:BZ7)</f>
        <v>317762</v>
      </c>
      <c r="CA8" s="130" t="n">
        <f aca="false">SUM(BP7:CA7)</f>
        <v>317408</v>
      </c>
      <c r="CB8" s="130" t="n">
        <f aca="false">SUM(BQ7:CB7)</f>
        <v>317042</v>
      </c>
      <c r="CC8" s="130" t="n">
        <f aca="false">SUM(BR7:CC7)</f>
        <v>317042</v>
      </c>
      <c r="CD8" s="130" t="n">
        <f aca="false">SUM(BS7:CD7)</f>
        <v>317042</v>
      </c>
      <c r="CE8" s="130" t="n">
        <f aca="false">SUM(BT7:CE7)</f>
        <v>317042</v>
      </c>
      <c r="CF8" s="130" t="n">
        <f aca="false">SUM(BU7:CF7)</f>
        <v>317042</v>
      </c>
      <c r="CG8" s="130" t="n">
        <f aca="false">SUM(BV7:CG7)</f>
        <v>317042</v>
      </c>
      <c r="CH8" s="130" t="n">
        <f aca="false">SUM(BW7:CH7)</f>
        <v>317042</v>
      </c>
      <c r="CI8" s="130" t="n">
        <f aca="false">SUM(BX7:CI7)</f>
        <v>317042</v>
      </c>
      <c r="CJ8" s="130" t="n">
        <f aca="false">SUM(BY7:CJ7)</f>
        <v>317042</v>
      </c>
      <c r="CK8" s="130" t="n">
        <f aca="false">SUM(BZ7:CK7)</f>
        <v>317042</v>
      </c>
      <c r="CL8" s="130" t="n">
        <f aca="false">SUM(CA7:CL7)</f>
        <v>317042</v>
      </c>
      <c r="CM8" s="130" t="n">
        <f aca="false">SUM(CB7:CM7)</f>
        <v>317042</v>
      </c>
      <c r="CN8" s="130" t="n">
        <f aca="false">SUM(CC7:CN7)</f>
        <v>317042</v>
      </c>
    </row>
    <row r="9" customFormat="false" ht="12.75" hidden="false" customHeight="false" outlineLevel="0" collapsed="false">
      <c r="A9" s="125" t="n">
        <v>36100</v>
      </c>
      <c r="B9" s="126" t="n">
        <v>50010</v>
      </c>
      <c r="C9" s="125" t="s">
        <v>35</v>
      </c>
      <c r="D9" s="0" t="s">
        <v>114</v>
      </c>
    </row>
    <row r="10" customFormat="false" ht="12.75" hidden="false" customHeight="false" outlineLevel="0" collapsed="false">
      <c r="A10" s="125" t="n">
        <v>36100</v>
      </c>
      <c r="B10" s="126" t="n">
        <v>-5400</v>
      </c>
      <c r="C10" s="0" t="s">
        <v>49</v>
      </c>
      <c r="D10" s="126" t="s">
        <v>64</v>
      </c>
      <c r="E10" s="0" t="n">
        <v>22064</v>
      </c>
      <c r="F10" s="130"/>
    </row>
    <row r="11" customFormat="false" ht="12.75" hidden="false" customHeight="false" outlineLevel="0" collapsed="false">
      <c r="A11" s="125"/>
      <c r="B11" s="126" t="n">
        <f aca="false">SUM(B7:B10)</f>
        <v>74632.35</v>
      </c>
      <c r="D11" s="126"/>
      <c r="F11" s="130"/>
    </row>
    <row r="12" customFormat="false" ht="12.75" hidden="false" customHeight="false" outlineLevel="0" collapsed="false">
      <c r="A12" s="125" t="n">
        <v>36130</v>
      </c>
      <c r="B12" s="126" t="n">
        <v>5308.595</v>
      </c>
      <c r="C12" s="125" t="s">
        <v>49</v>
      </c>
      <c r="D12" s="125" t="s">
        <v>62</v>
      </c>
      <c r="E12" s="127" t="n">
        <v>101073</v>
      </c>
    </row>
    <row r="13" customFormat="false" ht="12.75" hidden="false" customHeight="false" outlineLevel="0" collapsed="false">
      <c r="A13" s="125" t="n">
        <v>36130</v>
      </c>
      <c r="B13" s="126" t="n">
        <v>25714.5</v>
      </c>
      <c r="C13" s="125" t="s">
        <v>49</v>
      </c>
      <c r="D13" s="125" t="s">
        <v>62</v>
      </c>
      <c r="E13" s="127" t="n">
        <v>101021</v>
      </c>
      <c r="F13" s="126"/>
      <c r="G13" s="128"/>
      <c r="H13" s="128"/>
      <c r="I13" s="129"/>
      <c r="J13" s="126"/>
    </row>
    <row r="14" customFormat="false" ht="12.75" hidden="false" customHeight="false" outlineLevel="0" collapsed="false">
      <c r="A14" s="125" t="n">
        <v>36130</v>
      </c>
      <c r="B14" s="126" t="n">
        <v>51677</v>
      </c>
      <c r="C14" s="125" t="s">
        <v>35</v>
      </c>
      <c r="D14" s="0" t="s">
        <v>114</v>
      </c>
    </row>
    <row r="15" customFormat="false" ht="12.75" hidden="false" customHeight="false" outlineLevel="0" collapsed="false">
      <c r="A15" s="125" t="n">
        <v>36130</v>
      </c>
      <c r="B15" s="126" t="n">
        <v>-5580</v>
      </c>
      <c r="C15" s="0" t="s">
        <v>49</v>
      </c>
      <c r="D15" s="126" t="s">
        <v>64</v>
      </c>
      <c r="E15" s="0" t="n">
        <v>22064</v>
      </c>
      <c r="F15" s="130"/>
    </row>
    <row r="16" customFormat="false" ht="12.75" hidden="false" customHeight="false" outlineLevel="0" collapsed="false">
      <c r="A16" s="125"/>
      <c r="B16" s="126" t="n">
        <f aca="false">SUM(B12:B15)</f>
        <v>77120.095</v>
      </c>
      <c r="D16" s="126"/>
      <c r="F16" s="130"/>
    </row>
    <row r="17" customFormat="false" ht="12.75" hidden="false" customHeight="false" outlineLevel="0" collapsed="false">
      <c r="A17" s="125" t="n">
        <v>36161</v>
      </c>
      <c r="B17" s="126" t="n">
        <v>5308.595</v>
      </c>
      <c r="C17" s="125" t="s">
        <v>49</v>
      </c>
      <c r="D17" s="125" t="s">
        <v>62</v>
      </c>
      <c r="E17" s="127" t="n">
        <v>101073</v>
      </c>
    </row>
    <row r="18" customFormat="false" ht="12.75" hidden="false" customHeight="false" outlineLevel="0" collapsed="false">
      <c r="A18" s="125" t="n">
        <v>36161</v>
      </c>
      <c r="B18" s="126" t="n">
        <v>25714.5</v>
      </c>
      <c r="C18" s="125" t="s">
        <v>49</v>
      </c>
      <c r="D18" s="125" t="s">
        <v>62</v>
      </c>
      <c r="E18" s="127" t="n">
        <v>101021</v>
      </c>
      <c r="F18" s="126"/>
      <c r="G18" s="128"/>
      <c r="H18" s="128"/>
      <c r="I18" s="129"/>
      <c r="J18" s="126"/>
    </row>
    <row r="19" customFormat="false" ht="12.75" hidden="false" customHeight="false" outlineLevel="0" collapsed="false">
      <c r="A19" s="125" t="n">
        <v>36161</v>
      </c>
      <c r="B19" s="126" t="n">
        <v>51677</v>
      </c>
      <c r="C19" s="125" t="s">
        <v>35</v>
      </c>
      <c r="D19" s="0" t="s">
        <v>114</v>
      </c>
    </row>
    <row r="20" customFormat="false" ht="12.75" hidden="false" customHeight="false" outlineLevel="0" collapsed="false">
      <c r="A20" s="125" t="n">
        <v>36161</v>
      </c>
      <c r="B20" s="126" t="n">
        <v>-5580</v>
      </c>
      <c r="C20" s="0" t="s">
        <v>49</v>
      </c>
      <c r="D20" s="126" t="s">
        <v>64</v>
      </c>
      <c r="E20" s="0" t="n">
        <v>22064</v>
      </c>
      <c r="F20" s="130"/>
    </row>
    <row r="21" customFormat="false" ht="12.75" hidden="false" customHeight="false" outlineLevel="0" collapsed="false">
      <c r="A21" s="125"/>
      <c r="B21" s="126"/>
      <c r="D21" s="126"/>
      <c r="F21" s="130"/>
    </row>
    <row r="22" customFormat="false" ht="12.75" hidden="false" customHeight="false" outlineLevel="0" collapsed="false">
      <c r="A22" s="125" t="n">
        <v>36192</v>
      </c>
      <c r="B22" s="126" t="n">
        <v>4794.86</v>
      </c>
      <c r="C22" s="125" t="s">
        <v>49</v>
      </c>
      <c r="D22" s="125" t="s">
        <v>62</v>
      </c>
      <c r="E22" s="127" t="n">
        <v>101073</v>
      </c>
    </row>
    <row r="23" customFormat="false" ht="12.75" hidden="false" customHeight="false" outlineLevel="0" collapsed="false">
      <c r="A23" s="125" t="n">
        <v>36192</v>
      </c>
      <c r="B23" s="126" t="n">
        <v>23226</v>
      </c>
      <c r="C23" s="125" t="s">
        <v>49</v>
      </c>
      <c r="D23" s="125" t="s">
        <v>62</v>
      </c>
      <c r="E23" s="127" t="n">
        <v>101021</v>
      </c>
      <c r="F23" s="126"/>
      <c r="G23" s="128"/>
      <c r="H23" s="128"/>
      <c r="I23" s="129"/>
      <c r="J23" s="126"/>
    </row>
    <row r="24" customFormat="false" ht="12.75" hidden="false" customHeight="false" outlineLevel="0" collapsed="false">
      <c r="A24" s="125" t="n">
        <v>36192</v>
      </c>
      <c r="B24" s="126" t="n">
        <v>46676</v>
      </c>
      <c r="C24" s="125" t="s">
        <v>35</v>
      </c>
      <c r="D24" s="0" t="s">
        <v>114</v>
      </c>
    </row>
    <row r="25" customFormat="false" ht="12.75" hidden="false" customHeight="false" outlineLevel="0" collapsed="false">
      <c r="A25" s="125" t="n">
        <v>36192</v>
      </c>
      <c r="B25" s="126" t="n">
        <v>-5040</v>
      </c>
      <c r="C25" s="0" t="s">
        <v>49</v>
      </c>
      <c r="D25" s="126" t="s">
        <v>64</v>
      </c>
      <c r="E25" s="0" t="n">
        <v>22064</v>
      </c>
      <c r="F25" s="130"/>
    </row>
    <row r="26" customFormat="false" ht="12.75" hidden="false" customHeight="false" outlineLevel="0" collapsed="false">
      <c r="A26" s="125"/>
      <c r="B26" s="126" t="n">
        <f aca="false">SUM(B22:B25)</f>
        <v>69656.86</v>
      </c>
      <c r="D26" s="126"/>
      <c r="F26" s="130"/>
    </row>
    <row r="27" customFormat="false" ht="12.75" hidden="false" customHeight="false" outlineLevel="0" collapsed="false">
      <c r="A27" s="125" t="n">
        <v>36220</v>
      </c>
      <c r="B27" s="126" t="n">
        <v>5308.595</v>
      </c>
      <c r="C27" s="125" t="s">
        <v>49</v>
      </c>
      <c r="D27" s="125" t="s">
        <v>62</v>
      </c>
      <c r="E27" s="127" t="n">
        <v>101073</v>
      </c>
    </row>
    <row r="28" customFormat="false" ht="12.75" hidden="false" customHeight="false" outlineLevel="0" collapsed="false">
      <c r="A28" s="125" t="n">
        <v>36220</v>
      </c>
      <c r="B28" s="126" t="n">
        <v>25714.5</v>
      </c>
      <c r="C28" s="125" t="s">
        <v>49</v>
      </c>
      <c r="D28" s="125" t="s">
        <v>62</v>
      </c>
      <c r="E28" s="127" t="n">
        <v>101021</v>
      </c>
      <c r="F28" s="126"/>
      <c r="G28" s="128"/>
      <c r="H28" s="128"/>
      <c r="I28" s="129"/>
      <c r="J28" s="126"/>
    </row>
    <row r="29" customFormat="false" ht="12.75" hidden="false" customHeight="false" outlineLevel="0" collapsed="false">
      <c r="A29" s="125" t="n">
        <v>36220</v>
      </c>
      <c r="B29" s="126" t="n">
        <v>51677</v>
      </c>
      <c r="C29" s="125" t="s">
        <v>35</v>
      </c>
      <c r="D29" s="0" t="s">
        <v>114</v>
      </c>
    </row>
    <row r="30" customFormat="false" ht="12.75" hidden="false" customHeight="false" outlineLevel="0" collapsed="false">
      <c r="A30" s="125" t="n">
        <v>36220</v>
      </c>
      <c r="B30" s="126" t="n">
        <v>-5580</v>
      </c>
      <c r="C30" s="0" t="s">
        <v>49</v>
      </c>
      <c r="D30" s="126" t="s">
        <v>64</v>
      </c>
      <c r="E30" s="0" t="n">
        <v>22064</v>
      </c>
      <c r="F30" s="130"/>
    </row>
    <row r="31" customFormat="false" ht="12.75" hidden="false" customHeight="false" outlineLevel="0" collapsed="false">
      <c r="A31" s="125"/>
      <c r="B31" s="126"/>
      <c r="D31" s="126"/>
      <c r="F31" s="130"/>
    </row>
    <row r="32" customFormat="false" ht="12.75" hidden="false" customHeight="false" outlineLevel="0" collapsed="false">
      <c r="A32" s="125" t="n">
        <v>36251</v>
      </c>
      <c r="B32" s="126" t="n">
        <v>5137.35</v>
      </c>
      <c r="C32" s="125" t="s">
        <v>49</v>
      </c>
      <c r="D32" s="125" t="s">
        <v>62</v>
      </c>
      <c r="E32" s="127" t="n">
        <v>101073</v>
      </c>
    </row>
    <row r="33" customFormat="false" ht="12.75" hidden="false" customHeight="false" outlineLevel="0" collapsed="false">
      <c r="A33" s="125" t="n">
        <v>36251</v>
      </c>
      <c r="B33" s="126" t="n">
        <v>24885</v>
      </c>
      <c r="C33" s="125" t="s">
        <v>49</v>
      </c>
      <c r="D33" s="125" t="s">
        <v>62</v>
      </c>
      <c r="E33" s="127" t="n">
        <v>101021</v>
      </c>
      <c r="F33" s="126"/>
      <c r="G33" s="128"/>
      <c r="H33" s="128"/>
      <c r="I33" s="129"/>
      <c r="J33" s="126"/>
    </row>
    <row r="34" customFormat="false" ht="12.75" hidden="false" customHeight="false" outlineLevel="0" collapsed="false">
      <c r="A34" s="125" t="n">
        <v>36251</v>
      </c>
      <c r="B34" s="126" t="n">
        <v>50010</v>
      </c>
      <c r="C34" s="125" t="s">
        <v>35</v>
      </c>
      <c r="D34" s="0" t="s">
        <v>114</v>
      </c>
    </row>
    <row r="35" customFormat="false" ht="12.75" hidden="false" customHeight="false" outlineLevel="0" collapsed="false">
      <c r="A35" s="125" t="n">
        <v>36251</v>
      </c>
      <c r="B35" s="126" t="n">
        <v>-5400</v>
      </c>
      <c r="C35" s="0" t="s">
        <v>49</v>
      </c>
      <c r="D35" s="126" t="s">
        <v>64</v>
      </c>
      <c r="E35" s="0" t="n">
        <v>22064</v>
      </c>
      <c r="F35" s="130"/>
    </row>
    <row r="36" customFormat="false" ht="12.75" hidden="false" customHeight="false" outlineLevel="0" collapsed="false">
      <c r="A36" s="125"/>
      <c r="B36" s="126" t="n">
        <f aca="false">SUM(B32:B35)</f>
        <v>74632.35</v>
      </c>
      <c r="D36" s="126"/>
      <c r="F36" s="130"/>
    </row>
    <row r="37" customFormat="false" ht="12.75" hidden="false" customHeight="false" outlineLevel="0" collapsed="false">
      <c r="A37" s="125" t="n">
        <v>36281</v>
      </c>
      <c r="B37" s="126" t="n">
        <v>5308.595</v>
      </c>
      <c r="C37" s="125" t="s">
        <v>49</v>
      </c>
      <c r="D37" s="125" t="s">
        <v>62</v>
      </c>
      <c r="E37" s="127" t="n">
        <v>101073</v>
      </c>
    </row>
    <row r="38" customFormat="false" ht="12.75" hidden="false" customHeight="false" outlineLevel="0" collapsed="false">
      <c r="A38" s="125" t="n">
        <v>36281</v>
      </c>
      <c r="B38" s="126" t="n">
        <v>25714.5</v>
      </c>
      <c r="C38" s="125" t="s">
        <v>49</v>
      </c>
      <c r="D38" s="125" t="s">
        <v>62</v>
      </c>
      <c r="E38" s="127" t="n">
        <v>101021</v>
      </c>
      <c r="F38" s="126"/>
      <c r="G38" s="128"/>
      <c r="H38" s="128"/>
      <c r="I38" s="129"/>
      <c r="J38" s="126"/>
    </row>
    <row r="39" customFormat="false" ht="12.75" hidden="false" customHeight="false" outlineLevel="0" collapsed="false">
      <c r="A39" s="125" t="n">
        <v>36281</v>
      </c>
      <c r="B39" s="126" t="n">
        <v>51677</v>
      </c>
      <c r="C39" s="125" t="s">
        <v>35</v>
      </c>
      <c r="D39" s="0" t="s">
        <v>114</v>
      </c>
    </row>
    <row r="40" customFormat="false" ht="12.75" hidden="false" customHeight="false" outlineLevel="0" collapsed="false">
      <c r="A40" s="125" t="n">
        <v>36281</v>
      </c>
      <c r="B40" s="126" t="n">
        <v>-5580</v>
      </c>
      <c r="C40" s="0" t="s">
        <v>49</v>
      </c>
      <c r="D40" s="126" t="s">
        <v>64</v>
      </c>
      <c r="E40" s="0" t="n">
        <v>22064</v>
      </c>
      <c r="F40" s="130"/>
    </row>
    <row r="41" customFormat="false" ht="12.75" hidden="false" customHeight="false" outlineLevel="0" collapsed="false">
      <c r="A41" s="125" t="n">
        <v>36312</v>
      </c>
      <c r="B41" s="126" t="n">
        <v>4428.75</v>
      </c>
      <c r="C41" s="125" t="s">
        <v>49</v>
      </c>
      <c r="D41" s="125" t="s">
        <v>62</v>
      </c>
      <c r="E41" s="127" t="n">
        <v>101073</v>
      </c>
    </row>
    <row r="42" customFormat="false" ht="12.75" hidden="false" customHeight="false" outlineLevel="0" collapsed="false">
      <c r="A42" s="125" t="n">
        <v>36312</v>
      </c>
      <c r="B42" s="126" t="n">
        <v>24885</v>
      </c>
      <c r="C42" s="125" t="s">
        <v>49</v>
      </c>
      <c r="D42" s="125" t="s">
        <v>62</v>
      </c>
      <c r="E42" s="127" t="n">
        <v>101021</v>
      </c>
      <c r="F42" s="126"/>
      <c r="G42" s="128"/>
      <c r="H42" s="128"/>
      <c r="I42" s="129"/>
      <c r="J42" s="126"/>
    </row>
    <row r="43" customFormat="false" ht="12.75" hidden="false" customHeight="false" outlineLevel="0" collapsed="false">
      <c r="A43" s="125" t="n">
        <v>36312</v>
      </c>
      <c r="B43" s="126" t="n">
        <v>50010</v>
      </c>
      <c r="C43" s="125" t="s">
        <v>35</v>
      </c>
      <c r="D43" s="0" t="s">
        <v>114</v>
      </c>
    </row>
    <row r="44" customFormat="false" ht="12.75" hidden="false" customHeight="false" outlineLevel="0" collapsed="false">
      <c r="A44" s="125" t="n">
        <v>36312</v>
      </c>
      <c r="B44" s="126" t="n">
        <v>-3375</v>
      </c>
      <c r="C44" s="0" t="s">
        <v>49</v>
      </c>
      <c r="D44" s="126" t="s">
        <v>64</v>
      </c>
      <c r="E44" s="0" t="n">
        <v>22064</v>
      </c>
      <c r="F44" s="130"/>
    </row>
    <row r="45" customFormat="false" ht="12.75" hidden="false" customHeight="false" outlineLevel="0" collapsed="false">
      <c r="A45" s="125" t="n">
        <v>36312</v>
      </c>
      <c r="B45" s="126" t="n">
        <v>-7500</v>
      </c>
      <c r="C45" s="125" t="s">
        <v>35</v>
      </c>
      <c r="D45" s="0" t="s">
        <v>38</v>
      </c>
      <c r="E45" s="0" t="n">
        <v>26125</v>
      </c>
    </row>
    <row r="46" customFormat="false" ht="12.75" hidden="false" customHeight="false" outlineLevel="0" collapsed="false">
      <c r="A46" s="125" t="n">
        <v>36342</v>
      </c>
      <c r="B46" s="126" t="n">
        <v>4576.375</v>
      </c>
      <c r="C46" s="125" t="s">
        <v>49</v>
      </c>
      <c r="D46" s="125" t="s">
        <v>62</v>
      </c>
      <c r="E46" s="127" t="n">
        <v>101073</v>
      </c>
    </row>
    <row r="47" customFormat="false" ht="12.75" hidden="false" customHeight="false" outlineLevel="0" collapsed="false">
      <c r="A47" s="125" t="n">
        <v>36342</v>
      </c>
      <c r="B47" s="126" t="n">
        <v>25714.5</v>
      </c>
      <c r="C47" s="125" t="s">
        <v>49</v>
      </c>
      <c r="D47" s="125" t="s">
        <v>62</v>
      </c>
      <c r="E47" s="127" t="n">
        <v>101021</v>
      </c>
      <c r="F47" s="126"/>
      <c r="G47" s="128"/>
      <c r="H47" s="128"/>
      <c r="I47" s="129"/>
      <c r="J47" s="126"/>
    </row>
    <row r="48" customFormat="false" ht="12.75" hidden="false" customHeight="false" outlineLevel="0" collapsed="false">
      <c r="A48" s="125" t="n">
        <v>36342</v>
      </c>
      <c r="B48" s="126" t="n">
        <v>51677</v>
      </c>
      <c r="C48" s="125" t="s">
        <v>35</v>
      </c>
      <c r="D48" s="0" t="s">
        <v>114</v>
      </c>
    </row>
    <row r="49" customFormat="false" ht="12.75" hidden="false" customHeight="false" outlineLevel="0" collapsed="false">
      <c r="A49" s="125" t="n">
        <v>36342</v>
      </c>
      <c r="B49" s="126" t="n">
        <v>-3487.5</v>
      </c>
      <c r="C49" s="0" t="s">
        <v>49</v>
      </c>
      <c r="D49" s="126" t="s">
        <v>64</v>
      </c>
      <c r="E49" s="0" t="n">
        <v>22064</v>
      </c>
      <c r="F49" s="130"/>
    </row>
    <row r="50" customFormat="false" ht="12.75" hidden="false" customHeight="false" outlineLevel="0" collapsed="false">
      <c r="A50" s="125" t="n">
        <v>36342</v>
      </c>
      <c r="B50" s="126" t="n">
        <v>-7750</v>
      </c>
      <c r="C50" s="125" t="s">
        <v>35</v>
      </c>
      <c r="D50" s="0" t="s">
        <v>38</v>
      </c>
      <c r="E50" s="0" t="n">
        <v>26125</v>
      </c>
    </row>
    <row r="51" customFormat="false" ht="12.75" hidden="false" customHeight="false" outlineLevel="0" collapsed="false">
      <c r="A51" s="125" t="n">
        <v>36373</v>
      </c>
      <c r="B51" s="126" t="n">
        <v>4576.375</v>
      </c>
      <c r="C51" s="125" t="s">
        <v>49</v>
      </c>
      <c r="D51" s="125" t="s">
        <v>62</v>
      </c>
      <c r="E51" s="127" t="n">
        <v>101073</v>
      </c>
    </row>
    <row r="52" customFormat="false" ht="12.75" hidden="false" customHeight="false" outlineLevel="0" collapsed="false">
      <c r="A52" s="125" t="n">
        <v>36373</v>
      </c>
      <c r="B52" s="126" t="n">
        <v>25714.5</v>
      </c>
      <c r="C52" s="125" t="s">
        <v>49</v>
      </c>
      <c r="D52" s="125" t="s">
        <v>62</v>
      </c>
      <c r="E52" s="127" t="n">
        <v>101021</v>
      </c>
      <c r="F52" s="126"/>
      <c r="G52" s="128"/>
      <c r="H52" s="128"/>
      <c r="I52" s="129"/>
      <c r="J52" s="126"/>
    </row>
    <row r="53" customFormat="false" ht="12.75" hidden="false" customHeight="false" outlineLevel="0" collapsed="false">
      <c r="A53" s="125" t="n">
        <v>36373</v>
      </c>
      <c r="B53" s="126" t="n">
        <v>51677</v>
      </c>
      <c r="C53" s="125" t="s">
        <v>35</v>
      </c>
      <c r="D53" s="0" t="s">
        <v>114</v>
      </c>
    </row>
    <row r="54" customFormat="false" ht="12.75" hidden="false" customHeight="false" outlineLevel="0" collapsed="false">
      <c r="A54" s="125" t="n">
        <v>36373</v>
      </c>
      <c r="B54" s="126" t="n">
        <v>-3487.5</v>
      </c>
      <c r="C54" s="0" t="s">
        <v>49</v>
      </c>
      <c r="D54" s="126" t="s">
        <v>64</v>
      </c>
      <c r="E54" s="0" t="n">
        <v>22064</v>
      </c>
      <c r="F54" s="130"/>
    </row>
    <row r="55" customFormat="false" ht="12.75" hidden="false" customHeight="false" outlineLevel="0" collapsed="false">
      <c r="A55" s="125" t="n">
        <v>36373</v>
      </c>
      <c r="B55" s="126" t="n">
        <v>-7750</v>
      </c>
      <c r="C55" s="125" t="s">
        <v>35</v>
      </c>
      <c r="D55" s="0" t="s">
        <v>38</v>
      </c>
      <c r="E55" s="0" t="n">
        <v>26125</v>
      </c>
    </row>
    <row r="56" customFormat="false" ht="12.75" hidden="false" customHeight="false" outlineLevel="0" collapsed="false">
      <c r="A56" s="125" t="n">
        <v>36404</v>
      </c>
      <c r="B56" s="126" t="n">
        <v>4428.75</v>
      </c>
      <c r="C56" s="125" t="s">
        <v>49</v>
      </c>
      <c r="D56" s="125" t="s">
        <v>62</v>
      </c>
      <c r="E56" s="127" t="n">
        <v>101073</v>
      </c>
    </row>
    <row r="57" customFormat="false" ht="12.75" hidden="false" customHeight="false" outlineLevel="0" collapsed="false">
      <c r="A57" s="125" t="n">
        <v>36404</v>
      </c>
      <c r="B57" s="126" t="n">
        <v>24885</v>
      </c>
      <c r="C57" s="125" t="s">
        <v>49</v>
      </c>
      <c r="D57" s="125" t="s">
        <v>62</v>
      </c>
      <c r="E57" s="127" t="n">
        <v>101021</v>
      </c>
      <c r="F57" s="126"/>
      <c r="G57" s="128"/>
      <c r="H57" s="128"/>
      <c r="I57" s="129"/>
      <c r="J57" s="126"/>
    </row>
    <row r="58" customFormat="false" ht="12.75" hidden="false" customHeight="false" outlineLevel="0" collapsed="false">
      <c r="A58" s="125" t="n">
        <v>36404</v>
      </c>
      <c r="B58" s="126" t="n">
        <v>50010</v>
      </c>
      <c r="C58" s="125" t="s">
        <v>35</v>
      </c>
      <c r="D58" s="0" t="s">
        <v>114</v>
      </c>
    </row>
    <row r="59" customFormat="false" ht="12.75" hidden="false" customHeight="false" outlineLevel="0" collapsed="false">
      <c r="A59" s="125" t="n">
        <v>36404</v>
      </c>
      <c r="B59" s="126" t="n">
        <v>-3375</v>
      </c>
      <c r="C59" s="0" t="s">
        <v>49</v>
      </c>
      <c r="D59" s="126" t="s">
        <v>64</v>
      </c>
      <c r="E59" s="0" t="n">
        <v>22064</v>
      </c>
      <c r="F59" s="130"/>
    </row>
    <row r="60" customFormat="false" ht="12.75" hidden="false" customHeight="false" outlineLevel="0" collapsed="false">
      <c r="A60" s="125" t="n">
        <v>36404</v>
      </c>
      <c r="B60" s="126" t="n">
        <v>-7500</v>
      </c>
      <c r="C60" s="125" t="s">
        <v>35</v>
      </c>
      <c r="D60" s="0" t="s">
        <v>38</v>
      </c>
      <c r="E60" s="0" t="n">
        <v>26125</v>
      </c>
    </row>
    <row r="61" customFormat="false" ht="12.75" hidden="false" customHeight="false" outlineLevel="0" collapsed="false">
      <c r="A61" s="125" t="n">
        <v>36434</v>
      </c>
      <c r="B61" s="126" t="n">
        <v>4576.375</v>
      </c>
      <c r="C61" s="125" t="s">
        <v>49</v>
      </c>
      <c r="D61" s="125" t="s">
        <v>62</v>
      </c>
      <c r="E61" s="127" t="n">
        <v>101073</v>
      </c>
    </row>
    <row r="62" customFormat="false" ht="12.75" hidden="false" customHeight="false" outlineLevel="0" collapsed="false">
      <c r="A62" s="125" t="n">
        <v>36434</v>
      </c>
      <c r="B62" s="126" t="n">
        <v>25714.5</v>
      </c>
      <c r="C62" s="125" t="s">
        <v>49</v>
      </c>
      <c r="D62" s="125" t="s">
        <v>62</v>
      </c>
      <c r="E62" s="127" t="n">
        <v>101021</v>
      </c>
      <c r="F62" s="126"/>
      <c r="G62" s="128"/>
      <c r="H62" s="128"/>
      <c r="I62" s="129"/>
      <c r="J62" s="126"/>
    </row>
    <row r="63" customFormat="false" ht="12.75" hidden="false" customHeight="false" outlineLevel="0" collapsed="false">
      <c r="A63" s="125" t="n">
        <v>36434</v>
      </c>
      <c r="B63" s="126" t="n">
        <v>51677</v>
      </c>
      <c r="C63" s="125" t="s">
        <v>35</v>
      </c>
      <c r="D63" s="0" t="s">
        <v>114</v>
      </c>
    </row>
    <row r="64" customFormat="false" ht="12.75" hidden="false" customHeight="false" outlineLevel="0" collapsed="false">
      <c r="A64" s="125" t="n">
        <v>36434</v>
      </c>
      <c r="B64" s="126" t="n">
        <v>-3487.5</v>
      </c>
      <c r="C64" s="0" t="s">
        <v>49</v>
      </c>
      <c r="D64" s="126" t="s">
        <v>64</v>
      </c>
      <c r="E64" s="0" t="n">
        <v>22064</v>
      </c>
      <c r="F64" s="130"/>
    </row>
    <row r="65" customFormat="false" ht="12.75" hidden="false" customHeight="false" outlineLevel="0" collapsed="false">
      <c r="A65" s="125" t="n">
        <v>36434</v>
      </c>
      <c r="B65" s="126" t="n">
        <v>-7750</v>
      </c>
      <c r="C65" s="125" t="s">
        <v>35</v>
      </c>
      <c r="D65" s="0" t="s">
        <v>38</v>
      </c>
      <c r="E65" s="0" t="n">
        <v>26125</v>
      </c>
    </row>
    <row r="66" customFormat="false" ht="12.75" hidden="false" customHeight="false" outlineLevel="0" collapsed="false">
      <c r="A66" s="125" t="n">
        <v>36465</v>
      </c>
      <c r="B66" s="126" t="n">
        <v>4428.75</v>
      </c>
      <c r="C66" s="125" t="s">
        <v>49</v>
      </c>
      <c r="D66" s="125" t="s">
        <v>62</v>
      </c>
      <c r="E66" s="127" t="n">
        <v>101073</v>
      </c>
    </row>
    <row r="67" customFormat="false" ht="12.75" hidden="false" customHeight="false" outlineLevel="0" collapsed="false">
      <c r="A67" s="125" t="n">
        <v>36465</v>
      </c>
      <c r="B67" s="126" t="n">
        <v>24885</v>
      </c>
      <c r="C67" s="125" t="s">
        <v>49</v>
      </c>
      <c r="D67" s="125" t="s">
        <v>62</v>
      </c>
      <c r="E67" s="127" t="n">
        <v>101021</v>
      </c>
      <c r="F67" s="126"/>
      <c r="G67" s="128"/>
      <c r="H67" s="128"/>
      <c r="I67" s="129"/>
      <c r="J67" s="126"/>
    </row>
    <row r="68" customFormat="false" ht="12.75" hidden="false" customHeight="false" outlineLevel="0" collapsed="false">
      <c r="A68" s="125" t="n">
        <v>36465</v>
      </c>
      <c r="B68" s="126" t="n">
        <v>50010</v>
      </c>
      <c r="C68" s="125" t="s">
        <v>35</v>
      </c>
      <c r="D68" s="0" t="s">
        <v>114</v>
      </c>
    </row>
    <row r="69" customFormat="false" ht="12.75" hidden="false" customHeight="false" outlineLevel="0" collapsed="false">
      <c r="A69" s="125" t="n">
        <v>36465</v>
      </c>
      <c r="B69" s="126" t="n">
        <v>-3375</v>
      </c>
      <c r="C69" s="0" t="s">
        <v>49</v>
      </c>
      <c r="D69" s="126" t="s">
        <v>64</v>
      </c>
      <c r="E69" s="0" t="n">
        <v>22064</v>
      </c>
      <c r="F69" s="130"/>
    </row>
    <row r="70" customFormat="false" ht="12.75" hidden="false" customHeight="false" outlineLevel="0" collapsed="false">
      <c r="A70" s="125" t="n">
        <v>36465</v>
      </c>
      <c r="B70" s="126" t="n">
        <v>-7500</v>
      </c>
      <c r="C70" s="125" t="s">
        <v>35</v>
      </c>
      <c r="D70" s="0" t="s">
        <v>38</v>
      </c>
      <c r="E70" s="0" t="n">
        <v>26125</v>
      </c>
    </row>
    <row r="71" customFormat="false" ht="12.75" hidden="false" customHeight="false" outlineLevel="0" collapsed="false">
      <c r="A71" s="125" t="n">
        <v>36495</v>
      </c>
      <c r="B71" s="126" t="n">
        <v>4576.375</v>
      </c>
      <c r="C71" s="125" t="s">
        <v>49</v>
      </c>
      <c r="D71" s="125" t="s">
        <v>62</v>
      </c>
      <c r="E71" s="127" t="n">
        <v>101073</v>
      </c>
    </row>
    <row r="72" customFormat="false" ht="12.75" hidden="false" customHeight="false" outlineLevel="0" collapsed="false">
      <c r="A72" s="125" t="n">
        <v>36495</v>
      </c>
      <c r="B72" s="126" t="n">
        <v>25714.5</v>
      </c>
      <c r="C72" s="125" t="s">
        <v>49</v>
      </c>
      <c r="D72" s="125" t="s">
        <v>62</v>
      </c>
      <c r="E72" s="127" t="n">
        <v>101021</v>
      </c>
      <c r="F72" s="126"/>
      <c r="G72" s="128"/>
      <c r="H72" s="128"/>
      <c r="I72" s="129"/>
      <c r="J72" s="126"/>
    </row>
    <row r="73" customFormat="false" ht="12.75" hidden="false" customHeight="false" outlineLevel="0" collapsed="false">
      <c r="A73" s="125" t="n">
        <v>36495</v>
      </c>
      <c r="B73" s="126" t="n">
        <v>51677</v>
      </c>
      <c r="C73" s="125" t="s">
        <v>35</v>
      </c>
      <c r="D73" s="0" t="s">
        <v>114</v>
      </c>
      <c r="F73" s="130"/>
    </row>
    <row r="74" customFormat="false" ht="12.75" hidden="false" customHeight="false" outlineLevel="0" collapsed="false">
      <c r="A74" s="125" t="n">
        <v>36495</v>
      </c>
      <c r="B74" s="126" t="n">
        <v>-3487.5</v>
      </c>
      <c r="C74" s="0" t="s">
        <v>49</v>
      </c>
      <c r="D74" s="126" t="s">
        <v>64</v>
      </c>
      <c r="E74" s="0" t="n">
        <v>22064</v>
      </c>
      <c r="F74" s="130"/>
    </row>
    <row r="75" customFormat="false" ht="12.75" hidden="false" customHeight="false" outlineLevel="0" collapsed="false">
      <c r="A75" s="125" t="n">
        <v>36495</v>
      </c>
      <c r="B75" s="126" t="n">
        <v>-7750</v>
      </c>
      <c r="C75" s="125" t="s">
        <v>35</v>
      </c>
      <c r="D75" s="0" t="s">
        <v>38</v>
      </c>
      <c r="E75" s="0" t="n">
        <v>26125</v>
      </c>
    </row>
    <row r="76" customFormat="false" ht="12.75" hidden="false" customHeight="false" outlineLevel="0" collapsed="false">
      <c r="A76" s="125"/>
      <c r="B76" s="126"/>
      <c r="C76" s="125"/>
    </row>
    <row r="77" customFormat="false" ht="12.75" hidden="false" customHeight="false" outlineLevel="0" collapsed="false">
      <c r="A77" s="125" t="n">
        <v>36526</v>
      </c>
      <c r="B77" s="126" t="n">
        <v>4576.375</v>
      </c>
      <c r="C77" s="125" t="s">
        <v>49</v>
      </c>
      <c r="D77" s="125" t="s">
        <v>62</v>
      </c>
      <c r="E77" s="127" t="n">
        <v>101073</v>
      </c>
    </row>
    <row r="78" customFormat="false" ht="12.75" hidden="false" customHeight="false" outlineLevel="0" collapsed="false">
      <c r="A78" s="125" t="n">
        <v>36526</v>
      </c>
      <c r="B78" s="126" t="n">
        <v>25714.5</v>
      </c>
      <c r="C78" s="125" t="s">
        <v>49</v>
      </c>
      <c r="D78" s="125" t="s">
        <v>62</v>
      </c>
      <c r="E78" s="127" t="n">
        <v>101021</v>
      </c>
      <c r="F78" s="126"/>
      <c r="G78" s="128"/>
      <c r="H78" s="128"/>
      <c r="I78" s="129"/>
      <c r="J78" s="126"/>
    </row>
    <row r="79" customFormat="false" ht="12.75" hidden="false" customHeight="false" outlineLevel="0" collapsed="false">
      <c r="A79" s="125" t="n">
        <v>36526</v>
      </c>
      <c r="B79" s="126" t="n">
        <v>-7750</v>
      </c>
      <c r="C79" s="125" t="s">
        <v>35</v>
      </c>
      <c r="D79" s="0" t="s">
        <v>38</v>
      </c>
      <c r="E79" s="0" t="n">
        <v>26125</v>
      </c>
    </row>
    <row r="80" customFormat="false" ht="12.75" hidden="false" customHeight="false" outlineLevel="0" collapsed="false">
      <c r="A80" s="125"/>
      <c r="B80" s="126" t="n">
        <f aca="false">SUM(B77:B79)</f>
        <v>22540.875</v>
      </c>
      <c r="C80" s="125"/>
    </row>
    <row r="81" customFormat="false" ht="12.75" hidden="false" customHeight="false" outlineLevel="0" collapsed="false">
      <c r="A81" s="125" t="n">
        <v>36557</v>
      </c>
      <c r="B81" s="126" t="n">
        <v>4281.125</v>
      </c>
      <c r="C81" s="125" t="s">
        <v>49</v>
      </c>
      <c r="D81" s="125" t="s">
        <v>62</v>
      </c>
      <c r="E81" s="127" t="n">
        <v>101073</v>
      </c>
    </row>
    <row r="82" customFormat="false" ht="12.75" hidden="false" customHeight="false" outlineLevel="0" collapsed="false">
      <c r="A82" s="125" t="n">
        <v>36557</v>
      </c>
      <c r="B82" s="126" t="n">
        <v>24055.5</v>
      </c>
      <c r="C82" s="125" t="s">
        <v>49</v>
      </c>
      <c r="D82" s="125" t="s">
        <v>62</v>
      </c>
      <c r="E82" s="127" t="n">
        <v>101021</v>
      </c>
      <c r="F82" s="126"/>
      <c r="G82" s="128"/>
      <c r="H82" s="128"/>
      <c r="I82" s="129"/>
      <c r="J82" s="126"/>
    </row>
    <row r="83" customFormat="false" ht="12.75" hidden="false" customHeight="false" outlineLevel="0" collapsed="false">
      <c r="A83" s="125" t="n">
        <v>36557</v>
      </c>
      <c r="B83" s="126" t="n">
        <v>-7000</v>
      </c>
      <c r="C83" s="125" t="s">
        <v>35</v>
      </c>
      <c r="D83" s="0" t="s">
        <v>38</v>
      </c>
      <c r="E83" s="0" t="n">
        <v>26125</v>
      </c>
    </row>
    <row r="84" customFormat="false" ht="12.75" hidden="false" customHeight="false" outlineLevel="0" collapsed="false">
      <c r="A84" s="125"/>
      <c r="B84" s="126" t="n">
        <f aca="false">SUM(B81:B83)</f>
        <v>21336.625</v>
      </c>
      <c r="C84" s="125"/>
    </row>
    <row r="85" customFormat="false" ht="12.75" hidden="false" customHeight="false" outlineLevel="0" collapsed="false">
      <c r="A85" s="125" t="n">
        <v>36586</v>
      </c>
      <c r="B85" s="126" t="n">
        <v>4576.375</v>
      </c>
      <c r="C85" s="125" t="s">
        <v>49</v>
      </c>
      <c r="D85" s="125" t="s">
        <v>62</v>
      </c>
      <c r="E85" s="127" t="n">
        <v>101073</v>
      </c>
    </row>
    <row r="86" customFormat="false" ht="12.75" hidden="false" customHeight="false" outlineLevel="0" collapsed="false">
      <c r="A86" s="125" t="n">
        <v>36586</v>
      </c>
      <c r="B86" s="126" t="n">
        <v>25714.5</v>
      </c>
      <c r="C86" s="125" t="s">
        <v>49</v>
      </c>
      <c r="D86" s="125" t="s">
        <v>62</v>
      </c>
      <c r="E86" s="127" t="n">
        <v>101021</v>
      </c>
      <c r="F86" s="126"/>
      <c r="G86" s="128"/>
      <c r="H86" s="128"/>
      <c r="I86" s="129"/>
      <c r="J86" s="126"/>
    </row>
    <row r="87" customFormat="false" ht="12.75" hidden="false" customHeight="false" outlineLevel="0" collapsed="false">
      <c r="A87" s="125" t="n">
        <v>36586</v>
      </c>
      <c r="B87" s="126" t="n">
        <v>-7750</v>
      </c>
      <c r="C87" s="125" t="s">
        <v>35</v>
      </c>
      <c r="D87" s="0" t="s">
        <v>38</v>
      </c>
      <c r="E87" s="0" t="n">
        <v>26125</v>
      </c>
    </row>
    <row r="88" customFormat="false" ht="12.75" hidden="false" customHeight="false" outlineLevel="0" collapsed="false">
      <c r="A88" s="125"/>
      <c r="B88" s="126"/>
      <c r="C88" s="125"/>
    </row>
    <row r="89" customFormat="false" ht="12.75" hidden="false" customHeight="false" outlineLevel="0" collapsed="false">
      <c r="A89" s="125" t="n">
        <v>36617</v>
      </c>
      <c r="B89" s="126" t="n">
        <v>4428.75</v>
      </c>
      <c r="C89" s="125" t="s">
        <v>49</v>
      </c>
      <c r="D89" s="125" t="s">
        <v>62</v>
      </c>
      <c r="E89" s="127" t="n">
        <v>101073</v>
      </c>
    </row>
    <row r="90" customFormat="false" ht="12.75" hidden="false" customHeight="false" outlineLevel="0" collapsed="false">
      <c r="A90" s="125" t="n">
        <v>36617</v>
      </c>
      <c r="B90" s="126" t="n">
        <v>24885</v>
      </c>
      <c r="C90" s="125" t="s">
        <v>49</v>
      </c>
      <c r="D90" s="125" t="s">
        <v>62</v>
      </c>
      <c r="E90" s="127" t="n">
        <v>101021</v>
      </c>
      <c r="F90" s="126"/>
      <c r="G90" s="128"/>
      <c r="H90" s="128"/>
      <c r="I90" s="129"/>
      <c r="J90" s="126"/>
    </row>
    <row r="91" customFormat="false" ht="12.75" hidden="false" customHeight="false" outlineLevel="0" collapsed="false">
      <c r="A91" s="125" t="n">
        <v>36617</v>
      </c>
      <c r="B91" s="126" t="n">
        <v>-7500</v>
      </c>
      <c r="C91" s="125" t="s">
        <v>35</v>
      </c>
      <c r="D91" s="0" t="s">
        <v>38</v>
      </c>
      <c r="E91" s="0" t="n">
        <v>26125</v>
      </c>
    </row>
    <row r="92" customFormat="false" ht="12.75" hidden="false" customHeight="false" outlineLevel="0" collapsed="false">
      <c r="A92" s="125"/>
      <c r="B92" s="126" t="n">
        <f aca="false">SUM(B89:B91)</f>
        <v>21813.75</v>
      </c>
      <c r="C92" s="125"/>
    </row>
    <row r="93" customFormat="false" ht="12.75" hidden="false" customHeight="false" outlineLevel="0" collapsed="false">
      <c r="A93" s="125" t="n">
        <v>36647</v>
      </c>
      <c r="B93" s="126" t="n">
        <v>4576.375</v>
      </c>
      <c r="C93" s="125" t="s">
        <v>49</v>
      </c>
      <c r="D93" s="125" t="s">
        <v>62</v>
      </c>
      <c r="E93" s="127" t="n">
        <v>101073</v>
      </c>
    </row>
    <row r="94" customFormat="false" ht="12.75" hidden="false" customHeight="false" outlineLevel="0" collapsed="false">
      <c r="A94" s="125" t="n">
        <v>36647</v>
      </c>
      <c r="B94" s="126" t="n">
        <v>25714.5</v>
      </c>
      <c r="C94" s="125" t="s">
        <v>49</v>
      </c>
      <c r="D94" s="125" t="s">
        <v>62</v>
      </c>
      <c r="E94" s="127" t="n">
        <v>101021</v>
      </c>
      <c r="F94" s="126"/>
      <c r="G94" s="128"/>
      <c r="H94" s="128"/>
      <c r="I94" s="129"/>
      <c r="J94" s="126"/>
    </row>
    <row r="95" customFormat="false" ht="12.75" hidden="false" customHeight="false" outlineLevel="0" collapsed="false">
      <c r="A95" s="125" t="n">
        <v>36647</v>
      </c>
      <c r="B95" s="126" t="n">
        <v>-7750</v>
      </c>
      <c r="C95" s="125" t="s">
        <v>35</v>
      </c>
      <c r="D95" s="0" t="s">
        <v>38</v>
      </c>
      <c r="E95" s="0" t="n">
        <v>26125</v>
      </c>
    </row>
    <row r="96" customFormat="false" ht="12.75" hidden="false" customHeight="false" outlineLevel="0" collapsed="false">
      <c r="A96" s="125" t="n">
        <v>36678</v>
      </c>
      <c r="B96" s="126" t="n">
        <v>4428.75</v>
      </c>
      <c r="C96" s="125" t="s">
        <v>49</v>
      </c>
      <c r="D96" s="125" t="s">
        <v>62</v>
      </c>
      <c r="E96" s="127" t="n">
        <v>101073</v>
      </c>
    </row>
    <row r="97" customFormat="false" ht="12.75" hidden="false" customHeight="false" outlineLevel="0" collapsed="false">
      <c r="A97" s="125" t="n">
        <v>36678</v>
      </c>
      <c r="B97" s="126" t="n">
        <v>24885</v>
      </c>
      <c r="C97" s="125" t="s">
        <v>49</v>
      </c>
      <c r="D97" s="125" t="s">
        <v>62</v>
      </c>
      <c r="E97" s="127" t="n">
        <v>101021</v>
      </c>
      <c r="F97" s="126"/>
      <c r="G97" s="128"/>
      <c r="H97" s="128"/>
      <c r="I97" s="129"/>
      <c r="J97" s="126"/>
    </row>
    <row r="98" customFormat="false" ht="12.75" hidden="false" customHeight="false" outlineLevel="0" collapsed="false">
      <c r="A98" s="125" t="n">
        <v>36678</v>
      </c>
      <c r="B98" s="126" t="n">
        <v>-7500</v>
      </c>
      <c r="C98" s="125" t="s">
        <v>35</v>
      </c>
      <c r="D98" s="0" t="s">
        <v>38</v>
      </c>
      <c r="E98" s="0" t="n">
        <v>26125</v>
      </c>
    </row>
    <row r="99" customFormat="false" ht="12.75" hidden="false" customHeight="false" outlineLevel="0" collapsed="false">
      <c r="A99" s="125" t="n">
        <v>36708</v>
      </c>
      <c r="B99" s="126" t="n">
        <v>4576.375</v>
      </c>
      <c r="C99" s="125" t="s">
        <v>49</v>
      </c>
      <c r="D99" s="125" t="s">
        <v>62</v>
      </c>
      <c r="E99" s="127" t="n">
        <v>101073</v>
      </c>
    </row>
    <row r="100" customFormat="false" ht="12.75" hidden="false" customHeight="false" outlineLevel="0" collapsed="false">
      <c r="A100" s="125" t="n">
        <v>36708</v>
      </c>
      <c r="B100" s="126" t="n">
        <v>25714.5</v>
      </c>
      <c r="C100" s="125" t="s">
        <v>49</v>
      </c>
      <c r="D100" s="125" t="s">
        <v>62</v>
      </c>
      <c r="E100" s="127" t="n">
        <v>101021</v>
      </c>
      <c r="F100" s="126"/>
      <c r="G100" s="128"/>
      <c r="H100" s="128"/>
      <c r="I100" s="129"/>
      <c r="J100" s="126"/>
    </row>
    <row r="101" customFormat="false" ht="12.75" hidden="false" customHeight="false" outlineLevel="0" collapsed="false">
      <c r="A101" s="125" t="n">
        <v>36708</v>
      </c>
      <c r="B101" s="126" t="n">
        <v>-7750</v>
      </c>
      <c r="C101" s="125" t="s">
        <v>35</v>
      </c>
      <c r="D101" s="0" t="s">
        <v>38</v>
      </c>
      <c r="E101" s="0" t="n">
        <v>26125</v>
      </c>
    </row>
    <row r="102" customFormat="false" ht="12.75" hidden="false" customHeight="false" outlineLevel="0" collapsed="false">
      <c r="A102" s="125" t="n">
        <v>36739</v>
      </c>
      <c r="B102" s="126" t="n">
        <v>4576.375</v>
      </c>
      <c r="C102" s="125" t="s">
        <v>49</v>
      </c>
      <c r="D102" s="125" t="s">
        <v>62</v>
      </c>
      <c r="E102" s="127" t="n">
        <v>101073</v>
      </c>
    </row>
    <row r="103" customFormat="false" ht="12.75" hidden="false" customHeight="false" outlineLevel="0" collapsed="false">
      <c r="A103" s="125" t="n">
        <v>36739</v>
      </c>
      <c r="B103" s="126" t="n">
        <v>25714.5</v>
      </c>
      <c r="C103" s="125" t="s">
        <v>49</v>
      </c>
      <c r="D103" s="125" t="s">
        <v>62</v>
      </c>
      <c r="E103" s="127" t="n">
        <v>101021</v>
      </c>
      <c r="F103" s="126"/>
      <c r="G103" s="128"/>
      <c r="H103" s="128"/>
      <c r="I103" s="129"/>
      <c r="J103" s="126"/>
    </row>
    <row r="104" customFormat="false" ht="12.75" hidden="false" customHeight="false" outlineLevel="0" collapsed="false">
      <c r="A104" s="125" t="n">
        <v>36739</v>
      </c>
      <c r="B104" s="126" t="n">
        <v>-7750</v>
      </c>
      <c r="C104" s="125" t="s">
        <v>35</v>
      </c>
      <c r="D104" s="0" t="s">
        <v>38</v>
      </c>
      <c r="E104" s="0" t="n">
        <v>26125</v>
      </c>
    </row>
    <row r="105" customFormat="false" ht="12.75" hidden="false" customHeight="false" outlineLevel="0" collapsed="false">
      <c r="A105" s="125" t="n">
        <v>36770</v>
      </c>
      <c r="B105" s="126" t="n">
        <v>4428.75</v>
      </c>
      <c r="C105" s="125" t="s">
        <v>49</v>
      </c>
      <c r="D105" s="125" t="s">
        <v>62</v>
      </c>
      <c r="E105" s="127" t="n">
        <v>101073</v>
      </c>
    </row>
    <row r="106" customFormat="false" ht="12.75" hidden="false" customHeight="false" outlineLevel="0" collapsed="false">
      <c r="A106" s="125" t="n">
        <v>36770</v>
      </c>
      <c r="B106" s="126" t="n">
        <v>24885</v>
      </c>
      <c r="C106" s="125" t="s">
        <v>49</v>
      </c>
      <c r="D106" s="125" t="s">
        <v>62</v>
      </c>
      <c r="E106" s="127" t="n">
        <v>101021</v>
      </c>
      <c r="F106" s="126"/>
      <c r="G106" s="128"/>
      <c r="H106" s="128"/>
      <c r="I106" s="129"/>
      <c r="J106" s="126"/>
    </row>
    <row r="107" customFormat="false" ht="12.75" hidden="false" customHeight="false" outlineLevel="0" collapsed="false">
      <c r="A107" s="125" t="n">
        <v>36770</v>
      </c>
      <c r="B107" s="126" t="n">
        <v>-7500</v>
      </c>
      <c r="C107" s="125" t="s">
        <v>35</v>
      </c>
      <c r="D107" s="0" t="s">
        <v>38</v>
      </c>
      <c r="E107" s="0" t="n">
        <v>26125</v>
      </c>
    </row>
    <row r="108" customFormat="false" ht="12.75" hidden="false" customHeight="false" outlineLevel="0" collapsed="false">
      <c r="A108" s="125" t="n">
        <v>36800</v>
      </c>
      <c r="B108" s="126" t="n">
        <v>4576.375</v>
      </c>
      <c r="C108" s="125" t="s">
        <v>49</v>
      </c>
      <c r="D108" s="125" t="s">
        <v>62</v>
      </c>
      <c r="E108" s="127" t="n">
        <v>101073</v>
      </c>
    </row>
    <row r="109" customFormat="false" ht="12.75" hidden="false" customHeight="false" outlineLevel="0" collapsed="false">
      <c r="A109" s="125" t="n">
        <v>36800</v>
      </c>
      <c r="B109" s="126" t="n">
        <v>25714.5</v>
      </c>
      <c r="C109" s="125" t="s">
        <v>49</v>
      </c>
      <c r="D109" s="125" t="s">
        <v>62</v>
      </c>
      <c r="E109" s="127" t="n">
        <v>101021</v>
      </c>
      <c r="F109" s="126"/>
      <c r="G109" s="128"/>
      <c r="H109" s="128"/>
      <c r="I109" s="129"/>
      <c r="J109" s="126"/>
    </row>
    <row r="110" customFormat="false" ht="12.75" hidden="false" customHeight="false" outlineLevel="0" collapsed="false">
      <c r="A110" s="125" t="n">
        <v>36800</v>
      </c>
      <c r="B110" s="126" t="n">
        <v>-7750</v>
      </c>
      <c r="C110" s="125" t="s">
        <v>35</v>
      </c>
      <c r="D110" s="0" t="s">
        <v>38</v>
      </c>
      <c r="E110" s="0" t="n">
        <v>26125</v>
      </c>
    </row>
    <row r="111" customFormat="false" ht="12.75" hidden="false" customHeight="false" outlineLevel="0" collapsed="false">
      <c r="A111" s="125" t="n">
        <v>36831</v>
      </c>
      <c r="B111" s="126" t="n">
        <v>4428.75</v>
      </c>
      <c r="C111" s="125" t="s">
        <v>49</v>
      </c>
      <c r="D111" s="125" t="s">
        <v>62</v>
      </c>
      <c r="E111" s="127" t="n">
        <v>101073</v>
      </c>
    </row>
    <row r="112" customFormat="false" ht="12.75" hidden="false" customHeight="false" outlineLevel="0" collapsed="false">
      <c r="A112" s="125" t="n">
        <v>36831</v>
      </c>
      <c r="B112" s="126" t="n">
        <v>24885</v>
      </c>
      <c r="C112" s="125" t="s">
        <v>49</v>
      </c>
      <c r="D112" s="125" t="s">
        <v>62</v>
      </c>
      <c r="E112" s="127" t="n">
        <v>101021</v>
      </c>
      <c r="F112" s="126"/>
      <c r="G112" s="128"/>
      <c r="H112" s="128"/>
      <c r="I112" s="129"/>
      <c r="J112" s="126"/>
    </row>
    <row r="113" customFormat="false" ht="12.75" hidden="false" customHeight="false" outlineLevel="0" collapsed="false">
      <c r="A113" s="125" t="n">
        <v>36831</v>
      </c>
      <c r="B113" s="126" t="n">
        <v>-7500</v>
      </c>
      <c r="C113" s="125" t="s">
        <v>35</v>
      </c>
      <c r="D113" s="0" t="s">
        <v>38</v>
      </c>
      <c r="E113" s="0" t="n">
        <v>26125</v>
      </c>
    </row>
    <row r="114" customFormat="false" ht="12.75" hidden="false" customHeight="false" outlineLevel="0" collapsed="false">
      <c r="A114" s="125"/>
      <c r="B114" s="126"/>
      <c r="C114" s="125"/>
    </row>
    <row r="115" customFormat="false" ht="12.75" hidden="false" customHeight="false" outlineLevel="0" collapsed="false">
      <c r="A115" s="125" t="n">
        <v>36861</v>
      </c>
      <c r="B115" s="126" t="n">
        <v>4576.375</v>
      </c>
      <c r="C115" s="125" t="s">
        <v>49</v>
      </c>
      <c r="D115" s="125" t="s">
        <v>62</v>
      </c>
      <c r="E115" s="127" t="n">
        <v>101073</v>
      </c>
    </row>
    <row r="116" customFormat="false" ht="12.75" hidden="false" customHeight="false" outlineLevel="0" collapsed="false">
      <c r="A116" s="125" t="n">
        <v>36861</v>
      </c>
      <c r="B116" s="126" t="n">
        <v>25714.5</v>
      </c>
      <c r="C116" s="125" t="s">
        <v>49</v>
      </c>
      <c r="D116" s="125" t="s">
        <v>62</v>
      </c>
      <c r="E116" s="127" t="n">
        <v>101021</v>
      </c>
      <c r="F116" s="126"/>
      <c r="G116" s="128"/>
      <c r="H116" s="128"/>
      <c r="I116" s="129"/>
      <c r="J116" s="126"/>
    </row>
    <row r="117" customFormat="false" ht="12.75" hidden="false" customHeight="false" outlineLevel="0" collapsed="false">
      <c r="A117" s="125" t="n">
        <v>36861</v>
      </c>
      <c r="B117" s="126" t="n">
        <v>-7750</v>
      </c>
      <c r="C117" s="125" t="s">
        <v>35</v>
      </c>
      <c r="D117" s="0" t="s">
        <v>38</v>
      </c>
      <c r="E117" s="0" t="n">
        <v>26125</v>
      </c>
    </row>
    <row r="118" customFormat="false" ht="12.75" hidden="false" customHeight="false" outlineLevel="0" collapsed="false">
      <c r="A118" s="125"/>
      <c r="B118" s="126" t="n">
        <f aca="false">SUM(B115:B117)</f>
        <v>22540.875</v>
      </c>
      <c r="C118" s="125"/>
    </row>
    <row r="119" customFormat="false" ht="12.75" hidden="false" customHeight="false" outlineLevel="0" collapsed="false">
      <c r="A119" s="125" t="n">
        <v>36892</v>
      </c>
      <c r="B119" s="126" t="n">
        <v>4027.21</v>
      </c>
      <c r="C119" s="125" t="s">
        <v>49</v>
      </c>
      <c r="D119" s="125" t="s">
        <v>62</v>
      </c>
      <c r="E119" s="127" t="n">
        <v>101073</v>
      </c>
    </row>
    <row r="120" customFormat="false" ht="12.75" hidden="false" customHeight="false" outlineLevel="0" collapsed="false">
      <c r="A120" s="125" t="n">
        <v>36892</v>
      </c>
      <c r="B120" s="126" t="n">
        <v>24490</v>
      </c>
      <c r="C120" s="125" t="s">
        <v>49</v>
      </c>
      <c r="D120" s="125" t="s">
        <v>62</v>
      </c>
      <c r="E120" s="127" t="n">
        <v>101021</v>
      </c>
      <c r="F120" s="126"/>
      <c r="G120" s="128"/>
      <c r="H120" s="128"/>
      <c r="I120" s="129"/>
      <c r="J120" s="126"/>
    </row>
    <row r="121" customFormat="false" ht="12.75" hidden="false" customHeight="false" outlineLevel="0" collapsed="false">
      <c r="A121" s="125" t="n">
        <v>36892</v>
      </c>
      <c r="B121" s="126" t="n">
        <v>-7750</v>
      </c>
      <c r="C121" s="125" t="s">
        <v>35</v>
      </c>
      <c r="D121" s="0" t="s">
        <v>38</v>
      </c>
      <c r="E121" s="0" t="n">
        <v>26125</v>
      </c>
    </row>
    <row r="122" customFormat="false" ht="12.75" hidden="false" customHeight="false" outlineLevel="0" collapsed="false">
      <c r="A122" s="125"/>
      <c r="B122" s="126" t="n">
        <f aca="false">SUM(B119:B121)</f>
        <v>20767.21</v>
      </c>
      <c r="C122" s="125"/>
    </row>
    <row r="123" customFormat="false" ht="12.75" hidden="false" customHeight="false" outlineLevel="0" collapsed="false">
      <c r="A123" s="125" t="n">
        <v>36923</v>
      </c>
      <c r="B123" s="126" t="n">
        <v>3637.48</v>
      </c>
      <c r="C123" s="125" t="s">
        <v>49</v>
      </c>
      <c r="D123" s="125" t="s">
        <v>62</v>
      </c>
      <c r="E123" s="127" t="n">
        <v>101073</v>
      </c>
    </row>
    <row r="124" customFormat="false" ht="12.75" hidden="false" customHeight="false" outlineLevel="0" collapsed="false">
      <c r="A124" s="125" t="n">
        <v>36923</v>
      </c>
      <c r="B124" s="126" t="n">
        <v>22120</v>
      </c>
      <c r="C124" s="125" t="s">
        <v>49</v>
      </c>
      <c r="D124" s="125" t="s">
        <v>62</v>
      </c>
      <c r="E124" s="127" t="n">
        <v>101021</v>
      </c>
      <c r="F124" s="126"/>
      <c r="G124" s="128"/>
      <c r="H124" s="128"/>
      <c r="I124" s="129"/>
      <c r="J124" s="126"/>
    </row>
    <row r="125" customFormat="false" ht="12.75" hidden="false" customHeight="false" outlineLevel="0" collapsed="false">
      <c r="A125" s="125" t="n">
        <v>36923</v>
      </c>
      <c r="B125" s="126" t="n">
        <v>-7000</v>
      </c>
      <c r="C125" s="125" t="s">
        <v>35</v>
      </c>
      <c r="D125" s="0" t="s">
        <v>38</v>
      </c>
      <c r="E125" s="0" t="n">
        <v>26125</v>
      </c>
    </row>
    <row r="126" customFormat="false" ht="12.75" hidden="false" customHeight="false" outlineLevel="0" collapsed="false">
      <c r="A126" s="125"/>
      <c r="B126" s="126" t="n">
        <f aca="false">SUM(B123:B125)</f>
        <v>18757.48</v>
      </c>
      <c r="C126" s="125"/>
    </row>
    <row r="127" customFormat="false" ht="12.75" hidden="false" customHeight="false" outlineLevel="0" collapsed="false">
      <c r="A127" s="125" t="n">
        <v>36951</v>
      </c>
      <c r="B127" s="126" t="n">
        <v>4027.21</v>
      </c>
      <c r="C127" s="125" t="s">
        <v>49</v>
      </c>
      <c r="D127" s="125" t="s">
        <v>62</v>
      </c>
      <c r="E127" s="127" t="n">
        <v>101073</v>
      </c>
    </row>
    <row r="128" customFormat="false" ht="12.75" hidden="false" customHeight="false" outlineLevel="0" collapsed="false">
      <c r="A128" s="125" t="n">
        <v>36951</v>
      </c>
      <c r="B128" s="126" t="n">
        <v>24490</v>
      </c>
      <c r="C128" s="125" t="s">
        <v>49</v>
      </c>
      <c r="D128" s="125" t="s">
        <v>62</v>
      </c>
      <c r="E128" s="127" t="n">
        <v>101021</v>
      </c>
      <c r="F128" s="126"/>
      <c r="G128" s="128"/>
      <c r="H128" s="128"/>
      <c r="I128" s="129"/>
      <c r="J128" s="126"/>
    </row>
    <row r="129" customFormat="false" ht="12.75" hidden="false" customHeight="false" outlineLevel="0" collapsed="false">
      <c r="A129" s="125" t="n">
        <v>36951</v>
      </c>
      <c r="B129" s="126" t="n">
        <v>-7750</v>
      </c>
      <c r="C129" s="125" t="s">
        <v>35</v>
      </c>
      <c r="D129" s="0" t="s">
        <v>38</v>
      </c>
      <c r="E129" s="0" t="n">
        <v>26125</v>
      </c>
    </row>
    <row r="130" customFormat="false" ht="12.75" hidden="false" customHeight="false" outlineLevel="0" collapsed="false">
      <c r="A130" s="125"/>
      <c r="B130" s="126" t="n">
        <f aca="false">SUM(B127:B129)</f>
        <v>20767.21</v>
      </c>
      <c r="C130" s="125"/>
    </row>
    <row r="131" customFormat="false" ht="12.75" hidden="false" customHeight="false" outlineLevel="0" collapsed="false">
      <c r="A131" s="125" t="n">
        <v>36982</v>
      </c>
      <c r="B131" s="126" t="n">
        <v>3897.3</v>
      </c>
      <c r="C131" s="125" t="s">
        <v>49</v>
      </c>
      <c r="D131" s="125" t="s">
        <v>62</v>
      </c>
      <c r="E131" s="127" t="n">
        <v>101073</v>
      </c>
    </row>
    <row r="132" customFormat="false" ht="12.75" hidden="false" customHeight="false" outlineLevel="0" collapsed="false">
      <c r="A132" s="125" t="n">
        <v>36982</v>
      </c>
      <c r="B132" s="126" t="n">
        <v>23700</v>
      </c>
      <c r="C132" s="125" t="s">
        <v>49</v>
      </c>
      <c r="D132" s="125" t="s">
        <v>62</v>
      </c>
      <c r="E132" s="127" t="n">
        <v>101021</v>
      </c>
      <c r="F132" s="126"/>
      <c r="G132" s="128"/>
      <c r="H132" s="128"/>
      <c r="I132" s="129"/>
      <c r="J132" s="126"/>
    </row>
    <row r="133" customFormat="false" ht="12.75" hidden="false" customHeight="false" outlineLevel="0" collapsed="false">
      <c r="A133" s="125" t="n">
        <v>36982</v>
      </c>
      <c r="B133" s="126" t="n">
        <v>-7500</v>
      </c>
      <c r="C133" s="125" t="s">
        <v>35</v>
      </c>
      <c r="D133" s="0" t="s">
        <v>38</v>
      </c>
      <c r="E133" s="0" t="n">
        <v>26125</v>
      </c>
    </row>
    <row r="134" customFormat="false" ht="12.75" hidden="false" customHeight="false" outlineLevel="0" collapsed="false">
      <c r="A134" s="125"/>
      <c r="B134" s="126" t="n">
        <f aca="false">SUM(B131:B133)</f>
        <v>20097.3</v>
      </c>
      <c r="C134" s="125"/>
    </row>
    <row r="135" customFormat="false" ht="12.75" hidden="false" customHeight="false" outlineLevel="0" collapsed="false">
      <c r="A135" s="125" t="n">
        <v>37012</v>
      </c>
      <c r="B135" s="126" t="n">
        <v>4027.21</v>
      </c>
      <c r="C135" s="125" t="s">
        <v>49</v>
      </c>
      <c r="D135" s="125" t="s">
        <v>62</v>
      </c>
      <c r="E135" s="127" t="n">
        <v>101073</v>
      </c>
    </row>
    <row r="136" customFormat="false" ht="12.75" hidden="false" customHeight="false" outlineLevel="0" collapsed="false">
      <c r="A136" s="125" t="n">
        <v>37012</v>
      </c>
      <c r="B136" s="126" t="n">
        <v>24490</v>
      </c>
      <c r="C136" s="125" t="s">
        <v>49</v>
      </c>
      <c r="D136" s="125" t="s">
        <v>62</v>
      </c>
      <c r="E136" s="127" t="n">
        <v>101021</v>
      </c>
      <c r="F136" s="126"/>
      <c r="G136" s="128"/>
      <c r="H136" s="128"/>
      <c r="I136" s="129"/>
      <c r="J136" s="126"/>
    </row>
    <row r="137" customFormat="false" ht="12.75" hidden="false" customHeight="false" outlineLevel="0" collapsed="false">
      <c r="A137" s="125" t="n">
        <v>37012</v>
      </c>
      <c r="B137" s="126" t="n">
        <v>-7750</v>
      </c>
      <c r="C137" s="125" t="s">
        <v>35</v>
      </c>
      <c r="D137" s="0" t="s">
        <v>38</v>
      </c>
      <c r="E137" s="0" t="n">
        <v>26125</v>
      </c>
    </row>
    <row r="138" customFormat="false" ht="12.75" hidden="false" customHeight="false" outlineLevel="0" collapsed="false">
      <c r="A138" s="125" t="n">
        <v>37043</v>
      </c>
      <c r="B138" s="126" t="n">
        <v>3897.3</v>
      </c>
      <c r="C138" s="125" t="s">
        <v>49</v>
      </c>
      <c r="D138" s="125" t="s">
        <v>62</v>
      </c>
      <c r="E138" s="127" t="n">
        <v>101073</v>
      </c>
    </row>
    <row r="139" customFormat="false" ht="12.75" hidden="false" customHeight="false" outlineLevel="0" collapsed="false">
      <c r="A139" s="125" t="n">
        <v>37043</v>
      </c>
      <c r="B139" s="126" t="n">
        <v>23700</v>
      </c>
      <c r="C139" s="125" t="s">
        <v>49</v>
      </c>
      <c r="D139" s="125" t="s">
        <v>62</v>
      </c>
      <c r="E139" s="127" t="n">
        <v>101021</v>
      </c>
      <c r="F139" s="126"/>
      <c r="G139" s="128"/>
      <c r="H139" s="128"/>
      <c r="I139" s="129"/>
      <c r="J139" s="126"/>
    </row>
    <row r="140" customFormat="false" ht="12.75" hidden="false" customHeight="false" outlineLevel="0" collapsed="false">
      <c r="A140" s="125" t="n">
        <v>37043</v>
      </c>
      <c r="B140" s="126" t="n">
        <v>-7500</v>
      </c>
      <c r="C140" s="125" t="s">
        <v>35</v>
      </c>
      <c r="D140" s="0" t="s">
        <v>38</v>
      </c>
      <c r="E140" s="0" t="n">
        <v>26125</v>
      </c>
    </row>
    <row r="141" customFormat="false" ht="12.75" hidden="false" customHeight="false" outlineLevel="0" collapsed="false">
      <c r="A141" s="125" t="n">
        <v>37073</v>
      </c>
      <c r="B141" s="126" t="n">
        <v>4027.21</v>
      </c>
      <c r="C141" s="125" t="s">
        <v>49</v>
      </c>
      <c r="D141" s="125" t="s">
        <v>62</v>
      </c>
      <c r="E141" s="127" t="n">
        <v>101073</v>
      </c>
    </row>
    <row r="142" customFormat="false" ht="12.75" hidden="false" customHeight="false" outlineLevel="0" collapsed="false">
      <c r="A142" s="125" t="n">
        <v>37073</v>
      </c>
      <c r="B142" s="126" t="n">
        <v>24490</v>
      </c>
      <c r="C142" s="125" t="s">
        <v>49</v>
      </c>
      <c r="D142" s="125" t="s">
        <v>62</v>
      </c>
      <c r="E142" s="127" t="n">
        <v>101021</v>
      </c>
      <c r="F142" s="126"/>
      <c r="G142" s="128"/>
      <c r="H142" s="128"/>
      <c r="I142" s="129"/>
      <c r="J142" s="126"/>
    </row>
    <row r="143" customFormat="false" ht="12.75" hidden="false" customHeight="false" outlineLevel="0" collapsed="false">
      <c r="A143" s="125" t="n">
        <v>37073</v>
      </c>
      <c r="B143" s="126" t="n">
        <v>-7750</v>
      </c>
      <c r="C143" s="125" t="s">
        <v>35</v>
      </c>
      <c r="D143" s="0" t="s">
        <v>38</v>
      </c>
      <c r="E143" s="0" t="n">
        <v>26125</v>
      </c>
    </row>
    <row r="144" customFormat="false" ht="12.75" hidden="false" customHeight="false" outlineLevel="0" collapsed="false">
      <c r="A144" s="125" t="n">
        <v>37104</v>
      </c>
      <c r="B144" s="126" t="n">
        <v>4027.21</v>
      </c>
      <c r="C144" s="125" t="s">
        <v>49</v>
      </c>
      <c r="D144" s="125" t="s">
        <v>62</v>
      </c>
      <c r="E144" s="127" t="n">
        <v>101073</v>
      </c>
    </row>
    <row r="145" customFormat="false" ht="12.75" hidden="false" customHeight="false" outlineLevel="0" collapsed="false">
      <c r="A145" s="125" t="n">
        <v>37104</v>
      </c>
      <c r="B145" s="126" t="n">
        <v>24490</v>
      </c>
      <c r="C145" s="125" t="s">
        <v>49</v>
      </c>
      <c r="D145" s="125" t="s">
        <v>62</v>
      </c>
      <c r="E145" s="127" t="n">
        <v>101021</v>
      </c>
      <c r="F145" s="126"/>
      <c r="G145" s="128"/>
      <c r="H145" s="128"/>
      <c r="I145" s="129"/>
      <c r="J145" s="126"/>
    </row>
    <row r="146" customFormat="false" ht="12.75" hidden="false" customHeight="false" outlineLevel="0" collapsed="false">
      <c r="A146" s="125" t="n">
        <v>37104</v>
      </c>
      <c r="B146" s="126" t="n">
        <v>-7750</v>
      </c>
      <c r="C146" s="125" t="s">
        <v>35</v>
      </c>
      <c r="D146" s="0" t="s">
        <v>38</v>
      </c>
      <c r="E146" s="0" t="n">
        <v>26125</v>
      </c>
    </row>
    <row r="147" customFormat="false" ht="12.75" hidden="false" customHeight="false" outlineLevel="0" collapsed="false">
      <c r="A147" s="125" t="n">
        <v>37135</v>
      </c>
      <c r="B147" s="126" t="n">
        <v>3897.3</v>
      </c>
      <c r="C147" s="125" t="s">
        <v>49</v>
      </c>
      <c r="D147" s="125" t="s">
        <v>62</v>
      </c>
      <c r="E147" s="127" t="n">
        <v>101073</v>
      </c>
    </row>
    <row r="148" customFormat="false" ht="12.75" hidden="false" customHeight="false" outlineLevel="0" collapsed="false">
      <c r="A148" s="125" t="n">
        <v>37135</v>
      </c>
      <c r="B148" s="126" t="n">
        <v>23700</v>
      </c>
      <c r="C148" s="125" t="s">
        <v>49</v>
      </c>
      <c r="D148" s="125" t="s">
        <v>62</v>
      </c>
      <c r="E148" s="127" t="n">
        <v>101021</v>
      </c>
      <c r="F148" s="126"/>
      <c r="G148" s="128"/>
      <c r="H148" s="128"/>
      <c r="I148" s="129"/>
      <c r="J148" s="126"/>
    </row>
    <row r="149" customFormat="false" ht="12.75" hidden="false" customHeight="false" outlineLevel="0" collapsed="false">
      <c r="A149" s="125" t="n">
        <v>37135</v>
      </c>
      <c r="B149" s="126" t="n">
        <v>-7500</v>
      </c>
      <c r="C149" s="125" t="s">
        <v>35</v>
      </c>
      <c r="D149" s="0" t="s">
        <v>38</v>
      </c>
      <c r="E149" s="0" t="n">
        <v>26125</v>
      </c>
    </row>
    <row r="150" customFormat="false" ht="12.75" hidden="false" customHeight="false" outlineLevel="0" collapsed="false">
      <c r="A150" s="125"/>
      <c r="B150" s="126"/>
      <c r="C150" s="125"/>
    </row>
    <row r="151" customFormat="false" ht="12.75" hidden="false" customHeight="false" outlineLevel="0" collapsed="false">
      <c r="A151" s="125" t="n">
        <v>37165</v>
      </c>
      <c r="B151" s="126" t="n">
        <v>4027.21</v>
      </c>
      <c r="C151" s="125" t="s">
        <v>49</v>
      </c>
      <c r="D151" s="125" t="s">
        <v>62</v>
      </c>
      <c r="E151" s="127" t="n">
        <v>101073</v>
      </c>
    </row>
    <row r="152" customFormat="false" ht="12.75" hidden="false" customHeight="false" outlineLevel="0" collapsed="false">
      <c r="A152" s="125" t="n">
        <v>37165</v>
      </c>
      <c r="B152" s="126" t="n">
        <v>24490</v>
      </c>
      <c r="C152" s="125" t="s">
        <v>49</v>
      </c>
      <c r="D152" s="125" t="s">
        <v>62</v>
      </c>
      <c r="E152" s="127" t="n">
        <v>101021</v>
      </c>
      <c r="F152" s="126"/>
      <c r="G152" s="128"/>
      <c r="H152" s="128"/>
      <c r="I152" s="129"/>
      <c r="J152" s="126"/>
    </row>
    <row r="153" customFormat="false" ht="12.75" hidden="false" customHeight="false" outlineLevel="0" collapsed="false">
      <c r="A153" s="125" t="n">
        <v>37165</v>
      </c>
      <c r="B153" s="126" t="n">
        <v>-7750</v>
      </c>
      <c r="C153" s="125" t="s">
        <v>35</v>
      </c>
      <c r="D153" s="0" t="s">
        <v>38</v>
      </c>
      <c r="E153" s="0" t="n">
        <v>26125</v>
      </c>
    </row>
    <row r="154" customFormat="false" ht="12.75" hidden="false" customHeight="false" outlineLevel="0" collapsed="false">
      <c r="A154" s="125"/>
      <c r="B154" s="126" t="n">
        <f aca="false">SUM(B151:B153)</f>
        <v>20767.21</v>
      </c>
      <c r="C154" s="125"/>
    </row>
    <row r="155" customFormat="false" ht="12.75" hidden="false" customHeight="false" outlineLevel="0" collapsed="false">
      <c r="A155" s="125" t="n">
        <v>37196</v>
      </c>
      <c r="B155" s="126" t="n">
        <v>3897.3</v>
      </c>
      <c r="C155" s="125" t="s">
        <v>49</v>
      </c>
      <c r="D155" s="125" t="s">
        <v>62</v>
      </c>
      <c r="E155" s="127" t="n">
        <v>101073</v>
      </c>
    </row>
    <row r="156" customFormat="false" ht="12.75" hidden="false" customHeight="false" outlineLevel="0" collapsed="false">
      <c r="A156" s="125" t="n">
        <v>37196</v>
      </c>
      <c r="B156" s="126" t="n">
        <v>23700</v>
      </c>
      <c r="C156" s="125" t="s">
        <v>49</v>
      </c>
      <c r="D156" s="125" t="s">
        <v>62</v>
      </c>
      <c r="E156" s="127" t="n">
        <v>101021</v>
      </c>
      <c r="F156" s="126"/>
      <c r="G156" s="128"/>
      <c r="H156" s="128"/>
      <c r="I156" s="129"/>
      <c r="J156" s="126"/>
    </row>
    <row r="157" customFormat="false" ht="12.75" hidden="false" customHeight="false" outlineLevel="0" collapsed="false">
      <c r="A157" s="125" t="n">
        <v>37196</v>
      </c>
      <c r="B157" s="126" t="n">
        <v>-7500</v>
      </c>
      <c r="C157" s="125" t="s">
        <v>35</v>
      </c>
      <c r="D157" s="0" t="s">
        <v>38</v>
      </c>
      <c r="E157" s="0" t="n">
        <v>26125</v>
      </c>
    </row>
    <row r="158" customFormat="false" ht="12.75" hidden="false" customHeight="false" outlineLevel="0" collapsed="false">
      <c r="A158" s="125" t="n">
        <v>37226</v>
      </c>
      <c r="B158" s="126" t="n">
        <v>4027.21</v>
      </c>
      <c r="C158" s="125" t="s">
        <v>49</v>
      </c>
      <c r="D158" s="125" t="s">
        <v>62</v>
      </c>
      <c r="E158" s="127" t="n">
        <v>101073</v>
      </c>
    </row>
    <row r="159" customFormat="false" ht="12.75" hidden="false" customHeight="false" outlineLevel="0" collapsed="false">
      <c r="A159" s="125" t="n">
        <v>37226</v>
      </c>
      <c r="B159" s="126" t="n">
        <v>24490</v>
      </c>
      <c r="C159" s="125" t="s">
        <v>49</v>
      </c>
      <c r="D159" s="125" t="s">
        <v>62</v>
      </c>
      <c r="E159" s="127" t="n">
        <v>101021</v>
      </c>
      <c r="F159" s="126"/>
      <c r="G159" s="128"/>
      <c r="H159" s="128"/>
      <c r="I159" s="129"/>
      <c r="J159" s="126"/>
    </row>
    <row r="160" customFormat="false" ht="12.75" hidden="false" customHeight="false" outlineLevel="0" collapsed="false">
      <c r="A160" s="125" t="n">
        <v>37226</v>
      </c>
      <c r="B160" s="126" t="n">
        <v>-7750</v>
      </c>
      <c r="C160" s="125" t="s">
        <v>35</v>
      </c>
      <c r="D160" s="0" t="s">
        <v>38</v>
      </c>
      <c r="E160" s="0" t="n">
        <v>26125</v>
      </c>
    </row>
    <row r="161" customFormat="false" ht="12.75" hidden="false" customHeight="false" outlineLevel="0" collapsed="false">
      <c r="A161" s="125"/>
      <c r="B161" s="126"/>
      <c r="C161" s="125"/>
    </row>
    <row r="162" customFormat="false" ht="12.75" hidden="false" customHeight="false" outlineLevel="0" collapsed="false">
      <c r="A162" s="125" t="n">
        <v>37257</v>
      </c>
      <c r="B162" s="126" t="n">
        <v>4027.21</v>
      </c>
      <c r="C162" s="125" t="s">
        <v>49</v>
      </c>
      <c r="D162" s="125" t="s">
        <v>62</v>
      </c>
      <c r="E162" s="127" t="n">
        <v>101073</v>
      </c>
    </row>
    <row r="163" customFormat="false" ht="12.75" hidden="false" customHeight="false" outlineLevel="0" collapsed="false">
      <c r="A163" s="125" t="n">
        <v>37257</v>
      </c>
      <c r="B163" s="126" t="n">
        <v>24490</v>
      </c>
      <c r="C163" s="125" t="s">
        <v>49</v>
      </c>
      <c r="D163" s="125" t="s">
        <v>62</v>
      </c>
      <c r="E163" s="127" t="n">
        <v>101021</v>
      </c>
      <c r="F163" s="126"/>
      <c r="G163" s="128"/>
      <c r="H163" s="128"/>
      <c r="I163" s="129"/>
      <c r="J163" s="126"/>
    </row>
    <row r="164" customFormat="false" ht="12.75" hidden="false" customHeight="false" outlineLevel="0" collapsed="false">
      <c r="A164" s="125" t="n">
        <v>37257</v>
      </c>
      <c r="B164" s="126" t="n">
        <v>-7750</v>
      </c>
      <c r="C164" s="125" t="s">
        <v>35</v>
      </c>
      <c r="D164" s="0" t="s">
        <v>38</v>
      </c>
      <c r="E164" s="0" t="n">
        <v>26125</v>
      </c>
    </row>
    <row r="165" customFormat="false" ht="12.75" hidden="false" customHeight="false" outlineLevel="0" collapsed="false">
      <c r="A165" s="125"/>
      <c r="B165" s="126" t="n">
        <f aca="false">SUM(B162:B164)</f>
        <v>20767.21</v>
      </c>
      <c r="C165" s="125"/>
    </row>
    <row r="166" customFormat="false" ht="12.75" hidden="false" customHeight="false" outlineLevel="0" collapsed="false">
      <c r="A166" s="125" t="n">
        <v>37288</v>
      </c>
      <c r="B166" s="126" t="n">
        <v>3637.48</v>
      </c>
      <c r="C166" s="125" t="s">
        <v>49</v>
      </c>
      <c r="D166" s="125" t="s">
        <v>62</v>
      </c>
      <c r="E166" s="127" t="n">
        <v>101073</v>
      </c>
    </row>
    <row r="167" customFormat="false" ht="12.75" hidden="false" customHeight="false" outlineLevel="0" collapsed="false">
      <c r="A167" s="125" t="n">
        <v>37288</v>
      </c>
      <c r="B167" s="126" t="n">
        <v>22120</v>
      </c>
      <c r="C167" s="125" t="s">
        <v>49</v>
      </c>
      <c r="D167" s="125" t="s">
        <v>62</v>
      </c>
      <c r="E167" s="127" t="n">
        <v>101021</v>
      </c>
      <c r="F167" s="126"/>
      <c r="G167" s="128"/>
      <c r="H167" s="128"/>
      <c r="I167" s="129"/>
      <c r="J167" s="126"/>
    </row>
    <row r="168" customFormat="false" ht="12.75" hidden="false" customHeight="false" outlineLevel="0" collapsed="false">
      <c r="A168" s="125" t="n">
        <v>37288</v>
      </c>
      <c r="B168" s="126" t="n">
        <v>-7000</v>
      </c>
      <c r="C168" s="125" t="s">
        <v>35</v>
      </c>
      <c r="D168" s="0" t="s">
        <v>38</v>
      </c>
      <c r="E168" s="0" t="n">
        <v>26125</v>
      </c>
    </row>
    <row r="169" customFormat="false" ht="12.75" hidden="false" customHeight="false" outlineLevel="0" collapsed="false">
      <c r="A169" s="125"/>
      <c r="B169" s="126" t="n">
        <f aca="false">SUM(B166:B168)</f>
        <v>18757.48</v>
      </c>
      <c r="C169" s="125"/>
    </row>
    <row r="170" customFormat="false" ht="12.75" hidden="false" customHeight="false" outlineLevel="0" collapsed="false">
      <c r="A170" s="125" t="n">
        <v>37316</v>
      </c>
      <c r="B170" s="126" t="n">
        <v>4027.21</v>
      </c>
      <c r="C170" s="125" t="s">
        <v>49</v>
      </c>
      <c r="D170" s="125" t="s">
        <v>62</v>
      </c>
      <c r="E170" s="127" t="n">
        <v>101073</v>
      </c>
    </row>
    <row r="171" customFormat="false" ht="12.75" hidden="false" customHeight="false" outlineLevel="0" collapsed="false">
      <c r="A171" s="125" t="n">
        <v>37316</v>
      </c>
      <c r="B171" s="126" t="n">
        <v>24490</v>
      </c>
      <c r="C171" s="125" t="s">
        <v>49</v>
      </c>
      <c r="D171" s="125" t="s">
        <v>62</v>
      </c>
      <c r="E171" s="127" t="n">
        <v>101021</v>
      </c>
      <c r="F171" s="126"/>
      <c r="G171" s="128"/>
      <c r="H171" s="128"/>
      <c r="I171" s="129"/>
      <c r="J171" s="126"/>
    </row>
    <row r="172" customFormat="false" ht="12.75" hidden="false" customHeight="false" outlineLevel="0" collapsed="false">
      <c r="A172" s="125" t="n">
        <v>37316</v>
      </c>
      <c r="B172" s="126" t="n">
        <v>-7750</v>
      </c>
      <c r="C172" s="125" t="s">
        <v>35</v>
      </c>
      <c r="D172" s="0" t="s">
        <v>38</v>
      </c>
      <c r="E172" s="0" t="n">
        <v>26125</v>
      </c>
    </row>
    <row r="173" customFormat="false" ht="12.75" hidden="false" customHeight="false" outlineLevel="0" collapsed="false">
      <c r="A173" s="125"/>
      <c r="B173" s="126"/>
      <c r="C173" s="125"/>
    </row>
    <row r="174" customFormat="false" ht="12.75" hidden="false" customHeight="false" outlineLevel="0" collapsed="false">
      <c r="A174" s="125" t="n">
        <v>37347</v>
      </c>
      <c r="B174" s="126" t="n">
        <v>3897.3</v>
      </c>
      <c r="C174" s="125" t="s">
        <v>49</v>
      </c>
      <c r="D174" s="125" t="s">
        <v>62</v>
      </c>
      <c r="E174" s="127" t="n">
        <v>101073</v>
      </c>
    </row>
    <row r="175" customFormat="false" ht="12.75" hidden="false" customHeight="false" outlineLevel="0" collapsed="false">
      <c r="A175" s="125" t="n">
        <v>37347</v>
      </c>
      <c r="B175" s="126" t="n">
        <v>23700</v>
      </c>
      <c r="C175" s="125" t="s">
        <v>49</v>
      </c>
      <c r="D175" s="125" t="s">
        <v>62</v>
      </c>
      <c r="E175" s="127" t="n">
        <v>101021</v>
      </c>
      <c r="F175" s="126"/>
      <c r="G175" s="128"/>
      <c r="H175" s="128"/>
      <c r="I175" s="129"/>
      <c r="J175" s="126"/>
    </row>
    <row r="176" customFormat="false" ht="12.75" hidden="false" customHeight="false" outlineLevel="0" collapsed="false">
      <c r="A176" s="125" t="n">
        <v>37347</v>
      </c>
      <c r="B176" s="126" t="n">
        <v>-7500</v>
      </c>
      <c r="C176" s="125" t="s">
        <v>35</v>
      </c>
      <c r="D176" s="0" t="s">
        <v>38</v>
      </c>
      <c r="E176" s="0" t="n">
        <v>26125</v>
      </c>
    </row>
    <row r="177" customFormat="false" ht="12.75" hidden="false" customHeight="false" outlineLevel="0" collapsed="false">
      <c r="A177" s="125"/>
      <c r="B177" s="126" t="n">
        <f aca="false">SUM(B174:B176)</f>
        <v>20097.3</v>
      </c>
      <c r="C177" s="125"/>
    </row>
    <row r="178" customFormat="false" ht="12.75" hidden="false" customHeight="false" outlineLevel="0" collapsed="false">
      <c r="A178" s="125" t="n">
        <v>37377</v>
      </c>
      <c r="B178" s="126" t="n">
        <v>4027.21</v>
      </c>
      <c r="C178" s="125" t="s">
        <v>49</v>
      </c>
      <c r="D178" s="125" t="s">
        <v>62</v>
      </c>
      <c r="E178" s="127" t="n">
        <v>101073</v>
      </c>
    </row>
    <row r="179" customFormat="false" ht="12.75" hidden="false" customHeight="false" outlineLevel="0" collapsed="false">
      <c r="A179" s="125" t="n">
        <v>37377</v>
      </c>
      <c r="B179" s="126" t="n">
        <v>24490</v>
      </c>
      <c r="C179" s="125" t="s">
        <v>49</v>
      </c>
      <c r="D179" s="125" t="s">
        <v>62</v>
      </c>
      <c r="E179" s="127" t="n">
        <v>101021</v>
      </c>
      <c r="F179" s="126"/>
      <c r="G179" s="128"/>
      <c r="H179" s="128"/>
      <c r="I179" s="129"/>
      <c r="J179" s="126"/>
    </row>
    <row r="180" customFormat="false" ht="12.75" hidden="false" customHeight="false" outlineLevel="0" collapsed="false">
      <c r="A180" s="125" t="n">
        <v>37377</v>
      </c>
      <c r="B180" s="126" t="n">
        <v>-7750</v>
      </c>
      <c r="C180" s="125" t="s">
        <v>35</v>
      </c>
      <c r="D180" s="0" t="s">
        <v>38</v>
      </c>
      <c r="E180" s="0" t="n">
        <v>26125</v>
      </c>
    </row>
    <row r="181" customFormat="false" ht="12.75" hidden="false" customHeight="false" outlineLevel="0" collapsed="false">
      <c r="A181" s="125" t="n">
        <v>37408</v>
      </c>
      <c r="B181" s="126" t="n">
        <v>3897.3</v>
      </c>
      <c r="C181" s="125" t="s">
        <v>49</v>
      </c>
      <c r="D181" s="125" t="s">
        <v>62</v>
      </c>
      <c r="E181" s="127" t="n">
        <v>101073</v>
      </c>
    </row>
    <row r="182" customFormat="false" ht="12.75" hidden="false" customHeight="false" outlineLevel="0" collapsed="false">
      <c r="A182" s="125" t="n">
        <v>37408</v>
      </c>
      <c r="B182" s="126" t="n">
        <v>23700</v>
      </c>
      <c r="C182" s="125" t="s">
        <v>49</v>
      </c>
      <c r="D182" s="125" t="s">
        <v>62</v>
      </c>
      <c r="E182" s="127" t="n">
        <v>101021</v>
      </c>
      <c r="F182" s="126"/>
      <c r="G182" s="128"/>
      <c r="H182" s="128"/>
      <c r="I182" s="129"/>
      <c r="J182" s="126"/>
    </row>
    <row r="183" customFormat="false" ht="12.75" hidden="false" customHeight="false" outlineLevel="0" collapsed="false">
      <c r="A183" s="125" t="n">
        <v>37408</v>
      </c>
      <c r="B183" s="126" t="n">
        <v>-7500</v>
      </c>
      <c r="C183" s="125" t="s">
        <v>35</v>
      </c>
      <c r="D183" s="0" t="s">
        <v>38</v>
      </c>
      <c r="E183" s="0" t="n">
        <v>26125</v>
      </c>
    </row>
    <row r="184" customFormat="false" ht="12.75" hidden="false" customHeight="false" outlineLevel="0" collapsed="false">
      <c r="A184" s="125" t="n">
        <v>37438</v>
      </c>
      <c r="B184" s="126" t="n">
        <v>4027.21</v>
      </c>
      <c r="C184" s="125" t="s">
        <v>49</v>
      </c>
      <c r="D184" s="125" t="s">
        <v>62</v>
      </c>
      <c r="E184" s="127" t="n">
        <v>101073</v>
      </c>
    </row>
    <row r="185" customFormat="false" ht="12.75" hidden="false" customHeight="false" outlineLevel="0" collapsed="false">
      <c r="A185" s="125" t="n">
        <v>37438</v>
      </c>
      <c r="B185" s="126" t="n">
        <v>24490</v>
      </c>
      <c r="C185" s="125" t="s">
        <v>49</v>
      </c>
      <c r="D185" s="125" t="s">
        <v>62</v>
      </c>
      <c r="E185" s="127" t="n">
        <v>101021</v>
      </c>
      <c r="F185" s="126"/>
      <c r="G185" s="128"/>
      <c r="H185" s="128"/>
      <c r="I185" s="129"/>
      <c r="J185" s="126"/>
    </row>
    <row r="186" customFormat="false" ht="12.75" hidden="false" customHeight="false" outlineLevel="0" collapsed="false">
      <c r="A186" s="125" t="n">
        <v>37438</v>
      </c>
      <c r="B186" s="126" t="n">
        <v>-7750</v>
      </c>
      <c r="C186" s="125" t="s">
        <v>35</v>
      </c>
      <c r="D186" s="0" t="s">
        <v>38</v>
      </c>
      <c r="E186" s="0" t="n">
        <v>26125</v>
      </c>
    </row>
    <row r="187" customFormat="false" ht="12.75" hidden="false" customHeight="false" outlineLevel="0" collapsed="false">
      <c r="A187" s="125" t="n">
        <v>37469</v>
      </c>
      <c r="B187" s="126" t="n">
        <v>4027.21</v>
      </c>
      <c r="C187" s="125" t="s">
        <v>49</v>
      </c>
      <c r="D187" s="125" t="s">
        <v>62</v>
      </c>
      <c r="E187" s="127" t="n">
        <v>101073</v>
      </c>
    </row>
    <row r="188" customFormat="false" ht="12.75" hidden="false" customHeight="false" outlineLevel="0" collapsed="false">
      <c r="A188" s="125" t="n">
        <v>37469</v>
      </c>
      <c r="B188" s="126" t="n">
        <v>24490</v>
      </c>
      <c r="C188" s="125" t="s">
        <v>49</v>
      </c>
      <c r="D188" s="125" t="s">
        <v>62</v>
      </c>
      <c r="E188" s="127" t="n">
        <v>101021</v>
      </c>
      <c r="F188" s="126"/>
      <c r="G188" s="128"/>
      <c r="H188" s="128"/>
      <c r="I188" s="129"/>
      <c r="J188" s="126"/>
    </row>
    <row r="189" customFormat="false" ht="12.75" hidden="false" customHeight="false" outlineLevel="0" collapsed="false">
      <c r="A189" s="125" t="n">
        <v>37469</v>
      </c>
      <c r="B189" s="126" t="n">
        <v>-7750</v>
      </c>
      <c r="C189" s="125" t="s">
        <v>35</v>
      </c>
      <c r="D189" s="0" t="s">
        <v>38</v>
      </c>
      <c r="E189" s="0" t="n">
        <v>26125</v>
      </c>
    </row>
    <row r="190" customFormat="false" ht="12.75" hidden="false" customHeight="false" outlineLevel="0" collapsed="false">
      <c r="A190" s="125" t="n">
        <v>37500</v>
      </c>
      <c r="B190" s="126" t="n">
        <v>3897.3</v>
      </c>
      <c r="C190" s="125" t="s">
        <v>49</v>
      </c>
      <c r="D190" s="125" t="s">
        <v>62</v>
      </c>
      <c r="E190" s="127" t="n">
        <v>101073</v>
      </c>
    </row>
    <row r="191" customFormat="false" ht="12.75" hidden="false" customHeight="false" outlineLevel="0" collapsed="false">
      <c r="A191" s="125" t="n">
        <v>37500</v>
      </c>
      <c r="B191" s="126" t="n">
        <v>23700</v>
      </c>
      <c r="C191" s="125" t="s">
        <v>49</v>
      </c>
      <c r="D191" s="125" t="s">
        <v>62</v>
      </c>
      <c r="E191" s="127" t="n">
        <v>101021</v>
      </c>
      <c r="F191" s="126"/>
      <c r="G191" s="128"/>
      <c r="H191" s="128"/>
      <c r="I191" s="129"/>
      <c r="J191" s="126"/>
    </row>
    <row r="192" customFormat="false" ht="12.75" hidden="false" customHeight="false" outlineLevel="0" collapsed="false">
      <c r="A192" s="125" t="n">
        <v>37500</v>
      </c>
      <c r="B192" s="126" t="n">
        <v>-7500</v>
      </c>
      <c r="C192" s="125" t="s">
        <v>35</v>
      </c>
      <c r="D192" s="0" t="s">
        <v>38</v>
      </c>
      <c r="E192" s="0" t="n">
        <v>26125</v>
      </c>
    </row>
    <row r="193" customFormat="false" ht="12.75" hidden="false" customHeight="false" outlineLevel="0" collapsed="false">
      <c r="A193" s="125" t="n">
        <v>37530</v>
      </c>
      <c r="B193" s="126" t="n">
        <v>4027.21</v>
      </c>
      <c r="C193" s="125" t="s">
        <v>49</v>
      </c>
      <c r="D193" s="125" t="s">
        <v>62</v>
      </c>
      <c r="E193" s="127" t="n">
        <v>101073</v>
      </c>
    </row>
    <row r="194" customFormat="false" ht="12.75" hidden="false" customHeight="false" outlineLevel="0" collapsed="false">
      <c r="A194" s="125" t="n">
        <v>37530</v>
      </c>
      <c r="B194" s="126" t="n">
        <v>24490</v>
      </c>
      <c r="C194" s="125" t="s">
        <v>49</v>
      </c>
      <c r="D194" s="125" t="s">
        <v>62</v>
      </c>
      <c r="E194" s="127" t="n">
        <v>101021</v>
      </c>
      <c r="F194" s="126"/>
      <c r="G194" s="128"/>
      <c r="H194" s="128"/>
      <c r="I194" s="129"/>
      <c r="J194" s="126"/>
    </row>
    <row r="195" customFormat="false" ht="12.75" hidden="false" customHeight="false" outlineLevel="0" collapsed="false">
      <c r="A195" s="125" t="n">
        <v>37530</v>
      </c>
      <c r="B195" s="126" t="n">
        <v>-7750</v>
      </c>
      <c r="C195" s="125" t="s">
        <v>35</v>
      </c>
      <c r="D195" s="0" t="s">
        <v>38</v>
      </c>
      <c r="E195" s="0" t="n">
        <v>26125</v>
      </c>
    </row>
    <row r="196" customFormat="false" ht="12.75" hidden="false" customHeight="false" outlineLevel="0" collapsed="false">
      <c r="A196" s="125" t="n">
        <v>37561</v>
      </c>
      <c r="B196" s="126" t="n">
        <v>3897.3</v>
      </c>
      <c r="C196" s="125" t="s">
        <v>49</v>
      </c>
      <c r="D196" s="125" t="s">
        <v>62</v>
      </c>
      <c r="E196" s="127" t="n">
        <v>101073</v>
      </c>
    </row>
    <row r="197" customFormat="false" ht="12.75" hidden="false" customHeight="false" outlineLevel="0" collapsed="false">
      <c r="A197" s="125" t="n">
        <v>37561</v>
      </c>
      <c r="B197" s="126" t="n">
        <v>23700</v>
      </c>
      <c r="C197" s="125" t="s">
        <v>49</v>
      </c>
      <c r="D197" s="125" t="s">
        <v>62</v>
      </c>
      <c r="E197" s="127" t="n">
        <v>101021</v>
      </c>
      <c r="F197" s="126"/>
      <c r="G197" s="128"/>
      <c r="H197" s="128"/>
      <c r="I197" s="129"/>
      <c r="J197" s="126"/>
    </row>
    <row r="198" customFormat="false" ht="12.75" hidden="false" customHeight="false" outlineLevel="0" collapsed="false">
      <c r="A198" s="125" t="n">
        <v>37561</v>
      </c>
      <c r="B198" s="126" t="n">
        <v>-7500</v>
      </c>
      <c r="C198" s="125" t="s">
        <v>35</v>
      </c>
      <c r="D198" s="0" t="s">
        <v>38</v>
      </c>
      <c r="E198" s="0" t="n">
        <v>26125</v>
      </c>
    </row>
    <row r="199" customFormat="false" ht="12.75" hidden="false" customHeight="false" outlineLevel="0" collapsed="false">
      <c r="A199" s="125"/>
      <c r="B199" s="126"/>
      <c r="C199" s="125"/>
    </row>
    <row r="200" customFormat="false" ht="12.75" hidden="false" customHeight="false" outlineLevel="0" collapsed="false">
      <c r="A200" s="125" t="n">
        <v>37591</v>
      </c>
      <c r="B200" s="126" t="n">
        <v>4027.21</v>
      </c>
      <c r="C200" s="125" t="s">
        <v>49</v>
      </c>
      <c r="D200" s="125" t="s">
        <v>62</v>
      </c>
      <c r="E200" s="127" t="n">
        <v>101073</v>
      </c>
    </row>
    <row r="201" customFormat="false" ht="12.75" hidden="false" customHeight="false" outlineLevel="0" collapsed="false">
      <c r="A201" s="125" t="n">
        <v>37591</v>
      </c>
      <c r="B201" s="126" t="n">
        <v>24490</v>
      </c>
      <c r="C201" s="125" t="s">
        <v>49</v>
      </c>
      <c r="D201" s="125" t="s">
        <v>62</v>
      </c>
      <c r="E201" s="127" t="n">
        <v>101021</v>
      </c>
      <c r="F201" s="126"/>
      <c r="G201" s="128"/>
      <c r="H201" s="128"/>
      <c r="I201" s="129"/>
      <c r="J201" s="126"/>
    </row>
    <row r="202" customFormat="false" ht="12.75" hidden="false" customHeight="false" outlineLevel="0" collapsed="false">
      <c r="A202" s="125" t="n">
        <v>37591</v>
      </c>
      <c r="B202" s="126" t="n">
        <v>-7750</v>
      </c>
      <c r="C202" s="125" t="s">
        <v>35</v>
      </c>
      <c r="D202" s="0" t="s">
        <v>38</v>
      </c>
      <c r="E202" s="0" t="n">
        <v>26125</v>
      </c>
    </row>
    <row r="203" customFormat="false" ht="12.75" hidden="false" customHeight="false" outlineLevel="0" collapsed="false">
      <c r="A203" s="125"/>
      <c r="B203" s="126" t="n">
        <f aca="false">SUM(B200:B202)</f>
        <v>20767.21</v>
      </c>
      <c r="C203" s="125"/>
    </row>
    <row r="204" customFormat="false" ht="12.75" hidden="false" customHeight="false" outlineLevel="0" collapsed="false">
      <c r="A204" s="125" t="n">
        <v>37622</v>
      </c>
      <c r="B204" s="126" t="n">
        <v>4027.21</v>
      </c>
      <c r="C204" s="125" t="s">
        <v>49</v>
      </c>
      <c r="D204" s="125" t="s">
        <v>62</v>
      </c>
      <c r="E204" s="127" t="n">
        <v>101073</v>
      </c>
    </row>
    <row r="205" customFormat="false" ht="12.75" hidden="false" customHeight="false" outlineLevel="0" collapsed="false">
      <c r="A205" s="125" t="n">
        <v>37622</v>
      </c>
      <c r="B205" s="126" t="n">
        <v>23265.5</v>
      </c>
      <c r="C205" s="125" t="s">
        <v>49</v>
      </c>
      <c r="D205" s="125" t="s">
        <v>62</v>
      </c>
      <c r="E205" s="127" t="n">
        <v>101021</v>
      </c>
      <c r="G205" s="128"/>
      <c r="H205" s="128"/>
      <c r="I205" s="129"/>
      <c r="J205" s="126"/>
    </row>
    <row r="206" customFormat="false" ht="12.75" hidden="false" customHeight="false" outlineLevel="0" collapsed="false">
      <c r="A206" s="125" t="n">
        <v>37622</v>
      </c>
      <c r="B206" s="126" t="n">
        <v>-7750</v>
      </c>
      <c r="C206" s="125" t="s">
        <v>35</v>
      </c>
      <c r="D206" s="0" t="s">
        <v>38</v>
      </c>
      <c r="E206" s="0" t="n">
        <v>26125</v>
      </c>
    </row>
    <row r="207" customFormat="false" ht="12.75" hidden="false" customHeight="false" outlineLevel="0" collapsed="false">
      <c r="A207" s="125"/>
      <c r="B207" s="126" t="n">
        <f aca="false">SUM(B204:B206)</f>
        <v>19542.71</v>
      </c>
      <c r="C207" s="125"/>
    </row>
    <row r="208" customFormat="false" ht="12.75" hidden="false" customHeight="false" outlineLevel="0" collapsed="false">
      <c r="A208" s="125" t="n">
        <v>37653</v>
      </c>
      <c r="B208" s="126" t="n">
        <v>3637.48</v>
      </c>
      <c r="C208" s="125" t="s">
        <v>49</v>
      </c>
      <c r="D208" s="125" t="s">
        <v>62</v>
      </c>
      <c r="E208" s="127" t="n">
        <v>101073</v>
      </c>
    </row>
    <row r="209" customFormat="false" ht="12.75" hidden="false" customHeight="false" outlineLevel="0" collapsed="false">
      <c r="A209" s="125" t="n">
        <v>37653</v>
      </c>
      <c r="B209" s="126" t="n">
        <v>21014</v>
      </c>
      <c r="C209" s="125" t="s">
        <v>49</v>
      </c>
      <c r="D209" s="125" t="s">
        <v>62</v>
      </c>
      <c r="E209" s="127" t="n">
        <v>101021</v>
      </c>
      <c r="G209" s="128"/>
      <c r="H209" s="128"/>
      <c r="I209" s="129"/>
      <c r="J209" s="126"/>
    </row>
    <row r="210" customFormat="false" ht="12.75" hidden="false" customHeight="false" outlineLevel="0" collapsed="false">
      <c r="A210" s="125" t="n">
        <v>37653</v>
      </c>
      <c r="B210" s="126" t="n">
        <v>-7000</v>
      </c>
      <c r="C210" s="125" t="s">
        <v>35</v>
      </c>
      <c r="D210" s="0" t="s">
        <v>38</v>
      </c>
      <c r="E210" s="0" t="n">
        <v>26125</v>
      </c>
    </row>
    <row r="211" customFormat="false" ht="12.75" hidden="false" customHeight="false" outlineLevel="0" collapsed="false">
      <c r="A211" s="125"/>
      <c r="B211" s="126" t="n">
        <f aca="false">SUM(B208:B210)</f>
        <v>17651.48</v>
      </c>
      <c r="C211" s="125"/>
    </row>
    <row r="212" customFormat="false" ht="12.75" hidden="false" customHeight="false" outlineLevel="0" collapsed="false">
      <c r="A212" s="125" t="n">
        <v>37681</v>
      </c>
      <c r="B212" s="126" t="n">
        <v>4027.21</v>
      </c>
      <c r="C212" s="125" t="s">
        <v>49</v>
      </c>
      <c r="D212" s="125" t="s">
        <v>62</v>
      </c>
      <c r="E212" s="127" t="n">
        <v>101073</v>
      </c>
    </row>
    <row r="213" customFormat="false" ht="12.75" hidden="false" customHeight="false" outlineLevel="0" collapsed="false">
      <c r="A213" s="125" t="n">
        <v>37681</v>
      </c>
      <c r="B213" s="126" t="n">
        <v>23265.5</v>
      </c>
      <c r="C213" s="125" t="s">
        <v>49</v>
      </c>
      <c r="D213" s="125" t="s">
        <v>62</v>
      </c>
      <c r="E213" s="127" t="n">
        <v>101021</v>
      </c>
      <c r="G213" s="128"/>
      <c r="H213" s="128"/>
      <c r="I213" s="129"/>
      <c r="J213" s="126"/>
    </row>
    <row r="214" customFormat="false" ht="12.75" hidden="false" customHeight="false" outlineLevel="0" collapsed="false">
      <c r="A214" s="125" t="n">
        <v>37681</v>
      </c>
      <c r="B214" s="126" t="n">
        <v>-7750</v>
      </c>
      <c r="C214" s="125" t="s">
        <v>35</v>
      </c>
      <c r="D214" s="0" t="s">
        <v>38</v>
      </c>
      <c r="E214" s="0" t="n">
        <v>26125</v>
      </c>
    </row>
    <row r="215" customFormat="false" ht="12.75" hidden="false" customHeight="false" outlineLevel="0" collapsed="false">
      <c r="A215" s="125"/>
      <c r="B215" s="126"/>
      <c r="C215" s="125"/>
    </row>
    <row r="216" customFormat="false" ht="12.75" hidden="false" customHeight="false" outlineLevel="0" collapsed="false">
      <c r="A216" s="125" t="n">
        <v>37712</v>
      </c>
      <c r="B216" s="126" t="n">
        <v>3897.3</v>
      </c>
      <c r="C216" s="125" t="s">
        <v>49</v>
      </c>
      <c r="D216" s="125" t="s">
        <v>62</v>
      </c>
      <c r="E216" s="127" t="n">
        <v>101073</v>
      </c>
    </row>
    <row r="217" customFormat="false" ht="12.75" hidden="false" customHeight="false" outlineLevel="0" collapsed="false">
      <c r="A217" s="125" t="n">
        <v>37712</v>
      </c>
      <c r="B217" s="126" t="n">
        <v>22515</v>
      </c>
      <c r="C217" s="125" t="s">
        <v>49</v>
      </c>
      <c r="D217" s="125" t="s">
        <v>62</v>
      </c>
      <c r="E217" s="127" t="n">
        <v>101021</v>
      </c>
      <c r="G217" s="128"/>
      <c r="H217" s="128"/>
      <c r="I217" s="129"/>
      <c r="J217" s="126"/>
    </row>
    <row r="218" customFormat="false" ht="12.75" hidden="false" customHeight="false" outlineLevel="0" collapsed="false">
      <c r="A218" s="125" t="n">
        <v>37712</v>
      </c>
      <c r="B218" s="126" t="n">
        <v>-7500</v>
      </c>
      <c r="C218" s="125" t="s">
        <v>35</v>
      </c>
      <c r="D218" s="0" t="s">
        <v>38</v>
      </c>
      <c r="E218" s="0" t="n">
        <v>26125</v>
      </c>
    </row>
    <row r="219" customFormat="false" ht="12.75" hidden="false" customHeight="false" outlineLevel="0" collapsed="false">
      <c r="A219" s="125"/>
      <c r="B219" s="126" t="n">
        <f aca="false">SUM(B216:B218)</f>
        <v>18912.3</v>
      </c>
      <c r="C219" s="125"/>
    </row>
    <row r="220" customFormat="false" ht="12.75" hidden="false" customHeight="false" outlineLevel="0" collapsed="false">
      <c r="A220" s="125" t="n">
        <v>37742</v>
      </c>
      <c r="B220" s="126" t="n">
        <v>4027.21</v>
      </c>
      <c r="C220" s="125" t="s">
        <v>49</v>
      </c>
      <c r="D220" s="125" t="s">
        <v>62</v>
      </c>
      <c r="E220" s="127" t="n">
        <v>101073</v>
      </c>
    </row>
    <row r="221" customFormat="false" ht="12.75" hidden="false" customHeight="false" outlineLevel="0" collapsed="false">
      <c r="A221" s="125" t="n">
        <v>37742</v>
      </c>
      <c r="B221" s="126" t="n">
        <v>23265.5</v>
      </c>
      <c r="C221" s="125" t="s">
        <v>49</v>
      </c>
      <c r="D221" s="125" t="s">
        <v>62</v>
      </c>
      <c r="E221" s="127" t="n">
        <v>101021</v>
      </c>
      <c r="G221" s="128"/>
      <c r="H221" s="128"/>
      <c r="I221" s="129"/>
      <c r="J221" s="126"/>
    </row>
    <row r="222" customFormat="false" ht="12.75" hidden="false" customHeight="false" outlineLevel="0" collapsed="false">
      <c r="A222" s="125" t="n">
        <v>37742</v>
      </c>
      <c r="B222" s="126" t="n">
        <v>-7750</v>
      </c>
      <c r="C222" s="125" t="s">
        <v>35</v>
      </c>
      <c r="D222" s="0" t="s">
        <v>38</v>
      </c>
      <c r="E222" s="0" t="n">
        <v>26125</v>
      </c>
    </row>
    <row r="223" customFormat="false" ht="12.75" hidden="false" customHeight="false" outlineLevel="0" collapsed="false">
      <c r="A223" s="125" t="n">
        <v>37773</v>
      </c>
      <c r="B223" s="126" t="n">
        <v>3897.3</v>
      </c>
      <c r="C223" s="125" t="s">
        <v>49</v>
      </c>
      <c r="D223" s="125" t="s">
        <v>62</v>
      </c>
      <c r="E223" s="127" t="n">
        <v>101073</v>
      </c>
    </row>
    <row r="224" customFormat="false" ht="12.75" hidden="false" customHeight="false" outlineLevel="0" collapsed="false">
      <c r="A224" s="125" t="n">
        <v>37773</v>
      </c>
      <c r="B224" s="126" t="n">
        <v>22515</v>
      </c>
      <c r="C224" s="125" t="s">
        <v>49</v>
      </c>
      <c r="D224" s="125" t="s">
        <v>62</v>
      </c>
      <c r="E224" s="127" t="n">
        <v>101021</v>
      </c>
      <c r="G224" s="128"/>
      <c r="H224" s="128"/>
      <c r="I224" s="129"/>
      <c r="J224" s="126"/>
    </row>
    <row r="225" customFormat="false" ht="12.75" hidden="false" customHeight="false" outlineLevel="0" collapsed="false">
      <c r="A225" s="125" t="n">
        <v>37803</v>
      </c>
      <c r="B225" s="126" t="n">
        <v>4027.21</v>
      </c>
      <c r="C225" s="125" t="s">
        <v>49</v>
      </c>
      <c r="D225" s="125" t="s">
        <v>62</v>
      </c>
      <c r="E225" s="127" t="n">
        <v>101073</v>
      </c>
    </row>
    <row r="226" customFormat="false" ht="12.75" hidden="false" customHeight="false" outlineLevel="0" collapsed="false">
      <c r="A226" s="125" t="n">
        <v>37803</v>
      </c>
      <c r="B226" s="126" t="n">
        <v>23265.5</v>
      </c>
      <c r="C226" s="125" t="s">
        <v>49</v>
      </c>
      <c r="D226" s="125" t="s">
        <v>62</v>
      </c>
      <c r="E226" s="127" t="n">
        <v>101021</v>
      </c>
      <c r="G226" s="128"/>
      <c r="H226" s="128"/>
      <c r="I226" s="129"/>
      <c r="J226" s="126"/>
    </row>
    <row r="227" customFormat="false" ht="12.75" hidden="false" customHeight="false" outlineLevel="0" collapsed="false">
      <c r="A227" s="125" t="n">
        <v>37834</v>
      </c>
      <c r="B227" s="126" t="n">
        <v>4027.21</v>
      </c>
      <c r="C227" s="125" t="s">
        <v>49</v>
      </c>
      <c r="D227" s="125" t="s">
        <v>62</v>
      </c>
      <c r="E227" s="127" t="n">
        <v>101073</v>
      </c>
    </row>
    <row r="228" customFormat="false" ht="12.75" hidden="false" customHeight="false" outlineLevel="0" collapsed="false">
      <c r="A228" s="125" t="n">
        <v>37834</v>
      </c>
      <c r="B228" s="126" t="n">
        <v>23265.5</v>
      </c>
      <c r="C228" s="125" t="s">
        <v>49</v>
      </c>
      <c r="D228" s="125" t="s">
        <v>62</v>
      </c>
      <c r="E228" s="127" t="n">
        <v>101021</v>
      </c>
      <c r="G228" s="128"/>
      <c r="H228" s="128"/>
      <c r="I228" s="129"/>
      <c r="J228" s="126"/>
    </row>
    <row r="229" customFormat="false" ht="12.75" hidden="false" customHeight="false" outlineLevel="0" collapsed="false">
      <c r="A229" s="125" t="n">
        <v>37865</v>
      </c>
      <c r="B229" s="126" t="n">
        <v>3897.3</v>
      </c>
      <c r="C229" s="125" t="s">
        <v>49</v>
      </c>
      <c r="D229" s="125" t="s">
        <v>62</v>
      </c>
      <c r="E229" s="127" t="n">
        <v>101073</v>
      </c>
    </row>
    <row r="230" customFormat="false" ht="12.75" hidden="false" customHeight="false" outlineLevel="0" collapsed="false">
      <c r="A230" s="125" t="n">
        <v>37865</v>
      </c>
      <c r="B230" s="126" t="n">
        <v>22515</v>
      </c>
      <c r="C230" s="125" t="s">
        <v>49</v>
      </c>
      <c r="D230" s="125" t="s">
        <v>62</v>
      </c>
      <c r="E230" s="127" t="n">
        <v>101021</v>
      </c>
      <c r="G230" s="128"/>
      <c r="H230" s="128"/>
      <c r="I230" s="129"/>
      <c r="J230" s="126"/>
    </row>
    <row r="231" customFormat="false" ht="12.75" hidden="false" customHeight="false" outlineLevel="0" collapsed="false">
      <c r="A231" s="125" t="n">
        <v>37895</v>
      </c>
      <c r="B231" s="126" t="n">
        <v>4027.21</v>
      </c>
      <c r="C231" s="125" t="s">
        <v>49</v>
      </c>
      <c r="D231" s="125" t="s">
        <v>62</v>
      </c>
      <c r="E231" s="127" t="n">
        <v>101073</v>
      </c>
    </row>
    <row r="232" customFormat="false" ht="12.75" hidden="false" customHeight="false" outlineLevel="0" collapsed="false">
      <c r="A232" s="125" t="n">
        <v>37895</v>
      </c>
      <c r="B232" s="126" t="n">
        <v>23265.5</v>
      </c>
      <c r="C232" s="125" t="s">
        <v>49</v>
      </c>
      <c r="D232" s="125" t="s">
        <v>62</v>
      </c>
      <c r="E232" s="127" t="n">
        <v>101021</v>
      </c>
      <c r="G232" s="128"/>
      <c r="H232" s="128"/>
      <c r="I232" s="129"/>
      <c r="J232" s="126"/>
    </row>
    <row r="233" customFormat="false" ht="12.75" hidden="false" customHeight="false" outlineLevel="0" collapsed="false">
      <c r="A233" s="125"/>
      <c r="B233" s="126"/>
      <c r="C233" s="125"/>
      <c r="D233" s="125"/>
      <c r="E233" s="127"/>
      <c r="G233" s="128"/>
      <c r="H233" s="128"/>
      <c r="I233" s="129"/>
      <c r="J233" s="126"/>
    </row>
    <row r="234" customFormat="false" ht="12.75" hidden="false" customHeight="false" outlineLevel="0" collapsed="false">
      <c r="A234" s="125" t="n">
        <v>37926</v>
      </c>
      <c r="B234" s="126" t="n">
        <v>3897.3</v>
      </c>
      <c r="C234" s="125" t="s">
        <v>49</v>
      </c>
      <c r="D234" s="125" t="s">
        <v>62</v>
      </c>
      <c r="E234" s="127" t="n">
        <v>101073</v>
      </c>
    </row>
    <row r="235" customFormat="false" ht="12.75" hidden="false" customHeight="false" outlineLevel="0" collapsed="false">
      <c r="A235" s="125" t="n">
        <v>37926</v>
      </c>
      <c r="B235" s="126" t="n">
        <v>22515</v>
      </c>
      <c r="C235" s="125" t="s">
        <v>49</v>
      </c>
      <c r="D235" s="125" t="s">
        <v>62</v>
      </c>
      <c r="E235" s="127" t="n">
        <v>101021</v>
      </c>
      <c r="G235" s="128"/>
      <c r="H235" s="128"/>
      <c r="I235" s="129"/>
      <c r="J235" s="126"/>
    </row>
    <row r="236" customFormat="false" ht="12.75" hidden="false" customHeight="false" outlineLevel="0" collapsed="false">
      <c r="A236" s="125"/>
      <c r="B236" s="126" t="n">
        <f aca="false">SUM(B234:B235)</f>
        <v>26412.3</v>
      </c>
      <c r="C236" s="125"/>
      <c r="D236" s="125"/>
      <c r="E236" s="127"/>
      <c r="G236" s="128"/>
      <c r="H236" s="128"/>
      <c r="I236" s="129"/>
      <c r="J236" s="126"/>
    </row>
    <row r="237" customFormat="false" ht="12.75" hidden="false" customHeight="false" outlineLevel="0" collapsed="false">
      <c r="A237" s="125" t="n">
        <v>37956</v>
      </c>
      <c r="B237" s="126" t="n">
        <v>4027.21</v>
      </c>
      <c r="C237" s="125" t="s">
        <v>49</v>
      </c>
      <c r="D237" s="125" t="s">
        <v>62</v>
      </c>
      <c r="E237" s="127" t="n">
        <v>101073</v>
      </c>
    </row>
    <row r="238" customFormat="false" ht="12.75" hidden="false" customHeight="false" outlineLevel="0" collapsed="false">
      <c r="A238" s="125" t="n">
        <v>37956</v>
      </c>
      <c r="B238" s="126" t="n">
        <v>23265.5</v>
      </c>
      <c r="C238" s="125" t="s">
        <v>49</v>
      </c>
      <c r="D238" s="125" t="s">
        <v>62</v>
      </c>
      <c r="E238" s="127" t="n">
        <v>101021</v>
      </c>
      <c r="G238" s="128"/>
      <c r="H238" s="128"/>
      <c r="I238" s="129"/>
      <c r="J238" s="126"/>
    </row>
    <row r="239" customFormat="false" ht="12.75" hidden="false" customHeight="false" outlineLevel="0" collapsed="false">
      <c r="A239" s="125"/>
      <c r="B239" s="126" t="n">
        <f aca="false">SUM(B237:B238)</f>
        <v>27292.71</v>
      </c>
      <c r="C239" s="125"/>
      <c r="D239" s="125"/>
      <c r="E239" s="127"/>
      <c r="G239" s="128"/>
      <c r="H239" s="128"/>
      <c r="I239" s="129"/>
      <c r="J239" s="126"/>
    </row>
    <row r="240" customFormat="false" ht="12.75" hidden="false" customHeight="false" outlineLevel="0" collapsed="false">
      <c r="A240" s="125" t="n">
        <v>37987</v>
      </c>
      <c r="B240" s="126" t="n">
        <v>3661.1</v>
      </c>
      <c r="C240" s="125" t="s">
        <v>49</v>
      </c>
      <c r="D240" s="125" t="s">
        <v>62</v>
      </c>
      <c r="E240" s="127" t="n">
        <v>101073</v>
      </c>
    </row>
    <row r="241" customFormat="false" ht="12.75" hidden="false" customHeight="false" outlineLevel="0" collapsed="false">
      <c r="A241" s="125" t="n">
        <v>37987</v>
      </c>
      <c r="B241" s="126" t="n">
        <v>23265.5</v>
      </c>
      <c r="C241" s="125" t="s">
        <v>49</v>
      </c>
      <c r="D241" s="125" t="s">
        <v>62</v>
      </c>
      <c r="E241" s="127" t="n">
        <v>101021</v>
      </c>
      <c r="G241" s="128"/>
      <c r="H241" s="128"/>
      <c r="I241" s="129"/>
      <c r="J241" s="126"/>
    </row>
    <row r="242" customFormat="false" ht="12.75" hidden="false" customHeight="false" outlineLevel="0" collapsed="false">
      <c r="A242" s="125"/>
      <c r="B242" s="126" t="n">
        <f aca="false">SUM(B240:B241)</f>
        <v>26926.6</v>
      </c>
      <c r="C242" s="125"/>
      <c r="D242" s="125"/>
      <c r="E242" s="127"/>
      <c r="G242" s="128"/>
      <c r="H242" s="128"/>
      <c r="I242" s="129"/>
      <c r="J242" s="126"/>
    </row>
    <row r="243" customFormat="false" ht="12.75" hidden="false" customHeight="false" outlineLevel="0" collapsed="false">
      <c r="A243" s="125" t="n">
        <v>38018</v>
      </c>
      <c r="B243" s="126" t="n">
        <v>3306.8</v>
      </c>
      <c r="C243" s="125" t="s">
        <v>49</v>
      </c>
      <c r="D243" s="125" t="s">
        <v>62</v>
      </c>
      <c r="E243" s="127" t="n">
        <v>101073</v>
      </c>
    </row>
    <row r="244" customFormat="false" ht="12.75" hidden="false" customHeight="false" outlineLevel="0" collapsed="false">
      <c r="A244" s="125" t="n">
        <v>38018</v>
      </c>
      <c r="B244" s="126" t="n">
        <v>21014</v>
      </c>
      <c r="C244" s="125" t="s">
        <v>49</v>
      </c>
      <c r="D244" s="125" t="s">
        <v>62</v>
      </c>
      <c r="E244" s="127" t="n">
        <v>101021</v>
      </c>
      <c r="G244" s="128"/>
      <c r="H244" s="128"/>
      <c r="I244" s="129"/>
      <c r="J244" s="126"/>
    </row>
    <row r="245" customFormat="false" ht="12.75" hidden="false" customHeight="false" outlineLevel="0" collapsed="false">
      <c r="A245" s="125"/>
      <c r="B245" s="126" t="n">
        <f aca="false">SUM(B243:B244)</f>
        <v>24320.8</v>
      </c>
      <c r="C245" s="125"/>
      <c r="D245" s="125"/>
      <c r="E245" s="127"/>
      <c r="G245" s="128"/>
      <c r="H245" s="128"/>
      <c r="I245" s="129"/>
      <c r="J245" s="126"/>
    </row>
    <row r="246" customFormat="false" ht="12.75" hidden="false" customHeight="false" outlineLevel="0" collapsed="false">
      <c r="A246" s="125" t="n">
        <v>38047</v>
      </c>
      <c r="B246" s="126" t="n">
        <v>3661.1</v>
      </c>
      <c r="C246" s="125" t="s">
        <v>49</v>
      </c>
      <c r="D246" s="125" t="s">
        <v>62</v>
      </c>
      <c r="E246" s="127" t="n">
        <v>101073</v>
      </c>
    </row>
    <row r="247" customFormat="false" ht="12.75" hidden="false" customHeight="false" outlineLevel="0" collapsed="false">
      <c r="A247" s="125" t="n">
        <v>38047</v>
      </c>
      <c r="B247" s="126" t="n">
        <v>23265.5</v>
      </c>
      <c r="C247" s="125" t="s">
        <v>49</v>
      </c>
      <c r="D247" s="125" t="s">
        <v>62</v>
      </c>
      <c r="E247" s="127" t="n">
        <v>101021</v>
      </c>
      <c r="G247" s="128"/>
      <c r="H247" s="128"/>
      <c r="I247" s="129"/>
      <c r="J247" s="126"/>
    </row>
    <row r="248" customFormat="false" ht="12.75" hidden="false" customHeight="false" outlineLevel="0" collapsed="false">
      <c r="A248" s="125"/>
      <c r="B248" s="126"/>
      <c r="C248" s="125"/>
      <c r="D248" s="125"/>
      <c r="E248" s="127"/>
      <c r="G248" s="128"/>
      <c r="H248" s="128"/>
      <c r="I248" s="129"/>
      <c r="J248" s="126"/>
    </row>
    <row r="249" customFormat="false" ht="12.75" hidden="false" customHeight="false" outlineLevel="0" collapsed="false">
      <c r="A249" s="125" t="n">
        <v>38078</v>
      </c>
      <c r="B249" s="126" t="n">
        <v>3543</v>
      </c>
      <c r="C249" s="125" t="s">
        <v>49</v>
      </c>
      <c r="D249" s="125" t="s">
        <v>62</v>
      </c>
      <c r="E249" s="127" t="n">
        <v>101073</v>
      </c>
    </row>
    <row r="250" customFormat="false" ht="12.75" hidden="false" customHeight="false" outlineLevel="0" collapsed="false">
      <c r="A250" s="125" t="n">
        <v>38078</v>
      </c>
      <c r="B250" s="126" t="n">
        <v>22515</v>
      </c>
      <c r="C250" s="125" t="s">
        <v>49</v>
      </c>
      <c r="D250" s="125" t="s">
        <v>62</v>
      </c>
      <c r="E250" s="127" t="n">
        <v>101021</v>
      </c>
      <c r="G250" s="128"/>
      <c r="H250" s="128"/>
      <c r="I250" s="129"/>
      <c r="J250" s="126"/>
    </row>
    <row r="251" customFormat="false" ht="12.75" hidden="false" customHeight="false" outlineLevel="0" collapsed="false">
      <c r="A251" s="125"/>
      <c r="B251" s="126" t="n">
        <f aca="false">SUM(B249:B250)</f>
        <v>26058</v>
      </c>
      <c r="C251" s="125"/>
      <c r="D251" s="125"/>
      <c r="E251" s="127"/>
      <c r="G251" s="128"/>
      <c r="H251" s="128"/>
      <c r="I251" s="129"/>
      <c r="J251" s="126"/>
    </row>
    <row r="252" customFormat="false" ht="12.75" hidden="false" customHeight="false" outlineLevel="0" collapsed="false">
      <c r="A252" s="125" t="n">
        <v>38108</v>
      </c>
      <c r="B252" s="126" t="n">
        <v>3661.1</v>
      </c>
      <c r="C252" s="125" t="s">
        <v>49</v>
      </c>
      <c r="D252" s="125" t="s">
        <v>62</v>
      </c>
      <c r="E252" s="127" t="n">
        <v>101073</v>
      </c>
    </row>
    <row r="253" customFormat="false" ht="12.75" hidden="false" customHeight="false" outlineLevel="0" collapsed="false">
      <c r="A253" s="125" t="n">
        <v>38108</v>
      </c>
      <c r="B253" s="126" t="n">
        <v>23265.5</v>
      </c>
      <c r="C253" s="125" t="s">
        <v>49</v>
      </c>
      <c r="D253" s="125" t="s">
        <v>62</v>
      </c>
      <c r="E253" s="127" t="n">
        <v>101021</v>
      </c>
      <c r="G253" s="128"/>
      <c r="H253" s="128"/>
      <c r="I253" s="129"/>
      <c r="J253" s="126"/>
    </row>
    <row r="254" customFormat="false" ht="12.75" hidden="false" customHeight="false" outlineLevel="0" collapsed="false">
      <c r="A254" s="125" t="n">
        <v>38139</v>
      </c>
      <c r="B254" s="126" t="n">
        <v>3543</v>
      </c>
      <c r="C254" s="125" t="s">
        <v>49</v>
      </c>
      <c r="D254" s="125" t="s">
        <v>62</v>
      </c>
      <c r="E254" s="127" t="n">
        <v>101073</v>
      </c>
    </row>
    <row r="255" customFormat="false" ht="12.75" hidden="false" customHeight="false" outlineLevel="0" collapsed="false">
      <c r="A255" s="125" t="n">
        <v>38139</v>
      </c>
      <c r="B255" s="126" t="n">
        <v>22515</v>
      </c>
      <c r="C255" s="125" t="s">
        <v>49</v>
      </c>
      <c r="D255" s="125" t="s">
        <v>62</v>
      </c>
      <c r="E255" s="127" t="n">
        <v>101021</v>
      </c>
      <c r="G255" s="128"/>
      <c r="H255" s="128"/>
      <c r="I255" s="129"/>
      <c r="J255" s="126"/>
    </row>
    <row r="256" customFormat="false" ht="12.75" hidden="false" customHeight="false" outlineLevel="0" collapsed="false">
      <c r="A256" s="125" t="n">
        <v>38169</v>
      </c>
      <c r="B256" s="126" t="n">
        <v>3661.1</v>
      </c>
      <c r="C256" s="125" t="s">
        <v>49</v>
      </c>
      <c r="D256" s="125" t="s">
        <v>62</v>
      </c>
      <c r="E256" s="127" t="n">
        <v>101073</v>
      </c>
    </row>
    <row r="257" customFormat="false" ht="12.75" hidden="false" customHeight="false" outlineLevel="0" collapsed="false">
      <c r="A257" s="125" t="n">
        <v>38169</v>
      </c>
      <c r="B257" s="126" t="n">
        <v>23265.5</v>
      </c>
      <c r="C257" s="125" t="s">
        <v>49</v>
      </c>
      <c r="D257" s="125" t="s">
        <v>62</v>
      </c>
      <c r="E257" s="127" t="n">
        <v>101021</v>
      </c>
      <c r="G257" s="128"/>
      <c r="H257" s="128"/>
      <c r="I257" s="129"/>
      <c r="J257" s="126"/>
    </row>
    <row r="258" customFormat="false" ht="12.75" hidden="false" customHeight="false" outlineLevel="0" collapsed="false">
      <c r="A258" s="125" t="n">
        <v>38200</v>
      </c>
      <c r="B258" s="126" t="n">
        <v>3661.1</v>
      </c>
      <c r="C258" s="125" t="s">
        <v>49</v>
      </c>
      <c r="D258" s="125" t="s">
        <v>62</v>
      </c>
      <c r="E258" s="127" t="n">
        <v>101073</v>
      </c>
    </row>
    <row r="259" customFormat="false" ht="12.75" hidden="false" customHeight="false" outlineLevel="0" collapsed="false">
      <c r="A259" s="125" t="n">
        <v>38200</v>
      </c>
      <c r="B259" s="126" t="n">
        <v>23265.5</v>
      </c>
      <c r="C259" s="125" t="s">
        <v>49</v>
      </c>
      <c r="D259" s="125" t="s">
        <v>62</v>
      </c>
      <c r="E259" s="127" t="n">
        <v>101021</v>
      </c>
      <c r="G259" s="128"/>
      <c r="H259" s="128"/>
      <c r="I259" s="129"/>
      <c r="J259" s="126"/>
    </row>
    <row r="260" customFormat="false" ht="12.75" hidden="false" customHeight="false" outlineLevel="0" collapsed="false">
      <c r="A260" s="125" t="n">
        <v>38231</v>
      </c>
      <c r="B260" s="126" t="n">
        <v>3543</v>
      </c>
      <c r="C260" s="125" t="s">
        <v>49</v>
      </c>
      <c r="D260" s="125" t="s">
        <v>62</v>
      </c>
      <c r="E260" s="127" t="n">
        <v>101073</v>
      </c>
    </row>
    <row r="261" customFormat="false" ht="12.75" hidden="false" customHeight="false" outlineLevel="0" collapsed="false">
      <c r="A261" s="125" t="n">
        <v>38231</v>
      </c>
      <c r="B261" s="126" t="n">
        <v>22515</v>
      </c>
      <c r="C261" s="125" t="s">
        <v>49</v>
      </c>
      <c r="D261" s="125" t="s">
        <v>62</v>
      </c>
      <c r="E261" s="127" t="n">
        <v>101021</v>
      </c>
      <c r="G261" s="128"/>
      <c r="H261" s="128"/>
      <c r="I261" s="129"/>
      <c r="J261" s="126"/>
    </row>
    <row r="262" customFormat="false" ht="12.75" hidden="false" customHeight="false" outlineLevel="0" collapsed="false">
      <c r="A262" s="125" t="n">
        <v>38261</v>
      </c>
      <c r="B262" s="126" t="n">
        <v>3661.1</v>
      </c>
      <c r="C262" s="125" t="s">
        <v>49</v>
      </c>
      <c r="D262" s="125" t="s">
        <v>62</v>
      </c>
      <c r="E262" s="127" t="n">
        <v>101073</v>
      </c>
    </row>
    <row r="263" customFormat="false" ht="12.75" hidden="false" customHeight="false" outlineLevel="0" collapsed="false">
      <c r="A263" s="125" t="n">
        <v>38261</v>
      </c>
      <c r="B263" s="126" t="n">
        <v>23265.5</v>
      </c>
      <c r="C263" s="125" t="s">
        <v>49</v>
      </c>
      <c r="D263" s="125" t="s">
        <v>62</v>
      </c>
      <c r="E263" s="127" t="n">
        <v>101021</v>
      </c>
      <c r="G263" s="128"/>
      <c r="H263" s="128"/>
      <c r="I263" s="129"/>
      <c r="J263" s="126"/>
    </row>
    <row r="264" customFormat="false" ht="12.75" hidden="false" customHeight="false" outlineLevel="0" collapsed="false">
      <c r="A264" s="125" t="n">
        <v>38292</v>
      </c>
      <c r="B264" s="126" t="n">
        <v>3543</v>
      </c>
      <c r="C264" s="125" t="s">
        <v>49</v>
      </c>
      <c r="D264" s="125" t="s">
        <v>62</v>
      </c>
      <c r="E264" s="127" t="n">
        <v>101073</v>
      </c>
    </row>
    <row r="265" customFormat="false" ht="12.75" hidden="false" customHeight="false" outlineLevel="0" collapsed="false">
      <c r="A265" s="125" t="n">
        <v>38292</v>
      </c>
      <c r="B265" s="126" t="n">
        <v>22515</v>
      </c>
      <c r="C265" s="125" t="s">
        <v>49</v>
      </c>
      <c r="D265" s="125" t="s">
        <v>62</v>
      </c>
      <c r="E265" s="127" t="n">
        <v>101021</v>
      </c>
      <c r="G265" s="128"/>
      <c r="H265" s="128"/>
      <c r="I265" s="129"/>
      <c r="J265" s="126"/>
    </row>
    <row r="266" customFormat="false" ht="12.75" hidden="false" customHeight="false" outlineLevel="0" collapsed="false">
      <c r="A266" s="125" t="n">
        <v>38322</v>
      </c>
      <c r="B266" s="126" t="n">
        <v>3661.1</v>
      </c>
      <c r="C266" s="125" t="s">
        <v>49</v>
      </c>
      <c r="D266" s="125" t="s">
        <v>62</v>
      </c>
      <c r="E266" s="127" t="n">
        <v>101073</v>
      </c>
    </row>
    <row r="267" customFormat="false" ht="12.75" hidden="false" customHeight="false" outlineLevel="0" collapsed="false">
      <c r="A267" s="125" t="n">
        <v>38322</v>
      </c>
      <c r="B267" s="126" t="n">
        <v>23265.5</v>
      </c>
      <c r="C267" s="125" t="s">
        <v>49</v>
      </c>
      <c r="D267" s="125" t="s">
        <v>62</v>
      </c>
      <c r="E267" s="127" t="n">
        <v>101021</v>
      </c>
      <c r="G267" s="128"/>
      <c r="H267" s="128"/>
      <c r="I267" s="129"/>
      <c r="J267" s="126"/>
    </row>
    <row r="268" customFormat="false" ht="12.75" hidden="false" customHeight="false" outlineLevel="0" collapsed="false">
      <c r="A268" s="125"/>
      <c r="B268" s="126"/>
      <c r="C268" s="125"/>
      <c r="D268" s="125"/>
      <c r="E268" s="127"/>
      <c r="G268" s="128"/>
      <c r="H268" s="128"/>
      <c r="I268" s="129"/>
      <c r="J268" s="126"/>
    </row>
    <row r="269" customFormat="false" ht="12.75" hidden="false" customHeight="false" outlineLevel="0" collapsed="false">
      <c r="A269" s="125" t="n">
        <v>38353</v>
      </c>
      <c r="B269" s="126" t="n">
        <v>3661.1</v>
      </c>
      <c r="C269" s="125" t="s">
        <v>49</v>
      </c>
      <c r="D269" s="125" t="s">
        <v>62</v>
      </c>
      <c r="E269" s="127" t="n">
        <v>101073</v>
      </c>
    </row>
    <row r="270" customFormat="false" ht="12.75" hidden="false" customHeight="false" outlineLevel="0" collapsed="false">
      <c r="A270" s="125" t="n">
        <v>38353</v>
      </c>
      <c r="B270" s="126" t="n">
        <v>23265.5</v>
      </c>
      <c r="C270" s="125" t="s">
        <v>49</v>
      </c>
      <c r="D270" s="125" t="s">
        <v>62</v>
      </c>
      <c r="E270" s="127" t="n">
        <v>101021</v>
      </c>
      <c r="G270" s="128"/>
      <c r="H270" s="128"/>
      <c r="I270" s="129"/>
      <c r="J270" s="126"/>
    </row>
    <row r="271" customFormat="false" ht="12.75" hidden="false" customHeight="false" outlineLevel="0" collapsed="false">
      <c r="A271" s="125"/>
      <c r="B271" s="126" t="n">
        <f aca="false">SUM(B269:B270)</f>
        <v>26926.6</v>
      </c>
      <c r="C271" s="125"/>
      <c r="D271" s="125"/>
      <c r="E271" s="127"/>
      <c r="G271" s="128"/>
      <c r="H271" s="128"/>
      <c r="I271" s="129"/>
      <c r="J271" s="126"/>
    </row>
    <row r="272" customFormat="false" ht="12.75" hidden="false" customHeight="false" outlineLevel="0" collapsed="false">
      <c r="A272" s="125" t="n">
        <v>38384</v>
      </c>
      <c r="B272" s="126" t="n">
        <v>3306.8</v>
      </c>
      <c r="C272" s="125" t="s">
        <v>49</v>
      </c>
      <c r="D272" s="125" t="s">
        <v>62</v>
      </c>
      <c r="E272" s="127" t="n">
        <v>101073</v>
      </c>
    </row>
    <row r="273" customFormat="false" ht="12.75" hidden="false" customHeight="false" outlineLevel="0" collapsed="false">
      <c r="A273" s="125" t="n">
        <v>38384</v>
      </c>
      <c r="B273" s="126" t="n">
        <v>21014</v>
      </c>
      <c r="C273" s="125" t="s">
        <v>49</v>
      </c>
      <c r="D273" s="125" t="s">
        <v>62</v>
      </c>
      <c r="E273" s="127" t="n">
        <v>101021</v>
      </c>
      <c r="G273" s="128"/>
      <c r="H273" s="128"/>
      <c r="I273" s="129"/>
      <c r="J273" s="126"/>
    </row>
    <row r="274" customFormat="false" ht="12.75" hidden="false" customHeight="false" outlineLevel="0" collapsed="false">
      <c r="A274" s="125"/>
      <c r="B274" s="126" t="n">
        <f aca="false">SUM(B272:B273)</f>
        <v>24320.8</v>
      </c>
      <c r="C274" s="125"/>
      <c r="D274" s="125"/>
      <c r="E274" s="127"/>
      <c r="G274" s="128"/>
      <c r="H274" s="128"/>
      <c r="I274" s="129"/>
      <c r="J274" s="126"/>
    </row>
    <row r="275" customFormat="false" ht="12.75" hidden="false" customHeight="false" outlineLevel="0" collapsed="false">
      <c r="A275" s="125" t="n">
        <v>38412</v>
      </c>
      <c r="B275" s="126" t="n">
        <v>3661.1</v>
      </c>
      <c r="C275" s="125" t="s">
        <v>49</v>
      </c>
      <c r="D275" s="125" t="s">
        <v>62</v>
      </c>
      <c r="E275" s="127" t="n">
        <v>101073</v>
      </c>
    </row>
    <row r="276" customFormat="false" ht="12.75" hidden="false" customHeight="false" outlineLevel="0" collapsed="false">
      <c r="A276" s="125" t="n">
        <v>38412</v>
      </c>
      <c r="B276" s="126" t="n">
        <v>23265.5</v>
      </c>
      <c r="C276" s="125" t="s">
        <v>49</v>
      </c>
      <c r="D276" s="125" t="s">
        <v>62</v>
      </c>
      <c r="E276" s="127" t="n">
        <v>101021</v>
      </c>
      <c r="G276" s="128"/>
      <c r="H276" s="128"/>
      <c r="I276" s="129"/>
      <c r="J276" s="126"/>
    </row>
    <row r="277" customFormat="false" ht="12.75" hidden="false" customHeight="false" outlineLevel="0" collapsed="false">
      <c r="A277" s="125" t="n">
        <v>38443</v>
      </c>
      <c r="B277" s="126" t="n">
        <v>3543</v>
      </c>
      <c r="C277" s="125" t="s">
        <v>49</v>
      </c>
      <c r="D277" s="125" t="s">
        <v>62</v>
      </c>
      <c r="E277" s="127" t="n">
        <v>101073</v>
      </c>
    </row>
    <row r="278" customFormat="false" ht="12.75" hidden="false" customHeight="false" outlineLevel="0" collapsed="false">
      <c r="A278" s="125" t="n">
        <v>38443</v>
      </c>
      <c r="B278" s="126" t="n">
        <v>22515</v>
      </c>
      <c r="C278" s="125" t="s">
        <v>49</v>
      </c>
      <c r="D278" s="125" t="s">
        <v>62</v>
      </c>
      <c r="E278" s="127" t="n">
        <v>101021</v>
      </c>
      <c r="G278" s="128"/>
      <c r="H278" s="128"/>
      <c r="I278" s="129"/>
      <c r="J278" s="126"/>
    </row>
    <row r="279" customFormat="false" ht="12.75" hidden="false" customHeight="false" outlineLevel="0" collapsed="false">
      <c r="A279" s="125" t="n">
        <v>38473</v>
      </c>
      <c r="B279" s="126" t="n">
        <v>3661.1</v>
      </c>
      <c r="C279" s="125" t="s">
        <v>49</v>
      </c>
      <c r="D279" s="125" t="s">
        <v>62</v>
      </c>
      <c r="E279" s="127" t="n">
        <v>101073</v>
      </c>
    </row>
    <row r="280" customFormat="false" ht="12.75" hidden="false" customHeight="false" outlineLevel="0" collapsed="false">
      <c r="A280" s="125" t="n">
        <v>38473</v>
      </c>
      <c r="B280" s="126" t="n">
        <v>23265.5</v>
      </c>
      <c r="C280" s="125" t="s">
        <v>49</v>
      </c>
      <c r="D280" s="125" t="s">
        <v>62</v>
      </c>
      <c r="E280" s="127" t="n">
        <v>101021</v>
      </c>
      <c r="G280" s="128"/>
      <c r="H280" s="128"/>
      <c r="I280" s="129"/>
      <c r="J280" s="126"/>
    </row>
    <row r="281" customFormat="false" ht="12.75" hidden="false" customHeight="false" outlineLevel="0" collapsed="false">
      <c r="A281" s="125" t="n">
        <v>38504</v>
      </c>
      <c r="B281" s="126" t="n">
        <v>3543</v>
      </c>
      <c r="C281" s="125" t="s">
        <v>49</v>
      </c>
      <c r="D281" s="125" t="s">
        <v>62</v>
      </c>
      <c r="E281" s="127" t="n">
        <v>101073</v>
      </c>
    </row>
    <row r="282" customFormat="false" ht="12.75" hidden="false" customHeight="false" outlineLevel="0" collapsed="false">
      <c r="A282" s="125" t="n">
        <v>38504</v>
      </c>
      <c r="B282" s="126" t="n">
        <v>22515</v>
      </c>
      <c r="C282" s="125" t="s">
        <v>49</v>
      </c>
      <c r="D282" s="125" t="s">
        <v>62</v>
      </c>
      <c r="E282" s="127" t="n">
        <v>101021</v>
      </c>
      <c r="G282" s="128"/>
      <c r="H282" s="128"/>
      <c r="I282" s="129"/>
      <c r="J282" s="126"/>
    </row>
    <row r="283" customFormat="false" ht="12.75" hidden="false" customHeight="false" outlineLevel="0" collapsed="false">
      <c r="A283" s="125" t="n">
        <v>38534</v>
      </c>
      <c r="B283" s="126" t="n">
        <v>3661.1</v>
      </c>
      <c r="C283" s="125" t="s">
        <v>49</v>
      </c>
      <c r="D283" s="125" t="s">
        <v>62</v>
      </c>
      <c r="E283" s="127" t="n">
        <v>101073</v>
      </c>
    </row>
    <row r="284" customFormat="false" ht="12.75" hidden="false" customHeight="false" outlineLevel="0" collapsed="false">
      <c r="A284" s="125" t="n">
        <v>38534</v>
      </c>
      <c r="B284" s="126" t="n">
        <v>23265.5</v>
      </c>
      <c r="C284" s="125" t="s">
        <v>49</v>
      </c>
      <c r="D284" s="125" t="s">
        <v>62</v>
      </c>
      <c r="E284" s="127" t="n">
        <v>101021</v>
      </c>
      <c r="G284" s="128"/>
      <c r="H284" s="128"/>
      <c r="I284" s="129"/>
      <c r="J284" s="126"/>
    </row>
    <row r="285" customFormat="false" ht="12.75" hidden="false" customHeight="false" outlineLevel="0" collapsed="false">
      <c r="A285" s="125" t="n">
        <v>38565</v>
      </c>
      <c r="B285" s="126" t="n">
        <v>3661.1</v>
      </c>
      <c r="C285" s="125" t="s">
        <v>49</v>
      </c>
      <c r="D285" s="125" t="s">
        <v>62</v>
      </c>
      <c r="E285" s="127" t="n">
        <v>101073</v>
      </c>
    </row>
    <row r="286" customFormat="false" ht="12.75" hidden="false" customHeight="false" outlineLevel="0" collapsed="false">
      <c r="A286" s="125" t="n">
        <v>38565</v>
      </c>
      <c r="B286" s="126" t="n">
        <v>23265.5</v>
      </c>
      <c r="C286" s="125" t="s">
        <v>49</v>
      </c>
      <c r="D286" s="125" t="s">
        <v>62</v>
      </c>
      <c r="E286" s="127" t="n">
        <v>101021</v>
      </c>
      <c r="G286" s="128"/>
      <c r="H286" s="128"/>
      <c r="I286" s="129"/>
      <c r="J286" s="126"/>
    </row>
    <row r="287" customFormat="false" ht="12.75" hidden="false" customHeight="false" outlineLevel="0" collapsed="false">
      <c r="A287" s="125" t="n">
        <v>38596</v>
      </c>
      <c r="B287" s="126" t="n">
        <v>3543</v>
      </c>
      <c r="C287" s="125" t="s">
        <v>49</v>
      </c>
      <c r="D287" s="125" t="s">
        <v>62</v>
      </c>
      <c r="E287" s="127" t="n">
        <v>101073</v>
      </c>
    </row>
    <row r="288" customFormat="false" ht="12.75" hidden="false" customHeight="false" outlineLevel="0" collapsed="false">
      <c r="A288" s="125" t="n">
        <v>38596</v>
      </c>
      <c r="B288" s="126" t="n">
        <v>22515</v>
      </c>
      <c r="C288" s="125" t="s">
        <v>49</v>
      </c>
      <c r="D288" s="125" t="s">
        <v>62</v>
      </c>
      <c r="E288" s="127" t="n">
        <v>101021</v>
      </c>
      <c r="G288" s="128"/>
      <c r="H288" s="128"/>
      <c r="I288" s="129"/>
      <c r="J288" s="126"/>
    </row>
    <row r="289" customFormat="false" ht="12.75" hidden="false" customHeight="false" outlineLevel="0" collapsed="false">
      <c r="A289" s="125" t="n">
        <v>38626</v>
      </c>
      <c r="B289" s="126" t="n">
        <v>3661.1</v>
      </c>
      <c r="C289" s="125" t="s">
        <v>49</v>
      </c>
      <c r="D289" s="125" t="s">
        <v>62</v>
      </c>
      <c r="E289" s="127" t="n">
        <v>101073</v>
      </c>
    </row>
    <row r="290" customFormat="false" ht="12.75" hidden="false" customHeight="false" outlineLevel="0" collapsed="false">
      <c r="A290" s="125" t="n">
        <v>38626</v>
      </c>
      <c r="B290" s="126" t="n">
        <v>23265.5</v>
      </c>
      <c r="C290" s="125" t="s">
        <v>49</v>
      </c>
      <c r="D290" s="125" t="s">
        <v>62</v>
      </c>
      <c r="E290" s="127" t="n">
        <v>101021</v>
      </c>
      <c r="G290" s="128"/>
      <c r="H290" s="128"/>
      <c r="I290" s="129"/>
      <c r="J290" s="126"/>
    </row>
    <row r="291" customFormat="false" ht="12.75" hidden="false" customHeight="false" outlineLevel="0" collapsed="false">
      <c r="A291" s="125" t="n">
        <v>38657</v>
      </c>
      <c r="B291" s="126" t="n">
        <v>3543</v>
      </c>
      <c r="C291" s="125" t="s">
        <v>49</v>
      </c>
      <c r="D291" s="125" t="s">
        <v>62</v>
      </c>
      <c r="E291" s="127" t="n">
        <v>101073</v>
      </c>
    </row>
    <row r="292" customFormat="false" ht="12.75" hidden="false" customHeight="false" outlineLevel="0" collapsed="false">
      <c r="A292" s="125" t="n">
        <v>38657</v>
      </c>
      <c r="B292" s="126" t="n">
        <v>22515</v>
      </c>
      <c r="C292" s="125" t="s">
        <v>49</v>
      </c>
      <c r="D292" s="125" t="s">
        <v>62</v>
      </c>
      <c r="E292" s="127" t="n">
        <v>101021</v>
      </c>
      <c r="G292" s="128"/>
      <c r="H292" s="128"/>
      <c r="I292" s="129"/>
      <c r="J292" s="126"/>
    </row>
    <row r="293" customFormat="false" ht="12.75" hidden="false" customHeight="false" outlineLevel="0" collapsed="false">
      <c r="A293" s="125" t="n">
        <v>38687</v>
      </c>
      <c r="B293" s="126" t="n">
        <v>3661.1</v>
      </c>
      <c r="C293" s="125" t="s">
        <v>49</v>
      </c>
      <c r="D293" s="125" t="s">
        <v>62</v>
      </c>
      <c r="E293" s="127" t="n">
        <v>101073</v>
      </c>
    </row>
    <row r="294" customFormat="false" ht="12.75" hidden="false" customHeight="false" outlineLevel="0" collapsed="false">
      <c r="A294" s="125" t="n">
        <v>38687</v>
      </c>
      <c r="B294" s="126" t="n">
        <v>23265.5</v>
      </c>
      <c r="C294" s="125" t="s">
        <v>49</v>
      </c>
      <c r="D294" s="125" t="s">
        <v>62</v>
      </c>
      <c r="E294" s="127" t="n">
        <v>101021</v>
      </c>
      <c r="G294" s="128"/>
      <c r="H294" s="128"/>
      <c r="I294" s="129"/>
      <c r="J294" s="126"/>
    </row>
    <row r="295" customFormat="false" ht="12.75" hidden="false" customHeight="false" outlineLevel="0" collapsed="false">
      <c r="A295" s="125"/>
    </row>
    <row r="296" customFormat="false" ht="12.75" hidden="false" customHeight="false" outlineLevel="0" collapsed="false">
      <c r="A296" s="125"/>
    </row>
    <row r="297" customFormat="false" ht="12.75" hidden="false" customHeight="false" outlineLevel="0" collapsed="false">
      <c r="A297" s="125"/>
    </row>
    <row r="298" customFormat="false" ht="12.75" hidden="false" customHeight="false" outlineLevel="0" collapsed="false">
      <c r="A298" s="125"/>
    </row>
    <row r="299" customFormat="false" ht="12.75" hidden="false" customHeight="false" outlineLevel="0" collapsed="false">
      <c r="A299" s="125"/>
    </row>
    <row r="300" customFormat="false" ht="12.75" hidden="false" customHeight="false" outlineLevel="0" collapsed="false">
      <c r="A300" s="125"/>
    </row>
    <row r="301" customFormat="false" ht="12.75" hidden="false" customHeight="false" outlineLevel="0" collapsed="false">
      <c r="A301" s="125"/>
    </row>
    <row r="302" customFormat="false" ht="12.75" hidden="false" customHeight="false" outlineLevel="0" collapsed="false">
      <c r="A302" s="125"/>
    </row>
    <row r="303" customFormat="false" ht="12.75" hidden="false" customHeight="false" outlineLevel="0" collapsed="false">
      <c r="A303" s="125"/>
    </row>
    <row r="304" customFormat="false" ht="12.75" hidden="false" customHeight="false" outlineLevel="0" collapsed="false">
      <c r="A304" s="125"/>
    </row>
    <row r="305" customFormat="false" ht="12.75" hidden="false" customHeight="false" outlineLevel="0" collapsed="false">
      <c r="A305" s="125"/>
    </row>
    <row r="306" customFormat="false" ht="12.75" hidden="false" customHeight="false" outlineLevel="0" collapsed="false">
      <c r="A306" s="125"/>
    </row>
    <row r="307" customFormat="false" ht="12.75" hidden="false" customHeight="false" outlineLevel="0" collapsed="false">
      <c r="A307" s="125"/>
    </row>
    <row r="308" customFormat="false" ht="12.75" hidden="false" customHeight="false" outlineLevel="0" collapsed="false">
      <c r="A308" s="125"/>
    </row>
    <row r="309" customFormat="false" ht="12.75" hidden="false" customHeight="false" outlineLevel="0" collapsed="false">
      <c r="A309" s="125"/>
    </row>
    <row r="310" customFormat="false" ht="12.75" hidden="false" customHeight="false" outlineLevel="0" collapsed="false">
      <c r="A310" s="125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0.71"/>
    <col collapsed="false" customWidth="true" hidden="true" outlineLevel="0" max="5" min="5" style="0" width="10.71"/>
    <col collapsed="false" customWidth="true" hidden="false" outlineLevel="0" max="8" min="6" style="0" width="10.71"/>
    <col collapsed="false" customWidth="true" hidden="false" outlineLevel="0" max="9" min="9" style="0" width="13.7"/>
    <col collapsed="false" customWidth="true" hidden="false" outlineLevel="0" max="10" min="10" style="61" width="12.14"/>
    <col collapsed="false" customWidth="true" hidden="false" outlineLevel="0" max="11" min="11" style="61" width="13.7"/>
  </cols>
  <sheetData>
    <row r="1" customFormat="false" ht="15" hidden="false" customHeight="false" outlineLevel="0" collapsed="false">
      <c r="A1" s="62" t="s">
        <v>74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customFormat="false" ht="15" hidden="false" customHeight="false" outlineLevel="0" collapsed="false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customFormat="false" ht="15.75" hidden="false" customHeight="false" outlineLevel="0" collapsed="false">
      <c r="A3" s="62" t="s">
        <v>75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customFormat="false" ht="15.75" hidden="false" customHeight="false" outlineLevel="0" collapsed="false">
      <c r="A4" s="62" t="s">
        <v>76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customFormat="false" ht="15.75" hidden="false" customHeight="false" outlineLevel="0" collapsed="false">
      <c r="A5" s="63"/>
      <c r="B5" s="63"/>
      <c r="C5" s="63"/>
      <c r="D5" s="63"/>
      <c r="E5" s="63"/>
      <c r="F5" s="63"/>
      <c r="G5" s="63"/>
      <c r="H5" s="63"/>
      <c r="I5" s="63"/>
      <c r="J5" s="64"/>
      <c r="K5" s="64"/>
    </row>
    <row r="7" customFormat="false" ht="12.75" hidden="false" customHeight="false" outlineLevel="0" collapsed="false">
      <c r="A7" s="65" t="s">
        <v>77</v>
      </c>
      <c r="B7" s="66" t="s">
        <v>6</v>
      </c>
      <c r="C7" s="66" t="s">
        <v>6</v>
      </c>
      <c r="D7" s="66" t="s">
        <v>78</v>
      </c>
      <c r="E7" s="66"/>
      <c r="F7" s="66" t="s">
        <v>13</v>
      </c>
      <c r="G7" s="66" t="s">
        <v>79</v>
      </c>
      <c r="H7" s="66" t="s">
        <v>27</v>
      </c>
      <c r="I7" s="67" t="s">
        <v>80</v>
      </c>
      <c r="J7" s="67"/>
      <c r="K7" s="67"/>
    </row>
    <row r="8" customFormat="false" ht="12.75" hidden="false" customHeight="false" outlineLevel="0" collapsed="false">
      <c r="A8" s="68" t="s">
        <v>81</v>
      </c>
      <c r="B8" s="69" t="s">
        <v>16</v>
      </c>
      <c r="C8" s="69" t="s">
        <v>15</v>
      </c>
      <c r="D8" s="69" t="s">
        <v>20</v>
      </c>
      <c r="E8" s="69"/>
      <c r="F8" s="69" t="s">
        <v>82</v>
      </c>
      <c r="G8" s="69" t="s">
        <v>20</v>
      </c>
      <c r="H8" s="69" t="s">
        <v>20</v>
      </c>
      <c r="I8" s="69" t="s">
        <v>29</v>
      </c>
      <c r="J8" s="69" t="s">
        <v>30</v>
      </c>
      <c r="K8" s="70" t="s">
        <v>31</v>
      </c>
    </row>
    <row r="9" customFormat="false" ht="12.75" hidden="false" customHeight="false" outlineLevel="0" collapsed="false">
      <c r="A9" s="71"/>
      <c r="B9" s="72"/>
      <c r="C9" s="72"/>
      <c r="D9" s="72"/>
      <c r="E9" s="72"/>
      <c r="F9" s="72"/>
      <c r="G9" s="73" t="s">
        <v>83</v>
      </c>
      <c r="H9" s="74"/>
      <c r="I9" s="74" t="s">
        <v>34</v>
      </c>
      <c r="J9" s="74" t="s">
        <v>34</v>
      </c>
      <c r="K9" s="75" t="s">
        <v>34</v>
      </c>
    </row>
    <row r="10" customFormat="false" ht="12.75" hidden="false" customHeight="false" outlineLevel="0" collapsed="false">
      <c r="A10" s="76" t="n">
        <v>35947</v>
      </c>
      <c r="B10" s="77"/>
      <c r="C10" s="78" t="s">
        <v>36</v>
      </c>
      <c r="D10" s="79" t="n">
        <f aca="false">2.22</f>
        <v>2.22</v>
      </c>
      <c r="E10" s="79"/>
      <c r="F10" s="80" t="n">
        <f aca="false">250*30</f>
        <v>7500</v>
      </c>
      <c r="G10" s="79" t="n">
        <f aca="false">1.82</f>
        <v>1.82</v>
      </c>
      <c r="H10" s="79"/>
      <c r="I10" s="81" t="n">
        <f aca="false">SUM(D10-G10)*F10</f>
        <v>3000</v>
      </c>
      <c r="J10" s="81" t="n">
        <f aca="false">+I10</f>
        <v>3000</v>
      </c>
      <c r="K10" s="81"/>
    </row>
    <row r="11" customFormat="false" ht="12.75" hidden="false" customHeight="false" outlineLevel="0" collapsed="false">
      <c r="A11" s="76" t="n">
        <v>35977</v>
      </c>
      <c r="B11" s="77"/>
      <c r="C11" s="78" t="s">
        <v>36</v>
      </c>
      <c r="D11" s="79" t="n">
        <f aca="false">2.22</f>
        <v>2.22</v>
      </c>
      <c r="E11" s="79"/>
      <c r="F11" s="80" t="n">
        <f aca="false">250*31</f>
        <v>7750</v>
      </c>
      <c r="G11" s="79" t="n">
        <f aca="false">1.86</f>
        <v>1.86</v>
      </c>
      <c r="H11" s="79"/>
      <c r="I11" s="81" t="n">
        <f aca="false">SUM(D11-G11)*F11</f>
        <v>2790</v>
      </c>
      <c r="J11" s="81" t="n">
        <f aca="false">+I11</f>
        <v>2790</v>
      </c>
      <c r="K11" s="81"/>
    </row>
    <row r="12" customFormat="false" ht="12.75" hidden="false" customHeight="false" outlineLevel="0" collapsed="false">
      <c r="A12" s="76" t="n">
        <v>36008</v>
      </c>
      <c r="B12" s="77"/>
      <c r="C12" s="78" t="s">
        <v>36</v>
      </c>
      <c r="D12" s="79" t="n">
        <f aca="false">2.22</f>
        <v>2.22</v>
      </c>
      <c r="E12" s="79"/>
      <c r="F12" s="80" t="n">
        <f aca="false">250*31</f>
        <v>7750</v>
      </c>
      <c r="G12" s="79" t="n">
        <f aca="false">1.81</f>
        <v>1.81</v>
      </c>
      <c r="H12" s="79"/>
      <c r="I12" s="81" t="n">
        <f aca="false">SUM(D12-G12)*F12</f>
        <v>3177.5</v>
      </c>
      <c r="J12" s="81" t="n">
        <f aca="false">+I12</f>
        <v>3177.5</v>
      </c>
      <c r="K12" s="81"/>
    </row>
    <row r="13" customFormat="false" ht="12.75" hidden="false" customHeight="false" outlineLevel="0" collapsed="false">
      <c r="A13" s="76" t="n">
        <v>36039</v>
      </c>
      <c r="B13" s="77"/>
      <c r="C13" s="78" t="s">
        <v>36</v>
      </c>
      <c r="D13" s="79" t="n">
        <f aca="false">2.22</f>
        <v>2.22</v>
      </c>
      <c r="E13" s="79"/>
      <c r="F13" s="80" t="n">
        <f aca="false">250*30</f>
        <v>7500</v>
      </c>
      <c r="G13" s="79" t="n">
        <f aca="false">1.55</f>
        <v>1.55</v>
      </c>
      <c r="H13" s="79"/>
      <c r="I13" s="81" t="n">
        <f aca="false">SUM(D13-G13)*F13</f>
        <v>5025</v>
      </c>
      <c r="J13" s="81" t="n">
        <f aca="false">+I13</f>
        <v>5025</v>
      </c>
      <c r="K13" s="81"/>
    </row>
    <row r="14" customFormat="false" ht="12.75" hidden="false" customHeight="false" outlineLevel="0" collapsed="false">
      <c r="A14" s="76" t="n">
        <v>36069</v>
      </c>
      <c r="B14" s="77"/>
      <c r="C14" s="78" t="s">
        <v>36</v>
      </c>
      <c r="D14" s="79" t="n">
        <f aca="false">2.22</f>
        <v>2.22</v>
      </c>
      <c r="E14" s="79"/>
      <c r="F14" s="80" t="n">
        <f aca="false">250*31</f>
        <v>7750</v>
      </c>
      <c r="G14" s="79" t="n">
        <f aca="false">1.67</f>
        <v>1.67</v>
      </c>
      <c r="H14" s="79"/>
      <c r="I14" s="81" t="n">
        <f aca="false">SUM(D14-G14)*F14</f>
        <v>4262.5</v>
      </c>
      <c r="J14" s="81" t="n">
        <f aca="false">+I14</f>
        <v>4262.5</v>
      </c>
      <c r="K14" s="81"/>
    </row>
    <row r="15" customFormat="false" ht="12.75" hidden="false" customHeight="false" outlineLevel="0" collapsed="false">
      <c r="A15" s="76" t="n">
        <v>36100</v>
      </c>
      <c r="B15" s="77"/>
      <c r="C15" s="78" t="s">
        <v>36</v>
      </c>
      <c r="D15" s="79" t="n">
        <f aca="false">2.22</f>
        <v>2.22</v>
      </c>
      <c r="E15" s="79"/>
      <c r="F15" s="80" t="n">
        <f aca="false">250*30</f>
        <v>7500</v>
      </c>
      <c r="G15" s="79" t="n">
        <v>1.88</v>
      </c>
      <c r="H15" s="79"/>
      <c r="I15" s="81" t="n">
        <f aca="false">SUM(D15-G15)*F15</f>
        <v>2550</v>
      </c>
      <c r="J15" s="81" t="n">
        <f aca="false">+I15</f>
        <v>2550</v>
      </c>
      <c r="K15" s="81"/>
    </row>
    <row r="16" customFormat="false" ht="12.75" hidden="false" customHeight="false" outlineLevel="0" collapsed="false">
      <c r="A16" s="76" t="n">
        <v>36130</v>
      </c>
      <c r="B16" s="77"/>
      <c r="C16" s="78" t="s">
        <v>36</v>
      </c>
      <c r="D16" s="79" t="n">
        <f aca="false">2.22</f>
        <v>2.22</v>
      </c>
      <c r="E16" s="79"/>
      <c r="F16" s="80" t="n">
        <f aca="false">250*31</f>
        <v>7750</v>
      </c>
      <c r="G16" s="79" t="n">
        <v>1.96</v>
      </c>
      <c r="H16" s="79"/>
      <c r="I16" s="81" t="n">
        <f aca="false">SUM(D16-G16)*F16</f>
        <v>2015</v>
      </c>
      <c r="J16" s="81" t="n">
        <f aca="false">+I16</f>
        <v>2015</v>
      </c>
      <c r="K16" s="81"/>
    </row>
    <row r="17" customFormat="false" ht="12.75" hidden="false" customHeight="false" outlineLevel="0" collapsed="false">
      <c r="A17" s="76" t="n">
        <v>36161</v>
      </c>
      <c r="B17" s="77"/>
      <c r="C17" s="78" t="s">
        <v>36</v>
      </c>
      <c r="D17" s="79" t="n">
        <f aca="false">2.22</f>
        <v>2.22</v>
      </c>
      <c r="E17" s="79"/>
      <c r="F17" s="80" t="n">
        <f aca="false">250*31</f>
        <v>7750</v>
      </c>
      <c r="G17" s="79" t="n">
        <v>1.72</v>
      </c>
      <c r="H17" s="79"/>
      <c r="I17" s="81" t="n">
        <f aca="false">SUM(D17-G17)*F17</f>
        <v>3875</v>
      </c>
      <c r="J17" s="81" t="n">
        <f aca="false">+I17</f>
        <v>3875</v>
      </c>
      <c r="K17" s="81"/>
    </row>
    <row r="18" customFormat="false" ht="12.75" hidden="false" customHeight="false" outlineLevel="0" collapsed="false">
      <c r="A18" s="76" t="n">
        <v>36192</v>
      </c>
      <c r="B18" s="77"/>
      <c r="C18" s="78" t="s">
        <v>36</v>
      </c>
      <c r="D18" s="79" t="n">
        <f aca="false">2.22</f>
        <v>2.22</v>
      </c>
      <c r="E18" s="79"/>
      <c r="F18" s="80" t="n">
        <f aca="false">250*28</f>
        <v>7000</v>
      </c>
      <c r="G18" s="79" t="n">
        <v>1.63</v>
      </c>
      <c r="H18" s="79"/>
      <c r="I18" s="81" t="n">
        <f aca="false">SUM(D18-G18)*F18</f>
        <v>4130</v>
      </c>
      <c r="J18" s="81" t="n">
        <f aca="false">+I18</f>
        <v>4130</v>
      </c>
      <c r="K18" s="81"/>
    </row>
    <row r="19" customFormat="false" ht="12.75" hidden="false" customHeight="false" outlineLevel="0" collapsed="false">
      <c r="A19" s="76" t="n">
        <v>36220</v>
      </c>
      <c r="B19" s="77"/>
      <c r="C19" s="78" t="s">
        <v>36</v>
      </c>
      <c r="D19" s="79" t="n">
        <f aca="false">2.22</f>
        <v>2.22</v>
      </c>
      <c r="E19" s="79"/>
      <c r="F19" s="80" t="n">
        <f aca="false">250*31</f>
        <v>7750</v>
      </c>
      <c r="G19" s="79" t="n">
        <v>1.51</v>
      </c>
      <c r="H19" s="79"/>
      <c r="I19" s="81" t="n">
        <f aca="false">SUM(D19-G19)*F19</f>
        <v>5502.5</v>
      </c>
      <c r="J19" s="81" t="n">
        <f aca="false">+I19</f>
        <v>5502.5</v>
      </c>
      <c r="K19" s="81"/>
    </row>
    <row r="20" customFormat="false" ht="12.75" hidden="false" customHeight="false" outlineLevel="0" collapsed="false">
      <c r="A20" s="76" t="n">
        <v>36251</v>
      </c>
      <c r="B20" s="77"/>
      <c r="C20" s="78" t="s">
        <v>36</v>
      </c>
      <c r="D20" s="79" t="n">
        <f aca="false">2.22</f>
        <v>2.22</v>
      </c>
      <c r="E20" s="79"/>
      <c r="F20" s="80" t="n">
        <f aca="false">250*30</f>
        <v>7500</v>
      </c>
      <c r="G20" s="79" t="n">
        <v>1.59</v>
      </c>
      <c r="H20" s="79"/>
      <c r="I20" s="81" t="n">
        <f aca="false">SUM(D20-G20)*F20</f>
        <v>4725</v>
      </c>
      <c r="J20" s="81" t="n">
        <f aca="false">+I20</f>
        <v>4725</v>
      </c>
      <c r="K20" s="81"/>
    </row>
    <row r="21" customFormat="false" ht="12.75" hidden="false" customHeight="false" outlineLevel="0" collapsed="false">
      <c r="A21" s="76" t="n">
        <v>36281</v>
      </c>
      <c r="B21" s="77"/>
      <c r="C21" s="78" t="s">
        <v>36</v>
      </c>
      <c r="D21" s="79" t="n">
        <f aca="false">2.22</f>
        <v>2.22</v>
      </c>
      <c r="E21" s="79"/>
      <c r="F21" s="80" t="n">
        <f aca="false">250*31</f>
        <v>7750</v>
      </c>
      <c r="G21" s="79" t="n">
        <v>2.03</v>
      </c>
      <c r="H21" s="79"/>
      <c r="I21" s="81" t="n">
        <f aca="false">SUM(D21-G21)*F21</f>
        <v>1472.5</v>
      </c>
      <c r="J21" s="81" t="n">
        <f aca="false">+I21</f>
        <v>1472.5</v>
      </c>
      <c r="K21" s="81"/>
    </row>
    <row r="22" customFormat="false" ht="12.75" hidden="false" customHeight="false" outlineLevel="0" collapsed="false">
      <c r="A22" s="82"/>
      <c r="B22" s="77"/>
      <c r="C22" s="77"/>
      <c r="D22" s="77"/>
      <c r="E22" s="77"/>
      <c r="F22" s="83" t="n">
        <f aca="false">SUM(F10:F21)</f>
        <v>91250</v>
      </c>
      <c r="G22" s="77"/>
      <c r="H22" s="77"/>
      <c r="I22" s="84" t="n">
        <f aca="false">SUM(I10:I21)</f>
        <v>42525</v>
      </c>
      <c r="J22" s="84" t="n">
        <f aca="false">SUM(J10:J21)</f>
        <v>42525</v>
      </c>
      <c r="K22" s="84" t="n">
        <f aca="false">SUM(K10:K21)</f>
        <v>0</v>
      </c>
      <c r="L22" s="85" t="n">
        <f aca="false">+J22+K22-I22</f>
        <v>0</v>
      </c>
    </row>
    <row r="23" customFormat="false" ht="12.75" hidden="false" customHeight="false" outlineLevel="0" collapsed="false">
      <c r="A23" s="82"/>
      <c r="B23" s="77"/>
      <c r="C23" s="77"/>
      <c r="D23" s="77"/>
      <c r="E23" s="77"/>
      <c r="F23" s="86"/>
      <c r="G23" s="77"/>
      <c r="H23" s="77"/>
      <c r="I23" s="87"/>
      <c r="J23" s="87"/>
      <c r="K23" s="87"/>
      <c r="L23" s="85"/>
    </row>
    <row r="24" customFormat="false" ht="12.75" hidden="false" customHeight="false" outlineLevel="0" collapsed="false">
      <c r="A24" s="82"/>
      <c r="B24" s="77"/>
      <c r="C24" s="77"/>
      <c r="D24" s="77"/>
      <c r="E24" s="77"/>
      <c r="F24" s="77"/>
      <c r="G24" s="88" t="s">
        <v>84</v>
      </c>
      <c r="H24" s="77"/>
      <c r="I24" s="81"/>
      <c r="J24" s="81"/>
      <c r="K24" s="81"/>
    </row>
    <row r="25" customFormat="false" ht="12.75" hidden="false" customHeight="false" outlineLevel="0" collapsed="false">
      <c r="A25" s="82"/>
      <c r="B25" s="77"/>
      <c r="C25" s="77"/>
      <c r="D25" s="77"/>
      <c r="E25" s="77"/>
      <c r="F25" s="77"/>
      <c r="G25" s="89"/>
      <c r="H25" s="77"/>
      <c r="I25" s="81"/>
      <c r="J25" s="81"/>
      <c r="K25" s="81"/>
    </row>
    <row r="26" customFormat="false" ht="12.75" hidden="false" customHeight="false" outlineLevel="0" collapsed="false">
      <c r="A26" s="76" t="n">
        <v>35947</v>
      </c>
      <c r="B26" s="78" t="n">
        <f aca="false">26125</f>
        <v>26125</v>
      </c>
      <c r="C26" s="78" t="s">
        <v>38</v>
      </c>
      <c r="D26" s="79" t="n">
        <f aca="false">2.22</f>
        <v>2.22</v>
      </c>
      <c r="E26" s="80" t="n">
        <f aca="false">-8600*30</f>
        <v>-258000</v>
      </c>
      <c r="F26" s="80" t="n">
        <v>-7500</v>
      </c>
      <c r="G26" s="79" t="n">
        <f aca="false">1.84</f>
        <v>1.84</v>
      </c>
      <c r="H26" s="79"/>
      <c r="K26" s="81"/>
    </row>
    <row r="27" customFormat="false" ht="12.75" hidden="false" customHeight="false" outlineLevel="0" collapsed="false">
      <c r="A27" s="76" t="n">
        <v>35977</v>
      </c>
      <c r="B27" s="78" t="n">
        <f aca="false">26125</f>
        <v>26125</v>
      </c>
      <c r="C27" s="78" t="s">
        <v>38</v>
      </c>
      <c r="D27" s="79" t="n">
        <f aca="false">2.22</f>
        <v>2.22</v>
      </c>
      <c r="E27" s="80" t="n">
        <f aca="false">-8600*31</f>
        <v>-266600</v>
      </c>
      <c r="F27" s="80" t="n">
        <v>-7750</v>
      </c>
      <c r="G27" s="79" t="n">
        <f aca="false">2.02</f>
        <v>2.02</v>
      </c>
      <c r="H27" s="79"/>
      <c r="I27" s="81" t="n">
        <f aca="false">SUM(D27-G27)*F27</f>
        <v>-1550</v>
      </c>
      <c r="J27" s="81" t="n">
        <f aca="false">+I27</f>
        <v>-1550</v>
      </c>
      <c r="K27" s="81"/>
    </row>
    <row r="28" customFormat="false" ht="12.75" hidden="false" customHeight="false" outlineLevel="0" collapsed="false">
      <c r="A28" s="76" t="n">
        <v>36008</v>
      </c>
      <c r="B28" s="78" t="n">
        <f aca="false">26125</f>
        <v>26125</v>
      </c>
      <c r="C28" s="78" t="s">
        <v>38</v>
      </c>
      <c r="D28" s="79" t="n">
        <f aca="false">2.22</f>
        <v>2.22</v>
      </c>
      <c r="E28" s="80" t="n">
        <f aca="false">-8600*31</f>
        <v>-266600</v>
      </c>
      <c r="F28" s="80" t="n">
        <v>-7750</v>
      </c>
      <c r="G28" s="79" t="n">
        <f aca="false">1.75</f>
        <v>1.75</v>
      </c>
      <c r="H28" s="79"/>
      <c r="I28" s="81" t="n">
        <f aca="false">SUM(D28-G28)*F28</f>
        <v>-3642.5</v>
      </c>
      <c r="J28" s="81" t="n">
        <f aca="false">+I28</f>
        <v>-3642.5</v>
      </c>
      <c r="K28" s="81"/>
    </row>
    <row r="29" customFormat="false" ht="12.75" hidden="false" customHeight="false" outlineLevel="0" collapsed="false">
      <c r="A29" s="76" t="n">
        <v>36039</v>
      </c>
      <c r="B29" s="78" t="n">
        <f aca="false">26125</f>
        <v>26125</v>
      </c>
      <c r="C29" s="78" t="s">
        <v>38</v>
      </c>
      <c r="D29" s="79" t="n">
        <f aca="false">2.22</f>
        <v>2.22</v>
      </c>
      <c r="E29" s="80" t="n">
        <f aca="false">-8600*30</f>
        <v>-258000</v>
      </c>
      <c r="F29" s="80" t="n">
        <v>-7500</v>
      </c>
      <c r="G29" s="79" t="n">
        <f aca="false">1.76</f>
        <v>1.76</v>
      </c>
      <c r="H29" s="79"/>
      <c r="I29" s="81" t="n">
        <f aca="false">SUM(D29-G29)*F29</f>
        <v>-3450</v>
      </c>
      <c r="J29" s="81" t="n">
        <f aca="false">+I29</f>
        <v>-3450</v>
      </c>
      <c r="K29" s="81"/>
    </row>
    <row r="30" customFormat="false" ht="12.75" hidden="false" customHeight="false" outlineLevel="0" collapsed="false">
      <c r="A30" s="76" t="n">
        <v>36069</v>
      </c>
      <c r="B30" s="78" t="n">
        <f aca="false">26125</f>
        <v>26125</v>
      </c>
      <c r="C30" s="78" t="s">
        <v>38</v>
      </c>
      <c r="D30" s="79" t="n">
        <f aca="false">2.22</f>
        <v>2.22</v>
      </c>
      <c r="E30" s="80" t="n">
        <f aca="false">-8600*31</f>
        <v>-266600</v>
      </c>
      <c r="F30" s="80" t="n">
        <v>-7750</v>
      </c>
      <c r="G30" s="79" t="n">
        <v>1.78</v>
      </c>
      <c r="H30" s="79"/>
      <c r="I30" s="81" t="n">
        <f aca="false">SUM(D30-G30)*F30</f>
        <v>-3410</v>
      </c>
      <c r="J30" s="81" t="n">
        <f aca="false">+I30</f>
        <v>-3410</v>
      </c>
      <c r="K30" s="81"/>
    </row>
    <row r="31" customFormat="false" ht="12.75" hidden="false" customHeight="false" outlineLevel="0" collapsed="false">
      <c r="A31" s="76" t="n">
        <v>36100</v>
      </c>
      <c r="B31" s="78" t="n">
        <f aca="false">26125</f>
        <v>26125</v>
      </c>
      <c r="C31" s="78" t="s">
        <v>38</v>
      </c>
      <c r="D31" s="79" t="n">
        <f aca="false">2.22</f>
        <v>2.22</v>
      </c>
      <c r="E31" s="80" t="n">
        <f aca="false">-8600*30</f>
        <v>-258000</v>
      </c>
      <c r="F31" s="80" t="n">
        <v>-7500</v>
      </c>
      <c r="G31" s="79" t="n">
        <v>1.99</v>
      </c>
      <c r="H31" s="79"/>
      <c r="I31" s="81" t="n">
        <f aca="false">SUM(D31-G31)*F31</f>
        <v>-1725</v>
      </c>
      <c r="J31" s="81" t="n">
        <f aca="false">+I31</f>
        <v>-1725</v>
      </c>
      <c r="K31" s="81"/>
    </row>
    <row r="32" customFormat="false" ht="12.75" hidden="false" customHeight="false" outlineLevel="0" collapsed="false">
      <c r="A32" s="76" t="n">
        <v>36130</v>
      </c>
      <c r="B32" s="78" t="n">
        <f aca="false">26125</f>
        <v>26125</v>
      </c>
      <c r="C32" s="78" t="s">
        <v>38</v>
      </c>
      <c r="D32" s="79" t="n">
        <f aca="false">2.22</f>
        <v>2.22</v>
      </c>
      <c r="E32" s="80" t="n">
        <f aca="false">-8600*31</f>
        <v>-266600</v>
      </c>
      <c r="F32" s="80" t="n">
        <v>-7750</v>
      </c>
      <c r="G32" s="79" t="n">
        <v>1.74</v>
      </c>
      <c r="H32" s="79"/>
      <c r="I32" s="81" t="n">
        <f aca="false">SUM(D32-G32)*F32</f>
        <v>-3720</v>
      </c>
      <c r="J32" s="81" t="n">
        <f aca="false">+I32</f>
        <v>-3720</v>
      </c>
      <c r="K32" s="81"/>
    </row>
    <row r="33" customFormat="false" ht="12.75" hidden="false" customHeight="false" outlineLevel="0" collapsed="false">
      <c r="A33" s="76" t="n">
        <v>36161</v>
      </c>
      <c r="B33" s="78" t="n">
        <f aca="false">26125</f>
        <v>26125</v>
      </c>
      <c r="C33" s="78" t="s">
        <v>38</v>
      </c>
      <c r="D33" s="79" t="n">
        <f aca="false">2.22</f>
        <v>2.22</v>
      </c>
      <c r="E33" s="80" t="n">
        <f aca="false">-8600*31</f>
        <v>-266600</v>
      </c>
      <c r="F33" s="80" t="n">
        <v>-7750</v>
      </c>
      <c r="G33" s="79" t="n">
        <v>1.73</v>
      </c>
      <c r="H33" s="79"/>
      <c r="I33" s="81" t="n">
        <f aca="false">SUM(D33-G33)*F33</f>
        <v>-3797.5</v>
      </c>
      <c r="J33" s="81" t="n">
        <f aca="false">+I33</f>
        <v>-3797.5</v>
      </c>
      <c r="K33" s="81"/>
    </row>
    <row r="34" customFormat="false" ht="12.75" hidden="false" customHeight="false" outlineLevel="0" collapsed="false">
      <c r="A34" s="76" t="n">
        <v>36192</v>
      </c>
      <c r="B34" s="78" t="n">
        <f aca="false">26125</f>
        <v>26125</v>
      </c>
      <c r="C34" s="78" t="s">
        <v>38</v>
      </c>
      <c r="D34" s="79" t="n">
        <f aca="false">2.22</f>
        <v>2.22</v>
      </c>
      <c r="E34" s="80" t="n">
        <f aca="false">-8600*28</f>
        <v>-240800</v>
      </c>
      <c r="F34" s="80" t="n">
        <v>-7000</v>
      </c>
      <c r="G34" s="79" t="n">
        <v>1.63</v>
      </c>
      <c r="H34" s="79"/>
      <c r="I34" s="81" t="n">
        <f aca="false">SUM(D34-G34)*F34</f>
        <v>-4130</v>
      </c>
      <c r="J34" s="81" t="n">
        <f aca="false">+I34</f>
        <v>-4130</v>
      </c>
      <c r="K34" s="81"/>
    </row>
    <row r="35" customFormat="false" ht="12.75" hidden="false" customHeight="false" outlineLevel="0" collapsed="false">
      <c r="A35" s="76" t="n">
        <v>36220</v>
      </c>
      <c r="B35" s="78" t="n">
        <f aca="false">26125</f>
        <v>26125</v>
      </c>
      <c r="C35" s="78" t="s">
        <v>38</v>
      </c>
      <c r="D35" s="79" t="n">
        <f aca="false">2.22</f>
        <v>2.22</v>
      </c>
      <c r="E35" s="80" t="n">
        <f aca="false">-8600*31</f>
        <v>-266600</v>
      </c>
      <c r="F35" s="80" t="n">
        <v>-7750</v>
      </c>
      <c r="G35" s="79" t="n">
        <v>1.59</v>
      </c>
      <c r="H35" s="79"/>
      <c r="I35" s="81" t="n">
        <f aca="false">SUM(D35-G35)*F35</f>
        <v>-4882.5</v>
      </c>
      <c r="J35" s="81" t="n">
        <f aca="false">+I35</f>
        <v>-4882.5</v>
      </c>
      <c r="K35" s="81"/>
    </row>
    <row r="36" customFormat="false" ht="12.75" hidden="false" customHeight="false" outlineLevel="0" collapsed="false">
      <c r="A36" s="76" t="n">
        <v>36251</v>
      </c>
      <c r="B36" s="78" t="n">
        <f aca="false">26125</f>
        <v>26125</v>
      </c>
      <c r="C36" s="78" t="s">
        <v>38</v>
      </c>
      <c r="D36" s="79" t="n">
        <f aca="false">2.22</f>
        <v>2.22</v>
      </c>
      <c r="E36" s="80" t="n">
        <f aca="false">-8600*30</f>
        <v>-258000</v>
      </c>
      <c r="F36" s="80" t="n">
        <v>-7500</v>
      </c>
      <c r="G36" s="90" t="n">
        <v>1.94</v>
      </c>
      <c r="H36" s="90"/>
      <c r="I36" s="81" t="n">
        <f aca="false">SUM(D36-G36)*F36</f>
        <v>-2100</v>
      </c>
      <c r="J36" s="81" t="n">
        <f aca="false">+I36</f>
        <v>-2100</v>
      </c>
      <c r="K36" s="81"/>
    </row>
    <row r="37" customFormat="false" ht="12.75" hidden="false" customHeight="false" outlineLevel="0" collapsed="false">
      <c r="A37" s="76" t="n">
        <v>36281</v>
      </c>
      <c r="B37" s="78" t="n">
        <f aca="false">26125</f>
        <v>26125</v>
      </c>
      <c r="C37" s="78" t="s">
        <v>38</v>
      </c>
      <c r="D37" s="79" t="n">
        <f aca="false">2.22</f>
        <v>2.22</v>
      </c>
      <c r="E37" s="80" t="n">
        <f aca="false">-8600*31</f>
        <v>-266600</v>
      </c>
      <c r="F37" s="80" t="n">
        <v>-7750</v>
      </c>
      <c r="G37" s="79" t="n">
        <v>2.06</v>
      </c>
      <c r="H37" s="79"/>
      <c r="I37" s="81" t="n">
        <f aca="false">SUM(D37-G37)*F37</f>
        <v>-1240</v>
      </c>
      <c r="J37" s="81" t="n">
        <f aca="false">+I37</f>
        <v>-1240</v>
      </c>
      <c r="K37" s="81"/>
    </row>
    <row r="38" customFormat="false" ht="12.75" hidden="false" customHeight="false" outlineLevel="0" collapsed="false">
      <c r="A38" s="82"/>
      <c r="B38" s="77"/>
      <c r="C38" s="77"/>
      <c r="D38" s="77"/>
      <c r="E38" s="77"/>
      <c r="F38" s="83" t="n">
        <f aca="false">SUM(F26:F37)</f>
        <v>-91250</v>
      </c>
      <c r="G38" s="77"/>
      <c r="H38" s="77"/>
      <c r="I38" s="84" t="n">
        <f aca="false">SUM(I27:I37)</f>
        <v>-33647.5</v>
      </c>
      <c r="J38" s="84" t="n">
        <f aca="false">SUM(J27:J37)</f>
        <v>-33647.5</v>
      </c>
      <c r="K38" s="84" t="n">
        <f aca="false">SUM(K27:K37)</f>
        <v>0</v>
      </c>
      <c r="L38" s="85" t="n">
        <f aca="false">+J38+K38-I38</f>
        <v>0</v>
      </c>
    </row>
    <row r="39" customFormat="false" ht="12.75" hidden="false" customHeight="false" outlineLevel="0" collapsed="false">
      <c r="A39" s="82"/>
      <c r="B39" s="77"/>
      <c r="C39" s="77"/>
      <c r="D39" s="77"/>
      <c r="E39" s="77"/>
      <c r="F39" s="77"/>
      <c r="G39" s="77"/>
      <c r="H39" s="77"/>
      <c r="I39" s="81"/>
      <c r="J39" s="81"/>
      <c r="K39" s="81"/>
    </row>
    <row r="40" customFormat="false" ht="13.5" hidden="false" customHeight="false" outlineLevel="0" collapsed="false">
      <c r="A40" s="82"/>
      <c r="B40" s="77"/>
      <c r="C40" s="77"/>
      <c r="D40" s="77"/>
      <c r="E40" s="77"/>
      <c r="F40" s="91" t="n">
        <f aca="false">+F22+F38</f>
        <v>0</v>
      </c>
      <c r="G40" s="77"/>
      <c r="H40" s="77"/>
      <c r="I40" s="92" t="n">
        <f aca="false">+I22+I38</f>
        <v>8877.5</v>
      </c>
      <c r="J40" s="92" t="n">
        <f aca="false">+J22+J38</f>
        <v>8877.5</v>
      </c>
      <c r="K40" s="92" t="n">
        <f aca="false">+K22+K38</f>
        <v>0</v>
      </c>
      <c r="L40" s="85" t="n">
        <f aca="false">+J40+K40-I40</f>
        <v>0</v>
      </c>
    </row>
    <row r="41" customFormat="false" ht="13.5" hidden="false" customHeight="false" outlineLevel="0" collapsed="false">
      <c r="A41" s="93"/>
      <c r="B41" s="94"/>
      <c r="C41" s="94"/>
      <c r="D41" s="94"/>
      <c r="E41" s="94"/>
      <c r="F41" s="94"/>
      <c r="G41" s="94"/>
      <c r="H41" s="94"/>
      <c r="I41" s="95"/>
      <c r="J41" s="95"/>
      <c r="K41" s="95"/>
    </row>
    <row r="42" customFormat="false" ht="12.75" hidden="false" customHeight="false" outlineLevel="0" collapsed="false">
      <c r="I42" s="61"/>
    </row>
    <row r="43" customFormat="false" ht="12.75" hidden="false" customHeight="false" outlineLevel="0" collapsed="false">
      <c r="A43" s="60" t="s">
        <v>71</v>
      </c>
      <c r="J43" s="0"/>
      <c r="K43" s="0"/>
    </row>
    <row r="44" customFormat="false" ht="11.25" hidden="false" customHeight="false" outlineLevel="0" collapsed="false">
      <c r="A44" s="60"/>
      <c r="B44" s="60"/>
      <c r="C44" s="60"/>
      <c r="D44" s="60"/>
      <c r="E44" s="60"/>
      <c r="F44" s="60"/>
      <c r="G44" s="60"/>
      <c r="H44" s="60"/>
      <c r="I44" s="96"/>
      <c r="J44" s="96"/>
      <c r="K44" s="96"/>
    </row>
    <row r="45" customFormat="false" ht="12.75" hidden="false" customHeight="false" outlineLevel="0" collapsed="false">
      <c r="I45" s="61"/>
    </row>
    <row r="46" customFormat="false" ht="12.75" hidden="false" customHeight="false" outlineLevel="0" collapsed="false">
      <c r="I46" s="61"/>
    </row>
    <row r="47" customFormat="false" ht="12.75" hidden="false" customHeight="false" outlineLevel="0" collapsed="false">
      <c r="I47" s="61"/>
    </row>
    <row r="48" customFormat="false" ht="12.75" hidden="false" customHeight="false" outlineLevel="0" collapsed="false">
      <c r="I48" s="61"/>
    </row>
    <row r="49" customFormat="false" ht="12.75" hidden="false" customHeight="false" outlineLevel="0" collapsed="false">
      <c r="I49" s="61"/>
    </row>
    <row r="50" customFormat="false" ht="12.75" hidden="false" customHeight="false" outlineLevel="0" collapsed="false">
      <c r="I50" s="61"/>
    </row>
    <row r="51" customFormat="false" ht="12.75" hidden="false" customHeight="false" outlineLevel="0" collapsed="false">
      <c r="I51" s="61"/>
    </row>
    <row r="52" customFormat="false" ht="12.75" hidden="false" customHeight="false" outlineLevel="0" collapsed="false">
      <c r="I52" s="61"/>
    </row>
    <row r="53" customFormat="false" ht="12.75" hidden="false" customHeight="false" outlineLevel="0" collapsed="false">
      <c r="I53" s="61"/>
    </row>
    <row r="54" customFormat="false" ht="12.75" hidden="false" customHeight="false" outlineLevel="0" collapsed="false">
      <c r="I54" s="61"/>
    </row>
    <row r="55" customFormat="false" ht="12.75" hidden="false" customHeight="false" outlineLevel="0" collapsed="false">
      <c r="I55" s="61"/>
    </row>
    <row r="56" customFormat="false" ht="12.75" hidden="false" customHeight="false" outlineLevel="0" collapsed="false">
      <c r="I56" s="61"/>
    </row>
    <row r="57" customFormat="false" ht="12.75" hidden="false" customHeight="false" outlineLevel="0" collapsed="false">
      <c r="I57" s="61"/>
    </row>
    <row r="58" customFormat="false" ht="12.75" hidden="false" customHeight="false" outlineLevel="0" collapsed="false">
      <c r="I58" s="61"/>
    </row>
    <row r="59" customFormat="false" ht="12.75" hidden="false" customHeight="false" outlineLevel="0" collapsed="false">
      <c r="I59" s="61"/>
    </row>
    <row r="60" customFormat="false" ht="12.75" hidden="false" customHeight="false" outlineLevel="0" collapsed="false">
      <c r="I60" s="61"/>
    </row>
    <row r="61" customFormat="false" ht="12.75" hidden="false" customHeight="false" outlineLevel="0" collapsed="false">
      <c r="I61" s="61"/>
    </row>
    <row r="62" customFormat="false" ht="12.75" hidden="false" customHeight="false" outlineLevel="0" collapsed="false">
      <c r="I62" s="61"/>
    </row>
    <row r="63" customFormat="false" ht="12.75" hidden="false" customHeight="false" outlineLevel="0" collapsed="false">
      <c r="I63" s="61"/>
    </row>
    <row r="64" customFormat="false" ht="12.75" hidden="false" customHeight="false" outlineLevel="0" collapsed="false">
      <c r="I64" s="61"/>
    </row>
    <row r="65" customFormat="false" ht="12.75" hidden="false" customHeight="false" outlineLevel="0" collapsed="false">
      <c r="I65" s="61"/>
    </row>
    <row r="66" customFormat="false" ht="12.75" hidden="false" customHeight="false" outlineLevel="0" collapsed="false">
      <c r="I66" s="61"/>
    </row>
    <row r="67" customFormat="false" ht="12.75" hidden="false" customHeight="false" outlineLevel="0" collapsed="false">
      <c r="I67" s="61"/>
    </row>
    <row r="68" customFormat="false" ht="12.75" hidden="false" customHeight="false" outlineLevel="0" collapsed="false">
      <c r="I68" s="61"/>
    </row>
    <row r="69" customFormat="false" ht="12.75" hidden="false" customHeight="false" outlineLevel="0" collapsed="false">
      <c r="I69" s="61"/>
    </row>
    <row r="70" customFormat="false" ht="12.75" hidden="false" customHeight="false" outlineLevel="0" collapsed="false">
      <c r="I70" s="61"/>
    </row>
    <row r="71" customFormat="false" ht="12.75" hidden="false" customHeight="false" outlineLevel="0" collapsed="false">
      <c r="I71" s="61"/>
    </row>
    <row r="72" customFormat="false" ht="12.75" hidden="false" customHeight="false" outlineLevel="0" collapsed="false">
      <c r="I72" s="61"/>
    </row>
    <row r="73" customFormat="false" ht="12.75" hidden="false" customHeight="false" outlineLevel="0" collapsed="false">
      <c r="I73" s="61"/>
    </row>
    <row r="74" customFormat="false" ht="12.75" hidden="false" customHeight="false" outlineLevel="0" collapsed="false">
      <c r="I74" s="61"/>
    </row>
    <row r="75" customFormat="false" ht="12.75" hidden="false" customHeight="false" outlineLevel="0" collapsed="false">
      <c r="I75" s="61"/>
    </row>
    <row r="76" customFormat="false" ht="12.75" hidden="false" customHeight="false" outlineLevel="0" collapsed="false">
      <c r="I76" s="61"/>
    </row>
    <row r="77" customFormat="false" ht="12.75" hidden="false" customHeight="false" outlineLevel="0" collapsed="false">
      <c r="I77" s="61"/>
    </row>
    <row r="78" customFormat="false" ht="12.75" hidden="false" customHeight="false" outlineLevel="0" collapsed="false">
      <c r="I78" s="61"/>
    </row>
    <row r="79" customFormat="false" ht="12.75" hidden="false" customHeight="false" outlineLevel="0" collapsed="false">
      <c r="I79" s="61"/>
    </row>
    <row r="80" customFormat="false" ht="12.75" hidden="false" customHeight="false" outlineLevel="0" collapsed="false">
      <c r="I80" s="61"/>
    </row>
    <row r="81" customFormat="false" ht="12.75" hidden="false" customHeight="false" outlineLevel="0" collapsed="false">
      <c r="I81" s="61"/>
    </row>
    <row r="82" customFormat="false" ht="12.75" hidden="false" customHeight="false" outlineLevel="0" collapsed="false">
      <c r="I82" s="61"/>
    </row>
    <row r="83" customFormat="false" ht="12.75" hidden="false" customHeight="false" outlineLevel="0" collapsed="false">
      <c r="I83" s="61"/>
    </row>
    <row r="84" customFormat="false" ht="12.75" hidden="false" customHeight="false" outlineLevel="0" collapsed="false">
      <c r="I84" s="61"/>
    </row>
    <row r="85" customFormat="false" ht="12.75" hidden="false" customHeight="false" outlineLevel="0" collapsed="false">
      <c r="I85" s="61"/>
    </row>
    <row r="86" customFormat="false" ht="12.75" hidden="false" customHeight="false" outlineLevel="0" collapsed="false">
      <c r="I86" s="61"/>
    </row>
    <row r="87" customFormat="false" ht="12.75" hidden="false" customHeight="false" outlineLevel="0" collapsed="false">
      <c r="I87" s="61"/>
    </row>
    <row r="88" customFormat="false" ht="12.75" hidden="false" customHeight="false" outlineLevel="0" collapsed="false">
      <c r="I88" s="61"/>
    </row>
    <row r="89" customFormat="false" ht="12.75" hidden="false" customHeight="false" outlineLevel="0" collapsed="false">
      <c r="I89" s="61"/>
    </row>
    <row r="90" customFormat="false" ht="12.75" hidden="false" customHeight="false" outlineLevel="0" collapsed="false">
      <c r="I90" s="61"/>
    </row>
    <row r="91" customFormat="false" ht="12.75" hidden="false" customHeight="false" outlineLevel="0" collapsed="false">
      <c r="I91" s="61"/>
    </row>
    <row r="92" customFormat="false" ht="12.75" hidden="false" customHeight="false" outlineLevel="0" collapsed="false">
      <c r="I92" s="61"/>
    </row>
    <row r="93" customFormat="false" ht="12.75" hidden="false" customHeight="false" outlineLevel="0" collapsed="false">
      <c r="I93" s="61"/>
    </row>
    <row r="94" customFormat="false" ht="12.75" hidden="false" customHeight="false" outlineLevel="0" collapsed="false">
      <c r="I94" s="61"/>
    </row>
    <row r="95" customFormat="false" ht="12.75" hidden="false" customHeight="false" outlineLevel="0" collapsed="false">
      <c r="I95" s="61"/>
    </row>
    <row r="96" customFormat="false" ht="12.75" hidden="false" customHeight="false" outlineLevel="0" collapsed="false">
      <c r="I96" s="61"/>
    </row>
    <row r="97" customFormat="false" ht="12.75" hidden="false" customHeight="false" outlineLevel="0" collapsed="false">
      <c r="I97" s="61"/>
    </row>
    <row r="98" customFormat="false" ht="12.75" hidden="false" customHeight="false" outlineLevel="0" collapsed="false">
      <c r="I98" s="61"/>
    </row>
    <row r="99" customFormat="false" ht="12.75" hidden="false" customHeight="false" outlineLevel="0" collapsed="false">
      <c r="I99" s="61"/>
    </row>
    <row r="100" customFormat="false" ht="12.75" hidden="false" customHeight="false" outlineLevel="0" collapsed="false">
      <c r="I100" s="61"/>
    </row>
    <row r="101" customFormat="false" ht="12.75" hidden="false" customHeight="false" outlineLevel="0" collapsed="false">
      <c r="I101" s="61"/>
    </row>
    <row r="102" customFormat="false" ht="12.75" hidden="false" customHeight="false" outlineLevel="0" collapsed="false">
      <c r="I102" s="61"/>
    </row>
    <row r="103" customFormat="false" ht="12.75" hidden="false" customHeight="false" outlineLevel="0" collapsed="false">
      <c r="I103" s="61"/>
    </row>
    <row r="104" customFormat="false" ht="12.75" hidden="false" customHeight="false" outlineLevel="0" collapsed="false">
      <c r="I104" s="61"/>
    </row>
    <row r="105" customFormat="false" ht="12.75" hidden="false" customHeight="false" outlineLevel="0" collapsed="false">
      <c r="I105" s="61"/>
    </row>
    <row r="106" customFormat="false" ht="12.75" hidden="false" customHeight="false" outlineLevel="0" collapsed="false">
      <c r="I106" s="61"/>
    </row>
    <row r="107" customFormat="false" ht="12.75" hidden="false" customHeight="false" outlineLevel="0" collapsed="false">
      <c r="I107" s="61"/>
    </row>
    <row r="108" customFormat="false" ht="12.75" hidden="false" customHeight="false" outlineLevel="0" collapsed="false">
      <c r="I108" s="61"/>
    </row>
    <row r="109" customFormat="false" ht="12.75" hidden="false" customHeight="false" outlineLevel="0" collapsed="false">
      <c r="I109" s="61"/>
    </row>
    <row r="110" customFormat="false" ht="12.75" hidden="false" customHeight="false" outlineLevel="0" collapsed="false">
      <c r="I110" s="61"/>
    </row>
    <row r="111" customFormat="false" ht="12.75" hidden="false" customHeight="false" outlineLevel="0" collapsed="false">
      <c r="I111" s="61"/>
    </row>
    <row r="112" customFormat="false" ht="12.75" hidden="false" customHeight="false" outlineLevel="0" collapsed="false">
      <c r="I112" s="61"/>
    </row>
    <row r="113" customFormat="false" ht="12.75" hidden="false" customHeight="false" outlineLevel="0" collapsed="false">
      <c r="I113" s="61"/>
    </row>
    <row r="114" customFormat="false" ht="12.75" hidden="false" customHeight="false" outlineLevel="0" collapsed="false">
      <c r="I114" s="61"/>
    </row>
    <row r="115" customFormat="false" ht="12.75" hidden="false" customHeight="false" outlineLevel="0" collapsed="false">
      <c r="I115" s="61"/>
    </row>
    <row r="116" customFormat="false" ht="12.75" hidden="false" customHeight="false" outlineLevel="0" collapsed="false">
      <c r="I116" s="61"/>
    </row>
    <row r="117" customFormat="false" ht="12.75" hidden="false" customHeight="false" outlineLevel="0" collapsed="false">
      <c r="I117" s="61"/>
    </row>
    <row r="118" customFormat="false" ht="12.75" hidden="false" customHeight="false" outlineLevel="0" collapsed="false">
      <c r="I118" s="61"/>
    </row>
    <row r="119" customFormat="false" ht="12.75" hidden="false" customHeight="false" outlineLevel="0" collapsed="false">
      <c r="I119" s="61"/>
    </row>
    <row r="120" customFormat="false" ht="12.75" hidden="false" customHeight="false" outlineLevel="0" collapsed="false">
      <c r="I120" s="61"/>
    </row>
    <row r="121" customFormat="false" ht="12.75" hidden="false" customHeight="false" outlineLevel="0" collapsed="false">
      <c r="I121" s="61"/>
    </row>
    <row r="122" customFormat="false" ht="12.75" hidden="false" customHeight="false" outlineLevel="0" collapsed="false">
      <c r="I122" s="61"/>
    </row>
    <row r="123" customFormat="false" ht="12.75" hidden="false" customHeight="false" outlineLevel="0" collapsed="false">
      <c r="I123" s="61"/>
    </row>
    <row r="124" customFormat="false" ht="12.75" hidden="false" customHeight="false" outlineLevel="0" collapsed="false">
      <c r="I124" s="61"/>
    </row>
    <row r="125" customFormat="false" ht="12.75" hidden="false" customHeight="false" outlineLevel="0" collapsed="false">
      <c r="I125" s="61"/>
    </row>
    <row r="126" customFormat="false" ht="12.75" hidden="false" customHeight="false" outlineLevel="0" collapsed="false">
      <c r="I126" s="61"/>
    </row>
    <row r="127" customFormat="false" ht="12.75" hidden="false" customHeight="false" outlineLevel="0" collapsed="false">
      <c r="I127" s="61"/>
    </row>
    <row r="128" customFormat="false" ht="12.75" hidden="false" customHeight="false" outlineLevel="0" collapsed="false">
      <c r="I128" s="61"/>
    </row>
    <row r="129" customFormat="false" ht="12.75" hidden="false" customHeight="false" outlineLevel="0" collapsed="false">
      <c r="I129" s="61"/>
    </row>
    <row r="130" customFormat="false" ht="12.75" hidden="false" customHeight="false" outlineLevel="0" collapsed="false">
      <c r="I130" s="61"/>
    </row>
    <row r="131" customFormat="false" ht="12.75" hidden="false" customHeight="false" outlineLevel="0" collapsed="false">
      <c r="I131" s="61"/>
    </row>
    <row r="132" customFormat="false" ht="12.75" hidden="false" customHeight="false" outlineLevel="0" collapsed="false">
      <c r="I132" s="61"/>
    </row>
    <row r="133" customFormat="false" ht="12.75" hidden="false" customHeight="false" outlineLevel="0" collapsed="false">
      <c r="I133" s="61"/>
    </row>
  </sheetData>
  <mergeCells count="5">
    <mergeCell ref="A1:K1"/>
    <mergeCell ref="A2:K2"/>
    <mergeCell ref="A3:K3"/>
    <mergeCell ref="A4:K4"/>
    <mergeCell ref="I7:K7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&amp;L&amp;"Arial,Italic"&amp;8&amp;D&amp;T&amp;R&amp;"Arial,Italic"&amp;8G:/Common/Tw Fuel Hedge/Fixed2_Avista_1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0.71"/>
    <col collapsed="false" customWidth="true" hidden="true" outlineLevel="0" max="5" min="5" style="0" width="10.71"/>
    <col collapsed="false" customWidth="true" hidden="false" outlineLevel="0" max="8" min="6" style="0" width="10.71"/>
    <col collapsed="false" customWidth="true" hidden="false" outlineLevel="0" max="9" min="9" style="0" width="13.7"/>
    <col collapsed="false" customWidth="true" hidden="false" outlineLevel="0" max="10" min="10" style="61" width="12.14"/>
    <col collapsed="false" customWidth="true" hidden="false" outlineLevel="0" max="11" min="11" style="61" width="13.7"/>
  </cols>
  <sheetData>
    <row r="1" customFormat="false" ht="15" hidden="false" customHeight="false" outlineLevel="0" collapsed="false">
      <c r="A1" s="62" t="s">
        <v>74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customFormat="false" ht="15" hidden="false" customHeight="false" outlineLevel="0" collapsed="false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customFormat="false" ht="15.75" hidden="false" customHeight="false" outlineLevel="0" collapsed="false">
      <c r="A3" s="62" t="s">
        <v>85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customFormat="false" ht="15.75" hidden="false" customHeight="false" outlineLevel="0" collapsed="false">
      <c r="A4" s="63"/>
      <c r="B4" s="63"/>
      <c r="C4" s="63"/>
      <c r="D4" s="63"/>
      <c r="E4" s="63"/>
      <c r="F4" s="63"/>
      <c r="G4" s="63"/>
      <c r="H4" s="63"/>
      <c r="I4" s="63"/>
      <c r="J4" s="64"/>
      <c r="K4" s="64"/>
    </row>
    <row r="6" customFormat="false" ht="12.75" hidden="false" customHeight="false" outlineLevel="0" collapsed="false">
      <c r="A6" s="65" t="s">
        <v>77</v>
      </c>
      <c r="B6" s="66" t="s">
        <v>6</v>
      </c>
      <c r="C6" s="66" t="s">
        <v>6</v>
      </c>
      <c r="D6" s="66" t="s">
        <v>78</v>
      </c>
      <c r="E6" s="66"/>
      <c r="F6" s="66" t="s">
        <v>13</v>
      </c>
      <c r="G6" s="66" t="s">
        <v>79</v>
      </c>
      <c r="H6" s="66" t="s">
        <v>27</v>
      </c>
      <c r="I6" s="67" t="s">
        <v>80</v>
      </c>
      <c r="J6" s="67"/>
      <c r="K6" s="67"/>
    </row>
    <row r="7" customFormat="false" ht="12.75" hidden="false" customHeight="false" outlineLevel="0" collapsed="false">
      <c r="A7" s="68" t="s">
        <v>81</v>
      </c>
      <c r="B7" s="69" t="s">
        <v>16</v>
      </c>
      <c r="C7" s="69" t="s">
        <v>15</v>
      </c>
      <c r="D7" s="69" t="s">
        <v>20</v>
      </c>
      <c r="E7" s="69"/>
      <c r="F7" s="69" t="s">
        <v>82</v>
      </c>
      <c r="G7" s="69" t="s">
        <v>20</v>
      </c>
      <c r="H7" s="69" t="s">
        <v>20</v>
      </c>
      <c r="I7" s="69" t="s">
        <v>29</v>
      </c>
      <c r="J7" s="69" t="s">
        <v>30</v>
      </c>
      <c r="K7" s="70" t="s">
        <v>31</v>
      </c>
    </row>
    <row r="8" customFormat="false" ht="12.75" hidden="false" customHeight="false" outlineLevel="0" collapsed="false">
      <c r="A8" s="71"/>
      <c r="B8" s="72"/>
      <c r="C8" s="72"/>
      <c r="D8" s="72"/>
      <c r="E8" s="72"/>
      <c r="F8" s="72"/>
      <c r="G8" s="73" t="s">
        <v>83</v>
      </c>
      <c r="H8" s="74"/>
      <c r="I8" s="74" t="s">
        <v>34</v>
      </c>
      <c r="J8" s="74" t="s">
        <v>34</v>
      </c>
      <c r="K8" s="75" t="s">
        <v>34</v>
      </c>
    </row>
    <row r="9" customFormat="false" ht="12.75" hidden="false" customHeight="false" outlineLevel="0" collapsed="false">
      <c r="A9" s="97" t="s">
        <v>86</v>
      </c>
      <c r="B9" s="77"/>
      <c r="C9" s="78"/>
      <c r="D9" s="98" t="n">
        <v>1.945</v>
      </c>
      <c r="E9" s="79"/>
      <c r="F9" s="80" t="n">
        <f aca="false">250*30</f>
        <v>7500</v>
      </c>
      <c r="G9" s="98" t="n">
        <v>1.96</v>
      </c>
      <c r="H9" s="98"/>
      <c r="I9" s="81" t="n">
        <f aca="false">SUM(D9-G9)*F9</f>
        <v>-112.499999999999</v>
      </c>
      <c r="J9" s="81" t="n">
        <f aca="false">+I9</f>
        <v>-112.499999999999</v>
      </c>
      <c r="K9" s="81"/>
    </row>
    <row r="10" customFormat="false" ht="12.75" hidden="false" customHeight="false" outlineLevel="0" collapsed="false">
      <c r="A10" s="97" t="s">
        <v>87</v>
      </c>
      <c r="B10" s="77"/>
      <c r="C10" s="78"/>
      <c r="D10" s="98" t="n">
        <v>1.945</v>
      </c>
      <c r="E10" s="79"/>
      <c r="F10" s="80" t="n">
        <f aca="false">250*31</f>
        <v>7750</v>
      </c>
      <c r="G10" s="98" t="n">
        <v>2.05</v>
      </c>
      <c r="H10" s="98"/>
      <c r="I10" s="81" t="n">
        <f aca="false">SUM(D10-G10)*F10</f>
        <v>-813.749999999998</v>
      </c>
      <c r="J10" s="81" t="n">
        <f aca="false">+I10</f>
        <v>-813.749999999998</v>
      </c>
      <c r="K10" s="81"/>
    </row>
    <row r="11" customFormat="false" ht="12.75" hidden="false" customHeight="false" outlineLevel="0" collapsed="false">
      <c r="A11" s="97" t="s">
        <v>88</v>
      </c>
      <c r="B11" s="77"/>
      <c r="C11" s="78"/>
      <c r="D11" s="98" t="n">
        <v>1.945</v>
      </c>
      <c r="E11" s="79"/>
      <c r="F11" s="80" t="n">
        <f aca="false">250*31</f>
        <v>7750</v>
      </c>
      <c r="G11" s="98" t="n">
        <v>2.26</v>
      </c>
      <c r="H11" s="99"/>
      <c r="I11" s="81" t="n">
        <f aca="false">SUM(D11-G11)*F11</f>
        <v>-2441.25</v>
      </c>
      <c r="J11" s="81" t="n">
        <f aca="false">+I11</f>
        <v>-2441.25</v>
      </c>
      <c r="K11" s="81"/>
    </row>
    <row r="12" customFormat="false" ht="12.75" hidden="false" customHeight="false" outlineLevel="0" collapsed="false">
      <c r="A12" s="97" t="s">
        <v>89</v>
      </c>
      <c r="B12" s="77"/>
      <c r="C12" s="78"/>
      <c r="D12" s="98" t="n">
        <v>1.945</v>
      </c>
      <c r="E12" s="79"/>
      <c r="F12" s="80" t="n">
        <f aca="false">250*30</f>
        <v>7500</v>
      </c>
      <c r="G12" s="98" t="n">
        <v>2.63</v>
      </c>
      <c r="H12" s="99"/>
      <c r="I12" s="81" t="n">
        <f aca="false">SUM(D12-G12)*F12</f>
        <v>-5137.5</v>
      </c>
      <c r="J12" s="81" t="n">
        <f aca="false">+I12</f>
        <v>-5137.5</v>
      </c>
      <c r="K12" s="81"/>
    </row>
    <row r="13" customFormat="false" ht="12.75" hidden="false" customHeight="false" outlineLevel="0" collapsed="false">
      <c r="A13" s="97" t="s">
        <v>90</v>
      </c>
      <c r="B13" s="77"/>
      <c r="C13" s="78"/>
      <c r="D13" s="98" t="n">
        <v>1.945</v>
      </c>
      <c r="E13" s="79"/>
      <c r="F13" s="80" t="n">
        <f aca="false">250*31</f>
        <v>7750</v>
      </c>
      <c r="G13" s="99" t="n">
        <v>2.37</v>
      </c>
      <c r="H13" s="99"/>
      <c r="I13" s="81" t="n">
        <f aca="false">SUM(D13-G13)*F13</f>
        <v>-3293.75</v>
      </c>
      <c r="J13" s="81" t="n">
        <f aca="false">+I13</f>
        <v>-3293.75</v>
      </c>
      <c r="K13" s="81"/>
    </row>
    <row r="14" customFormat="false" ht="12.75" hidden="false" customHeight="false" outlineLevel="0" collapsed="false">
      <c r="A14" s="97" t="s">
        <v>91</v>
      </c>
      <c r="B14" s="77"/>
      <c r="C14" s="78"/>
      <c r="D14" s="98" t="n">
        <v>1.945</v>
      </c>
      <c r="E14" s="79"/>
      <c r="F14" s="80" t="n">
        <f aca="false">250*30</f>
        <v>7500</v>
      </c>
      <c r="G14" s="99" t="n">
        <v>2.84</v>
      </c>
      <c r="H14" s="99"/>
      <c r="I14" s="81" t="n">
        <f aca="false">SUM(D14-G14)*F14</f>
        <v>-6712.5</v>
      </c>
      <c r="J14" s="81" t="n">
        <f aca="false">+I14</f>
        <v>-6712.5</v>
      </c>
      <c r="K14" s="81"/>
    </row>
    <row r="15" customFormat="false" ht="12.75" hidden="false" customHeight="false" outlineLevel="0" collapsed="false">
      <c r="A15" s="97" t="s">
        <v>92</v>
      </c>
      <c r="B15" s="77"/>
      <c r="C15" s="78"/>
      <c r="D15" s="98" t="n">
        <v>1.945</v>
      </c>
      <c r="E15" s="79"/>
      <c r="F15" s="80" t="n">
        <f aca="false">250*31</f>
        <v>7750</v>
      </c>
      <c r="G15" s="79"/>
      <c r="H15" s="99" t="n">
        <v>2.08</v>
      </c>
      <c r="I15" s="81" t="n">
        <f aca="false">SUM(D15-H15)*F15</f>
        <v>-1046.25</v>
      </c>
      <c r="J15" s="81"/>
      <c r="K15" s="81" t="n">
        <f aca="false">+I15</f>
        <v>-1046.25</v>
      </c>
    </row>
    <row r="16" customFormat="false" ht="12.75" hidden="false" customHeight="false" outlineLevel="0" collapsed="false">
      <c r="A16" s="97" t="s">
        <v>93</v>
      </c>
      <c r="B16" s="77"/>
      <c r="C16" s="78"/>
      <c r="D16" s="98" t="n">
        <v>1.945</v>
      </c>
      <c r="E16" s="79"/>
      <c r="F16" s="80" t="n">
        <f aca="false">250*31</f>
        <v>7750</v>
      </c>
      <c r="G16" s="79"/>
      <c r="H16" s="99" t="n">
        <f aca="false">+[1]Sheet1!$F9</f>
        <v>2.205</v>
      </c>
      <c r="I16" s="81" t="n">
        <f aca="false">SUM(D16-H16)*F16</f>
        <v>-2015</v>
      </c>
      <c r="J16" s="81"/>
      <c r="K16" s="81" t="n">
        <f aca="false">+I16</f>
        <v>-2015</v>
      </c>
    </row>
    <row r="17" customFormat="false" ht="12.75" hidden="false" customHeight="false" outlineLevel="0" collapsed="false">
      <c r="A17" s="97" t="s">
        <v>94</v>
      </c>
      <c r="B17" s="77"/>
      <c r="C17" s="78"/>
      <c r="D17" s="98" t="n">
        <v>1.945</v>
      </c>
      <c r="E17" s="79"/>
      <c r="F17" s="80" t="n">
        <f aca="false">250*29</f>
        <v>7250</v>
      </c>
      <c r="G17" s="79"/>
      <c r="H17" s="99" t="n">
        <f aca="false">+[1]Sheet1!$F10</f>
        <v>2.202</v>
      </c>
      <c r="I17" s="81" t="n">
        <f aca="false">SUM(D17-H17)*F17</f>
        <v>-1863.25</v>
      </c>
      <c r="J17" s="81"/>
      <c r="K17" s="81" t="n">
        <f aca="false">+I17</f>
        <v>-1863.25</v>
      </c>
    </row>
    <row r="18" customFormat="false" ht="12.75" hidden="false" customHeight="false" outlineLevel="0" collapsed="false">
      <c r="A18" s="97" t="s">
        <v>95</v>
      </c>
      <c r="B18" s="77"/>
      <c r="C18" s="78"/>
      <c r="D18" s="98" t="n">
        <v>1.945</v>
      </c>
      <c r="E18" s="79"/>
      <c r="F18" s="80" t="n">
        <f aca="false">250*31</f>
        <v>7750</v>
      </c>
      <c r="G18" s="79"/>
      <c r="H18" s="99" t="n">
        <f aca="false">+[1]Sheet1!$F11</f>
        <v>2.17</v>
      </c>
      <c r="I18" s="81" t="n">
        <f aca="false">SUM(D18-H18)*F18</f>
        <v>-1743.75</v>
      </c>
      <c r="J18" s="81"/>
      <c r="K18" s="81" t="n">
        <f aca="false">+I18</f>
        <v>-1743.75</v>
      </c>
    </row>
    <row r="19" customFormat="false" ht="12.75" hidden="false" customHeight="false" outlineLevel="0" collapsed="false">
      <c r="A19" s="97" t="s">
        <v>96</v>
      </c>
      <c r="B19" s="77"/>
      <c r="C19" s="78"/>
      <c r="D19" s="98" t="n">
        <v>1.945</v>
      </c>
      <c r="E19" s="79"/>
      <c r="F19" s="80" t="n">
        <f aca="false">250*30</f>
        <v>7500</v>
      </c>
      <c r="G19" s="79"/>
      <c r="H19" s="99" t="n">
        <f aca="false">+[1]Sheet1!$F12</f>
        <v>2.043</v>
      </c>
      <c r="I19" s="81" t="n">
        <f aca="false">SUM(D19-H19)*F19</f>
        <v>-735.000000000001</v>
      </c>
      <c r="J19" s="81"/>
      <c r="K19" s="81" t="n">
        <f aca="false">+I19</f>
        <v>-735.000000000001</v>
      </c>
    </row>
    <row r="20" customFormat="false" ht="12.75" hidden="false" customHeight="false" outlineLevel="0" collapsed="false">
      <c r="A20" s="97" t="s">
        <v>97</v>
      </c>
      <c r="B20" s="77"/>
      <c r="C20" s="78"/>
      <c r="D20" s="98" t="n">
        <v>1.945</v>
      </c>
      <c r="E20" s="79"/>
      <c r="F20" s="80" t="n">
        <f aca="false">250*31</f>
        <v>7750</v>
      </c>
      <c r="G20" s="79"/>
      <c r="H20" s="99" t="n">
        <f aca="false">+[1]Sheet1!$F13</f>
        <v>2.06</v>
      </c>
      <c r="I20" s="81" t="n">
        <f aca="false">SUM(D20-H20)*F20</f>
        <v>-891.25</v>
      </c>
      <c r="J20" s="81"/>
      <c r="K20" s="81" t="n">
        <f aca="false">+I20</f>
        <v>-891.25</v>
      </c>
    </row>
    <row r="21" customFormat="false" ht="12.75" hidden="false" customHeight="false" outlineLevel="0" collapsed="false">
      <c r="A21" s="82"/>
      <c r="B21" s="77"/>
      <c r="C21" s="77"/>
      <c r="D21" s="77"/>
      <c r="E21" s="77"/>
      <c r="F21" s="83" t="n">
        <f aca="false">SUM(F9:F20)</f>
        <v>91500</v>
      </c>
      <c r="G21" s="77"/>
      <c r="H21" s="77"/>
      <c r="I21" s="84" t="n">
        <f aca="false">SUM(I9:I20)</f>
        <v>-26805.75</v>
      </c>
      <c r="J21" s="84" t="n">
        <f aca="false">SUM(J9:J20)</f>
        <v>-18511.25</v>
      </c>
      <c r="K21" s="84" t="n">
        <f aca="false">SUM(K9:K20)</f>
        <v>-8294.5</v>
      </c>
      <c r="L21" s="85" t="n">
        <f aca="false">+J21+K21-I21</f>
        <v>0</v>
      </c>
    </row>
    <row r="22" customFormat="false" ht="12.75" hidden="false" customHeight="false" outlineLevel="0" collapsed="false">
      <c r="A22" s="82"/>
      <c r="B22" s="77"/>
      <c r="C22" s="77"/>
      <c r="D22" s="77"/>
      <c r="E22" s="77"/>
      <c r="F22" s="86"/>
      <c r="G22" s="77"/>
      <c r="H22" s="77"/>
      <c r="I22" s="87"/>
      <c r="J22" s="87"/>
      <c r="K22" s="87"/>
      <c r="L22" s="85"/>
    </row>
    <row r="23" customFormat="false" ht="12.75" hidden="false" customHeight="false" outlineLevel="0" collapsed="false">
      <c r="A23" s="82"/>
      <c r="B23" s="77"/>
      <c r="C23" s="77"/>
      <c r="D23" s="77"/>
      <c r="E23" s="77"/>
      <c r="F23" s="77"/>
      <c r="G23" s="88" t="s">
        <v>84</v>
      </c>
      <c r="H23" s="77"/>
      <c r="I23" s="81"/>
      <c r="J23" s="81"/>
      <c r="K23" s="81"/>
    </row>
    <row r="24" customFormat="false" ht="12.75" hidden="false" customHeight="false" outlineLevel="0" collapsed="false">
      <c r="A24" s="82"/>
      <c r="B24" s="77"/>
      <c r="C24" s="77"/>
      <c r="D24" s="77"/>
      <c r="E24" s="77"/>
      <c r="F24" s="77"/>
      <c r="G24" s="89"/>
      <c r="H24" s="77"/>
      <c r="I24" s="81"/>
      <c r="J24" s="81"/>
      <c r="K24" s="81"/>
    </row>
    <row r="25" customFormat="false" ht="12.75" hidden="false" customHeight="false" outlineLevel="0" collapsed="false">
      <c r="A25" s="97" t="s">
        <v>86</v>
      </c>
      <c r="B25" s="78" t="n">
        <f aca="false">26125</f>
        <v>26125</v>
      </c>
      <c r="C25" s="78" t="s">
        <v>38</v>
      </c>
      <c r="D25" s="98" t="n">
        <v>1.945</v>
      </c>
      <c r="E25" s="80" t="n">
        <f aca="false">-8600*30</f>
        <v>-258000</v>
      </c>
      <c r="F25" s="80" t="n">
        <f aca="false">-F9</f>
        <v>-7500</v>
      </c>
      <c r="G25" s="98" t="n">
        <v>2.07</v>
      </c>
      <c r="H25" s="98"/>
      <c r="I25" s="81" t="n">
        <f aca="false">SUM(D25-G25)*F25</f>
        <v>937.499999999998</v>
      </c>
      <c r="J25" s="81" t="n">
        <f aca="false">+I25</f>
        <v>937.499999999998</v>
      </c>
      <c r="K25" s="81"/>
    </row>
    <row r="26" customFormat="false" ht="12.75" hidden="false" customHeight="false" outlineLevel="0" collapsed="false">
      <c r="A26" s="97" t="s">
        <v>87</v>
      </c>
      <c r="B26" s="78" t="n">
        <f aca="false">26125</f>
        <v>26125</v>
      </c>
      <c r="C26" s="78" t="s">
        <v>38</v>
      </c>
      <c r="D26" s="98" t="n">
        <v>1.945</v>
      </c>
      <c r="E26" s="80" t="n">
        <f aca="false">-8600*31</f>
        <v>-266600</v>
      </c>
      <c r="F26" s="80" t="n">
        <f aca="false">-F10</f>
        <v>-7750</v>
      </c>
      <c r="G26" s="98" t="n">
        <v>2.11</v>
      </c>
      <c r="H26" s="98"/>
      <c r="I26" s="81" t="n">
        <f aca="false">SUM(D26-G26)*F26</f>
        <v>1278.75</v>
      </c>
      <c r="J26" s="81" t="n">
        <f aca="false">+I26</f>
        <v>1278.75</v>
      </c>
      <c r="K26" s="81"/>
    </row>
    <row r="27" customFormat="false" ht="12.75" hidden="false" customHeight="false" outlineLevel="0" collapsed="false">
      <c r="A27" s="97" t="s">
        <v>88</v>
      </c>
      <c r="B27" s="78" t="n">
        <f aca="false">26125</f>
        <v>26125</v>
      </c>
      <c r="C27" s="78" t="s">
        <v>38</v>
      </c>
      <c r="D27" s="98" t="n">
        <v>1.945</v>
      </c>
      <c r="E27" s="80" t="n">
        <f aca="false">-8600*31</f>
        <v>-266600</v>
      </c>
      <c r="F27" s="80" t="n">
        <f aca="false">-F11</f>
        <v>-7750</v>
      </c>
      <c r="G27" s="98" t="n">
        <v>2.51</v>
      </c>
      <c r="H27" s="99"/>
      <c r="I27" s="81" t="n">
        <f aca="false">SUM(D27-G27)*F27</f>
        <v>4378.75</v>
      </c>
      <c r="J27" s="81" t="n">
        <f aca="false">+I27</f>
        <v>4378.75</v>
      </c>
      <c r="K27" s="81"/>
    </row>
    <row r="28" customFormat="false" ht="12.75" hidden="false" customHeight="false" outlineLevel="0" collapsed="false">
      <c r="A28" s="97" t="s">
        <v>89</v>
      </c>
      <c r="B28" s="78" t="n">
        <f aca="false">26125</f>
        <v>26125</v>
      </c>
      <c r="C28" s="78" t="s">
        <v>38</v>
      </c>
      <c r="D28" s="98" t="n">
        <v>1.945</v>
      </c>
      <c r="E28" s="80" t="n">
        <f aca="false">-8600*30</f>
        <v>-258000</v>
      </c>
      <c r="F28" s="80" t="n">
        <f aca="false">-F12</f>
        <v>-7500</v>
      </c>
      <c r="G28" s="98" t="n">
        <v>2.36</v>
      </c>
      <c r="H28" s="99"/>
      <c r="I28" s="81" t="n">
        <f aca="false">SUM(D28-G28)*F28</f>
        <v>3112.5</v>
      </c>
      <c r="J28" s="81" t="n">
        <f aca="false">+I28</f>
        <v>3112.5</v>
      </c>
      <c r="K28" s="81"/>
    </row>
    <row r="29" customFormat="false" ht="12.75" hidden="false" customHeight="false" outlineLevel="0" collapsed="false">
      <c r="A29" s="97" t="s">
        <v>90</v>
      </c>
      <c r="B29" s="78" t="n">
        <f aca="false">26125</f>
        <v>26125</v>
      </c>
      <c r="C29" s="78" t="s">
        <v>38</v>
      </c>
      <c r="D29" s="98" t="n">
        <v>1.945</v>
      </c>
      <c r="E29" s="80" t="n">
        <f aca="false">-8600*31</f>
        <v>-266600</v>
      </c>
      <c r="F29" s="80" t="n">
        <f aca="false">-F13</f>
        <v>-7750</v>
      </c>
      <c r="G29" s="98" t="n">
        <v>2.62</v>
      </c>
      <c r="H29" s="99"/>
      <c r="I29" s="81" t="n">
        <f aca="false">SUM(D29-G29)*F29</f>
        <v>5231.25</v>
      </c>
      <c r="J29" s="81" t="n">
        <f aca="false">+I29</f>
        <v>5231.25</v>
      </c>
      <c r="K29" s="81"/>
    </row>
    <row r="30" customFormat="false" ht="12.75" hidden="false" customHeight="false" outlineLevel="0" collapsed="false">
      <c r="A30" s="97" t="s">
        <v>91</v>
      </c>
      <c r="B30" s="78" t="n">
        <f aca="false">26125</f>
        <v>26125</v>
      </c>
      <c r="C30" s="78" t="s">
        <v>38</v>
      </c>
      <c r="D30" s="98" t="n">
        <v>1.945</v>
      </c>
      <c r="E30" s="80" t="n">
        <f aca="false">-8600*30</f>
        <v>-258000</v>
      </c>
      <c r="F30" s="80" t="n">
        <f aca="false">-F14</f>
        <v>-7500</v>
      </c>
      <c r="G30" s="98" t="n">
        <v>2.17</v>
      </c>
      <c r="H30" s="99"/>
      <c r="I30" s="81" t="n">
        <f aca="false">SUM(D30-G30)*F30</f>
        <v>1687.5</v>
      </c>
      <c r="J30" s="81" t="n">
        <f aca="false">+I30</f>
        <v>1687.5</v>
      </c>
      <c r="K30" s="81"/>
    </row>
    <row r="31" customFormat="false" ht="12.75" hidden="false" customHeight="false" outlineLevel="0" collapsed="false">
      <c r="A31" s="97" t="s">
        <v>92</v>
      </c>
      <c r="B31" s="78" t="n">
        <f aca="false">26125</f>
        <v>26125</v>
      </c>
      <c r="C31" s="78" t="s">
        <v>38</v>
      </c>
      <c r="D31" s="98" t="n">
        <v>1.945</v>
      </c>
      <c r="E31" s="80" t="n">
        <f aca="false">-8600*31</f>
        <v>-266600</v>
      </c>
      <c r="F31" s="80" t="n">
        <f aca="false">-F15</f>
        <v>-7750</v>
      </c>
      <c r="G31" s="79"/>
      <c r="H31" s="99" t="n">
        <v>2.09</v>
      </c>
      <c r="I31" s="81" t="n">
        <f aca="false">SUM(D31-H31)*F31</f>
        <v>1123.75</v>
      </c>
      <c r="J31" s="81"/>
      <c r="K31" s="81" t="n">
        <f aca="false">+I31</f>
        <v>1123.75</v>
      </c>
    </row>
    <row r="32" customFormat="false" ht="12.75" hidden="false" customHeight="false" outlineLevel="0" collapsed="false">
      <c r="A32" s="97" t="s">
        <v>93</v>
      </c>
      <c r="B32" s="78" t="n">
        <f aca="false">26125</f>
        <v>26125</v>
      </c>
      <c r="C32" s="78" t="s">
        <v>38</v>
      </c>
      <c r="D32" s="98" t="n">
        <v>1.945</v>
      </c>
      <c r="E32" s="80" t="n">
        <f aca="false">-8600*31</f>
        <v>-266600</v>
      </c>
      <c r="F32" s="80" t="n">
        <f aca="false">-F16</f>
        <v>-7750</v>
      </c>
      <c r="G32" s="79"/>
      <c r="H32" s="99" t="n">
        <f aca="false">+[1]Sheet1!$R9</f>
        <v>2.19833333333333</v>
      </c>
      <c r="I32" s="81" t="n">
        <f aca="false">SUM(D32-H32)*F32</f>
        <v>1963.33333333333</v>
      </c>
      <c r="J32" s="81"/>
      <c r="K32" s="81" t="n">
        <f aca="false">+I32</f>
        <v>1963.33333333333</v>
      </c>
    </row>
    <row r="33" customFormat="false" ht="12.75" hidden="false" customHeight="false" outlineLevel="0" collapsed="false">
      <c r="A33" s="97" t="s">
        <v>94</v>
      </c>
      <c r="B33" s="78" t="n">
        <f aca="false">26125</f>
        <v>26125</v>
      </c>
      <c r="C33" s="78" t="s">
        <v>38</v>
      </c>
      <c r="D33" s="98" t="n">
        <v>1.945</v>
      </c>
      <c r="E33" s="80" t="n">
        <f aca="false">-8600*28</f>
        <v>-240800</v>
      </c>
      <c r="F33" s="80" t="n">
        <f aca="false">-F17</f>
        <v>-7250</v>
      </c>
      <c r="G33" s="79"/>
      <c r="H33" s="99" t="n">
        <f aca="false">+[1]Sheet1!$R10</f>
        <v>2.202</v>
      </c>
      <c r="I33" s="81" t="n">
        <f aca="false">SUM(D33-H33)*F33</f>
        <v>1863.25</v>
      </c>
      <c r="J33" s="81"/>
      <c r="K33" s="81" t="n">
        <f aca="false">+I33</f>
        <v>1863.25</v>
      </c>
    </row>
    <row r="34" customFormat="false" ht="12.75" hidden="false" customHeight="false" outlineLevel="0" collapsed="false">
      <c r="A34" s="97" t="s">
        <v>95</v>
      </c>
      <c r="B34" s="78" t="n">
        <f aca="false">26125</f>
        <v>26125</v>
      </c>
      <c r="C34" s="78" t="s">
        <v>38</v>
      </c>
      <c r="D34" s="98" t="n">
        <v>1.945</v>
      </c>
      <c r="E34" s="80" t="n">
        <f aca="false">-8600*31</f>
        <v>-266600</v>
      </c>
      <c r="F34" s="80" t="n">
        <f aca="false">-F18</f>
        <v>-7750</v>
      </c>
      <c r="G34" s="79"/>
      <c r="H34" s="99" t="n">
        <f aca="false">+[1]Sheet1!$R11</f>
        <v>2.18</v>
      </c>
      <c r="I34" s="81" t="n">
        <f aca="false">SUM(D34-H34)*F34</f>
        <v>1821.25</v>
      </c>
      <c r="J34" s="81"/>
      <c r="K34" s="81" t="n">
        <f aca="false">+I34</f>
        <v>1821.25</v>
      </c>
    </row>
    <row r="35" customFormat="false" ht="12.75" hidden="false" customHeight="false" outlineLevel="0" collapsed="false">
      <c r="A35" s="97" t="s">
        <v>96</v>
      </c>
      <c r="B35" s="78" t="n">
        <f aca="false">26125</f>
        <v>26125</v>
      </c>
      <c r="C35" s="78" t="s">
        <v>38</v>
      </c>
      <c r="D35" s="98" t="n">
        <v>1.945</v>
      </c>
      <c r="E35" s="80" t="n">
        <f aca="false">-8600*30</f>
        <v>-258000</v>
      </c>
      <c r="F35" s="80" t="n">
        <f aca="false">-F19</f>
        <v>-7500</v>
      </c>
      <c r="G35" s="79"/>
      <c r="H35" s="99" t="n">
        <f aca="false">+[1]Sheet1!$R12</f>
        <v>2.12433333333333</v>
      </c>
      <c r="I35" s="81" t="n">
        <f aca="false">SUM(D35-H35)*F35</f>
        <v>1345</v>
      </c>
      <c r="J35" s="81"/>
      <c r="K35" s="81" t="n">
        <f aca="false">+I35</f>
        <v>1345</v>
      </c>
    </row>
    <row r="36" customFormat="false" ht="12.75" hidden="false" customHeight="false" outlineLevel="0" collapsed="false">
      <c r="A36" s="97" t="s">
        <v>97</v>
      </c>
      <c r="B36" s="78" t="n">
        <f aca="false">26125</f>
        <v>26125</v>
      </c>
      <c r="C36" s="78" t="s">
        <v>38</v>
      </c>
      <c r="D36" s="98" t="n">
        <v>1.945</v>
      </c>
      <c r="E36" s="80" t="n">
        <f aca="false">-8600*31</f>
        <v>-266600</v>
      </c>
      <c r="F36" s="80" t="n">
        <f aca="false">-F20</f>
        <v>-7750</v>
      </c>
      <c r="G36" s="79"/>
      <c r="H36" s="99" t="n">
        <f aca="false">+[1]Sheet1!$R13</f>
        <v>2.14133333333333</v>
      </c>
      <c r="I36" s="81" t="n">
        <f aca="false">SUM(D36-H36)*F36</f>
        <v>1521.58333333333</v>
      </c>
      <c r="J36" s="81"/>
      <c r="K36" s="81" t="n">
        <f aca="false">+I36</f>
        <v>1521.58333333333</v>
      </c>
    </row>
    <row r="37" customFormat="false" ht="12.75" hidden="false" customHeight="false" outlineLevel="0" collapsed="false">
      <c r="A37" s="82"/>
      <c r="B37" s="77"/>
      <c r="C37" s="77"/>
      <c r="D37" s="77"/>
      <c r="E37" s="77"/>
      <c r="F37" s="83" t="n">
        <f aca="false">SUM(F25:F36)</f>
        <v>-91500</v>
      </c>
      <c r="G37" s="77"/>
      <c r="H37" s="98"/>
      <c r="I37" s="84" t="n">
        <f aca="false">SUM(I25:I36)</f>
        <v>26264.4166666667</v>
      </c>
      <c r="J37" s="84" t="n">
        <f aca="false">SUM(J25:J36)</f>
        <v>16626.25</v>
      </c>
      <c r="K37" s="84" t="n">
        <f aca="false">SUM(K25:K36)</f>
        <v>9638.16666666666</v>
      </c>
      <c r="L37" s="85" t="n">
        <f aca="false">+J37+K37-I37</f>
        <v>0</v>
      </c>
    </row>
    <row r="38" customFormat="false" ht="12.75" hidden="false" customHeight="false" outlineLevel="0" collapsed="false">
      <c r="A38" s="82"/>
      <c r="B38" s="77"/>
      <c r="C38" s="77"/>
      <c r="D38" s="77"/>
      <c r="E38" s="77"/>
      <c r="F38" s="77"/>
      <c r="G38" s="77"/>
      <c r="H38" s="77"/>
      <c r="I38" s="81"/>
      <c r="J38" s="81"/>
      <c r="K38" s="81"/>
    </row>
    <row r="39" customFormat="false" ht="13.5" hidden="false" customHeight="false" outlineLevel="0" collapsed="false">
      <c r="A39" s="82"/>
      <c r="B39" s="77"/>
      <c r="C39" s="77"/>
      <c r="D39" s="77"/>
      <c r="E39" s="77"/>
      <c r="F39" s="91" t="n">
        <f aca="false">+F21+F37</f>
        <v>0</v>
      </c>
      <c r="G39" s="77"/>
      <c r="H39" s="77"/>
      <c r="I39" s="92" t="n">
        <f aca="false">+I21+I37</f>
        <v>-541.333333333336</v>
      </c>
      <c r="J39" s="92" t="n">
        <f aca="false">+J21+J37</f>
        <v>-1885</v>
      </c>
      <c r="K39" s="92" t="n">
        <f aca="false">+K21+K37</f>
        <v>1343.66666666666</v>
      </c>
      <c r="L39" s="85" t="n">
        <f aca="false">+J39+K39-I39</f>
        <v>0</v>
      </c>
    </row>
    <row r="40" customFormat="false" ht="13.5" hidden="false" customHeight="false" outlineLevel="0" collapsed="false">
      <c r="A40" s="93"/>
      <c r="B40" s="94"/>
      <c r="C40" s="94"/>
      <c r="D40" s="94"/>
      <c r="E40" s="94"/>
      <c r="F40" s="94"/>
      <c r="G40" s="94"/>
      <c r="H40" s="94"/>
      <c r="I40" s="95"/>
      <c r="J40" s="95"/>
      <c r="K40" s="95"/>
    </row>
    <row r="41" customFormat="false" ht="12.75" hidden="false" customHeight="false" outlineLevel="0" collapsed="false">
      <c r="I41" s="61"/>
    </row>
    <row r="42" customFormat="false" ht="12.75" hidden="false" customHeight="false" outlineLevel="0" collapsed="false">
      <c r="A42" s="60" t="s">
        <v>71</v>
      </c>
      <c r="J42" s="0"/>
      <c r="K42" s="0"/>
    </row>
    <row r="43" customFormat="false" ht="11.25" hidden="false" customHeight="false" outlineLevel="0" collapsed="false">
      <c r="A43" s="60"/>
      <c r="B43" s="60"/>
      <c r="C43" s="60"/>
      <c r="D43" s="60"/>
      <c r="E43" s="60"/>
      <c r="F43" s="60"/>
      <c r="G43" s="60"/>
      <c r="H43" s="60"/>
      <c r="I43" s="96"/>
      <c r="J43" s="96"/>
      <c r="K43" s="96"/>
    </row>
    <row r="44" customFormat="false" ht="12.75" hidden="false" customHeight="false" outlineLevel="0" collapsed="false">
      <c r="I44" s="61"/>
    </row>
    <row r="45" customFormat="false" ht="12.75" hidden="false" customHeight="false" outlineLevel="0" collapsed="false">
      <c r="I45" s="61"/>
    </row>
    <row r="46" customFormat="false" ht="12.75" hidden="false" customHeight="false" outlineLevel="0" collapsed="false">
      <c r="I46" s="61"/>
    </row>
    <row r="47" customFormat="false" ht="12.75" hidden="false" customHeight="false" outlineLevel="0" collapsed="false">
      <c r="I47" s="61"/>
    </row>
    <row r="48" customFormat="false" ht="12.75" hidden="false" customHeight="false" outlineLevel="0" collapsed="false">
      <c r="I48" s="61"/>
    </row>
    <row r="49" customFormat="false" ht="12.75" hidden="false" customHeight="false" outlineLevel="0" collapsed="false">
      <c r="I49" s="61"/>
    </row>
    <row r="50" customFormat="false" ht="12.75" hidden="false" customHeight="false" outlineLevel="0" collapsed="false">
      <c r="I50" s="61"/>
    </row>
    <row r="51" customFormat="false" ht="12.75" hidden="false" customHeight="false" outlineLevel="0" collapsed="false">
      <c r="I51" s="61"/>
    </row>
    <row r="52" customFormat="false" ht="12.75" hidden="false" customHeight="false" outlineLevel="0" collapsed="false">
      <c r="I52" s="61"/>
    </row>
    <row r="53" customFormat="false" ht="12.75" hidden="false" customHeight="false" outlineLevel="0" collapsed="false">
      <c r="I53" s="61"/>
    </row>
    <row r="54" customFormat="false" ht="12.75" hidden="false" customHeight="false" outlineLevel="0" collapsed="false">
      <c r="I54" s="61"/>
    </row>
    <row r="55" customFormat="false" ht="12.75" hidden="false" customHeight="false" outlineLevel="0" collapsed="false">
      <c r="I55" s="61"/>
    </row>
    <row r="56" customFormat="false" ht="12.75" hidden="false" customHeight="false" outlineLevel="0" collapsed="false">
      <c r="I56" s="61"/>
    </row>
    <row r="57" customFormat="false" ht="12.75" hidden="false" customHeight="false" outlineLevel="0" collapsed="false">
      <c r="I57" s="61"/>
    </row>
    <row r="58" customFormat="false" ht="12.75" hidden="false" customHeight="false" outlineLevel="0" collapsed="false">
      <c r="I58" s="61"/>
    </row>
    <row r="59" customFormat="false" ht="12.75" hidden="false" customHeight="false" outlineLevel="0" collapsed="false">
      <c r="I59" s="61"/>
    </row>
    <row r="60" customFormat="false" ht="12.75" hidden="false" customHeight="false" outlineLevel="0" collapsed="false">
      <c r="I60" s="61"/>
    </row>
    <row r="61" customFormat="false" ht="12.75" hidden="false" customHeight="false" outlineLevel="0" collapsed="false">
      <c r="I61" s="61"/>
    </row>
    <row r="62" customFormat="false" ht="12.75" hidden="false" customHeight="false" outlineLevel="0" collapsed="false">
      <c r="I62" s="61"/>
    </row>
    <row r="63" customFormat="false" ht="12.75" hidden="false" customHeight="false" outlineLevel="0" collapsed="false">
      <c r="I63" s="61"/>
    </row>
    <row r="64" customFormat="false" ht="12.75" hidden="false" customHeight="false" outlineLevel="0" collapsed="false">
      <c r="I64" s="61"/>
    </row>
    <row r="65" customFormat="false" ht="12.75" hidden="false" customHeight="false" outlineLevel="0" collapsed="false">
      <c r="I65" s="61"/>
    </row>
    <row r="66" customFormat="false" ht="12.75" hidden="false" customHeight="false" outlineLevel="0" collapsed="false">
      <c r="I66" s="61"/>
    </row>
    <row r="67" customFormat="false" ht="12.75" hidden="false" customHeight="false" outlineLevel="0" collapsed="false">
      <c r="I67" s="61"/>
    </row>
    <row r="68" customFormat="false" ht="12.75" hidden="false" customHeight="false" outlineLevel="0" collapsed="false">
      <c r="I68" s="61"/>
    </row>
    <row r="69" customFormat="false" ht="12.75" hidden="false" customHeight="false" outlineLevel="0" collapsed="false">
      <c r="I69" s="61"/>
    </row>
    <row r="70" customFormat="false" ht="12.75" hidden="false" customHeight="false" outlineLevel="0" collapsed="false">
      <c r="I70" s="61"/>
    </row>
    <row r="71" customFormat="false" ht="12.75" hidden="false" customHeight="false" outlineLevel="0" collapsed="false">
      <c r="I71" s="61"/>
    </row>
    <row r="72" customFormat="false" ht="12.75" hidden="false" customHeight="false" outlineLevel="0" collapsed="false">
      <c r="I72" s="61"/>
    </row>
    <row r="73" customFormat="false" ht="12.75" hidden="false" customHeight="false" outlineLevel="0" collapsed="false">
      <c r="I73" s="61"/>
    </row>
    <row r="74" customFormat="false" ht="12.75" hidden="false" customHeight="false" outlineLevel="0" collapsed="false">
      <c r="I74" s="61"/>
    </row>
    <row r="75" customFormat="false" ht="12.75" hidden="false" customHeight="false" outlineLevel="0" collapsed="false">
      <c r="I75" s="61"/>
    </row>
    <row r="76" customFormat="false" ht="12.75" hidden="false" customHeight="false" outlineLevel="0" collapsed="false">
      <c r="I76" s="61"/>
    </row>
    <row r="77" customFormat="false" ht="12.75" hidden="false" customHeight="false" outlineLevel="0" collapsed="false">
      <c r="I77" s="61"/>
    </row>
    <row r="78" customFormat="false" ht="12.75" hidden="false" customHeight="false" outlineLevel="0" collapsed="false">
      <c r="I78" s="61"/>
    </row>
    <row r="79" customFormat="false" ht="12.75" hidden="false" customHeight="false" outlineLevel="0" collapsed="false">
      <c r="I79" s="61"/>
    </row>
    <row r="80" customFormat="false" ht="12.75" hidden="false" customHeight="false" outlineLevel="0" collapsed="false">
      <c r="I80" s="61"/>
    </row>
    <row r="81" customFormat="false" ht="12.75" hidden="false" customHeight="false" outlineLevel="0" collapsed="false">
      <c r="I81" s="61"/>
    </row>
    <row r="82" customFormat="false" ht="12.75" hidden="false" customHeight="false" outlineLevel="0" collapsed="false">
      <c r="I82" s="61"/>
    </row>
    <row r="83" customFormat="false" ht="12.75" hidden="false" customHeight="false" outlineLevel="0" collapsed="false">
      <c r="I83" s="61"/>
    </row>
    <row r="84" customFormat="false" ht="12.75" hidden="false" customHeight="false" outlineLevel="0" collapsed="false">
      <c r="I84" s="61"/>
    </row>
    <row r="85" customFormat="false" ht="12.75" hidden="false" customHeight="false" outlineLevel="0" collapsed="false">
      <c r="I85" s="61"/>
    </row>
    <row r="86" customFormat="false" ht="12.75" hidden="false" customHeight="false" outlineLevel="0" collapsed="false">
      <c r="I86" s="61"/>
    </row>
    <row r="87" customFormat="false" ht="12.75" hidden="false" customHeight="false" outlineLevel="0" collapsed="false">
      <c r="I87" s="61"/>
    </row>
    <row r="88" customFormat="false" ht="12.75" hidden="false" customHeight="false" outlineLevel="0" collapsed="false">
      <c r="I88" s="61"/>
    </row>
    <row r="89" customFormat="false" ht="12.75" hidden="false" customHeight="false" outlineLevel="0" collapsed="false">
      <c r="I89" s="61"/>
    </row>
    <row r="90" customFormat="false" ht="12.75" hidden="false" customHeight="false" outlineLevel="0" collapsed="false">
      <c r="I90" s="61"/>
    </row>
    <row r="91" customFormat="false" ht="12.75" hidden="false" customHeight="false" outlineLevel="0" collapsed="false">
      <c r="I91" s="61"/>
    </row>
    <row r="92" customFormat="false" ht="12.75" hidden="false" customHeight="false" outlineLevel="0" collapsed="false">
      <c r="I92" s="61"/>
    </row>
    <row r="93" customFormat="false" ht="12.75" hidden="false" customHeight="false" outlineLevel="0" collapsed="false">
      <c r="I93" s="61"/>
    </row>
    <row r="94" customFormat="false" ht="12.75" hidden="false" customHeight="false" outlineLevel="0" collapsed="false">
      <c r="I94" s="61"/>
    </row>
    <row r="95" customFormat="false" ht="12.75" hidden="false" customHeight="false" outlineLevel="0" collapsed="false">
      <c r="I95" s="61"/>
    </row>
    <row r="96" customFormat="false" ht="12.75" hidden="false" customHeight="false" outlineLevel="0" collapsed="false">
      <c r="I96" s="61"/>
    </row>
    <row r="97" customFormat="false" ht="12.75" hidden="false" customHeight="false" outlineLevel="0" collapsed="false">
      <c r="I97" s="61"/>
    </row>
    <row r="98" customFormat="false" ht="12.75" hidden="false" customHeight="false" outlineLevel="0" collapsed="false">
      <c r="I98" s="61"/>
    </row>
    <row r="99" customFormat="false" ht="12.75" hidden="false" customHeight="false" outlineLevel="0" collapsed="false">
      <c r="I99" s="61"/>
    </row>
    <row r="100" customFormat="false" ht="12.75" hidden="false" customHeight="false" outlineLevel="0" collapsed="false">
      <c r="I100" s="61"/>
    </row>
    <row r="101" customFormat="false" ht="12.75" hidden="false" customHeight="false" outlineLevel="0" collapsed="false">
      <c r="I101" s="61"/>
    </row>
    <row r="102" customFormat="false" ht="12.75" hidden="false" customHeight="false" outlineLevel="0" collapsed="false">
      <c r="I102" s="61"/>
    </row>
    <row r="103" customFormat="false" ht="12.75" hidden="false" customHeight="false" outlineLevel="0" collapsed="false">
      <c r="I103" s="61"/>
    </row>
    <row r="104" customFormat="false" ht="12.75" hidden="false" customHeight="false" outlineLevel="0" collapsed="false">
      <c r="I104" s="61"/>
    </row>
    <row r="105" customFormat="false" ht="12.75" hidden="false" customHeight="false" outlineLevel="0" collapsed="false">
      <c r="I105" s="61"/>
    </row>
    <row r="106" customFormat="false" ht="12.75" hidden="false" customHeight="false" outlineLevel="0" collapsed="false">
      <c r="I106" s="61"/>
    </row>
    <row r="107" customFormat="false" ht="12.75" hidden="false" customHeight="false" outlineLevel="0" collapsed="false">
      <c r="I107" s="61"/>
    </row>
    <row r="108" customFormat="false" ht="12.75" hidden="false" customHeight="false" outlineLevel="0" collapsed="false">
      <c r="I108" s="61"/>
    </row>
    <row r="109" customFormat="false" ht="12.75" hidden="false" customHeight="false" outlineLevel="0" collapsed="false">
      <c r="I109" s="61"/>
    </row>
    <row r="110" customFormat="false" ht="12.75" hidden="false" customHeight="false" outlineLevel="0" collapsed="false">
      <c r="I110" s="61"/>
    </row>
    <row r="111" customFormat="false" ht="12.75" hidden="false" customHeight="false" outlineLevel="0" collapsed="false">
      <c r="I111" s="61"/>
    </row>
    <row r="112" customFormat="false" ht="12.75" hidden="false" customHeight="false" outlineLevel="0" collapsed="false">
      <c r="I112" s="61"/>
    </row>
    <row r="113" customFormat="false" ht="12.75" hidden="false" customHeight="false" outlineLevel="0" collapsed="false">
      <c r="I113" s="61"/>
    </row>
    <row r="114" customFormat="false" ht="12.75" hidden="false" customHeight="false" outlineLevel="0" collapsed="false">
      <c r="I114" s="61"/>
    </row>
    <row r="115" customFormat="false" ht="12.75" hidden="false" customHeight="false" outlineLevel="0" collapsed="false">
      <c r="I115" s="61"/>
    </row>
    <row r="116" customFormat="false" ht="12.75" hidden="false" customHeight="false" outlineLevel="0" collapsed="false">
      <c r="I116" s="61"/>
    </row>
    <row r="117" customFormat="false" ht="12.75" hidden="false" customHeight="false" outlineLevel="0" collapsed="false">
      <c r="I117" s="61"/>
    </row>
    <row r="118" customFormat="false" ht="12.75" hidden="false" customHeight="false" outlineLevel="0" collapsed="false">
      <c r="I118" s="61"/>
    </row>
    <row r="119" customFormat="false" ht="12.75" hidden="false" customHeight="false" outlineLevel="0" collapsed="false">
      <c r="I119" s="61"/>
    </row>
    <row r="120" customFormat="false" ht="12.75" hidden="false" customHeight="false" outlineLevel="0" collapsed="false">
      <c r="I120" s="61"/>
    </row>
    <row r="121" customFormat="false" ht="12.75" hidden="false" customHeight="false" outlineLevel="0" collapsed="false">
      <c r="I121" s="61"/>
    </row>
    <row r="122" customFormat="false" ht="12.75" hidden="false" customHeight="false" outlineLevel="0" collapsed="false">
      <c r="I122" s="61"/>
    </row>
    <row r="123" customFormat="false" ht="12.75" hidden="false" customHeight="false" outlineLevel="0" collapsed="false">
      <c r="I123" s="61"/>
    </row>
    <row r="124" customFormat="false" ht="12.75" hidden="false" customHeight="false" outlineLevel="0" collapsed="false">
      <c r="I124" s="61"/>
    </row>
    <row r="125" customFormat="false" ht="12.75" hidden="false" customHeight="false" outlineLevel="0" collapsed="false">
      <c r="I125" s="61"/>
    </row>
    <row r="126" customFormat="false" ht="12.75" hidden="false" customHeight="false" outlineLevel="0" collapsed="false">
      <c r="I126" s="61"/>
    </row>
    <row r="127" customFormat="false" ht="12.75" hidden="false" customHeight="false" outlineLevel="0" collapsed="false">
      <c r="I127" s="61"/>
    </row>
    <row r="128" customFormat="false" ht="12.75" hidden="false" customHeight="false" outlineLevel="0" collapsed="false">
      <c r="I128" s="61"/>
    </row>
    <row r="129" customFormat="false" ht="12.75" hidden="false" customHeight="false" outlineLevel="0" collapsed="false">
      <c r="I129" s="61"/>
    </row>
    <row r="130" customFormat="false" ht="12.75" hidden="false" customHeight="false" outlineLevel="0" collapsed="false">
      <c r="I130" s="61"/>
    </row>
    <row r="131" customFormat="false" ht="12.75" hidden="false" customHeight="false" outlineLevel="0" collapsed="false">
      <c r="I131" s="61"/>
    </row>
    <row r="132" customFormat="false" ht="12.75" hidden="false" customHeight="false" outlineLevel="0" collapsed="false">
      <c r="I132" s="61"/>
    </row>
  </sheetData>
  <mergeCells count="4">
    <mergeCell ref="A1:K1"/>
    <mergeCell ref="A2:K2"/>
    <mergeCell ref="A3:K3"/>
    <mergeCell ref="I6:K6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&amp;L&amp;"Arial,Italic"&amp;8&amp;D&amp;T&amp;R&amp;"Arial,Italic"&amp;8G:/Common/TW Fuel Hedge/Fixed2_?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14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3.7"/>
    <col collapsed="false" customWidth="true" hidden="false" outlineLevel="0" max="10" min="10" style="61" width="13.41"/>
    <col collapsed="false" customWidth="true" hidden="false" outlineLevel="0" max="11" min="11" style="61" width="13.7"/>
  </cols>
  <sheetData>
    <row r="1" customFormat="false" ht="15" hidden="false" customHeight="false" outlineLevel="0" collapsed="false">
      <c r="A1" s="62" t="s">
        <v>74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customFormat="false" ht="15" hidden="false" customHeight="false" outlineLevel="0" collapsed="false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customFormat="false" ht="15.75" hidden="false" customHeight="false" outlineLevel="0" collapsed="false">
      <c r="A3" s="62" t="s">
        <v>98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customFormat="false" ht="15.75" hidden="false" customHeight="false" outlineLevel="0" collapsed="false">
      <c r="A4" s="63"/>
      <c r="B4" s="63"/>
      <c r="C4" s="63"/>
      <c r="D4" s="63"/>
      <c r="E4" s="63"/>
      <c r="F4" s="63"/>
      <c r="G4" s="63"/>
      <c r="H4" s="63"/>
      <c r="I4" s="63"/>
      <c r="J4" s="64"/>
      <c r="K4" s="64"/>
    </row>
    <row r="6" customFormat="false" ht="12.75" hidden="false" customHeight="false" outlineLevel="0" collapsed="false">
      <c r="A6" s="65" t="s">
        <v>77</v>
      </c>
      <c r="B6" s="66" t="s">
        <v>6</v>
      </c>
      <c r="C6" s="66" t="s">
        <v>6</v>
      </c>
      <c r="D6" s="66" t="s">
        <v>78</v>
      </c>
      <c r="E6" s="66"/>
      <c r="F6" s="66" t="s">
        <v>13</v>
      </c>
      <c r="G6" s="66" t="s">
        <v>79</v>
      </c>
      <c r="H6" s="66" t="s">
        <v>27</v>
      </c>
      <c r="I6" s="67" t="s">
        <v>80</v>
      </c>
      <c r="J6" s="67"/>
      <c r="K6" s="67"/>
    </row>
    <row r="7" customFormat="false" ht="12.75" hidden="false" customHeight="false" outlineLevel="0" collapsed="false">
      <c r="A7" s="68" t="s">
        <v>81</v>
      </c>
      <c r="B7" s="69" t="s">
        <v>16</v>
      </c>
      <c r="C7" s="69" t="s">
        <v>15</v>
      </c>
      <c r="D7" s="69" t="s">
        <v>20</v>
      </c>
      <c r="E7" s="69"/>
      <c r="F7" s="69" t="s">
        <v>82</v>
      </c>
      <c r="G7" s="69" t="s">
        <v>20</v>
      </c>
      <c r="H7" s="69" t="s">
        <v>20</v>
      </c>
      <c r="I7" s="69" t="s">
        <v>29</v>
      </c>
      <c r="J7" s="69" t="s">
        <v>30</v>
      </c>
      <c r="K7" s="70" t="s">
        <v>31</v>
      </c>
    </row>
    <row r="8" customFormat="false" ht="12.75" hidden="false" customHeight="false" outlineLevel="0" collapsed="false">
      <c r="A8" s="71"/>
      <c r="B8" s="72"/>
      <c r="C8" s="72"/>
      <c r="D8" s="72"/>
      <c r="E8" s="72"/>
      <c r="F8" s="72"/>
      <c r="G8" s="100" t="s">
        <v>99</v>
      </c>
      <c r="H8" s="74"/>
      <c r="I8" s="74" t="s">
        <v>34</v>
      </c>
      <c r="J8" s="74" t="s">
        <v>34</v>
      </c>
      <c r="K8" s="75" t="s">
        <v>34</v>
      </c>
    </row>
    <row r="9" customFormat="false" ht="12.75" hidden="false" customHeight="false" outlineLevel="0" collapsed="false">
      <c r="A9" s="101" t="n">
        <v>36069</v>
      </c>
      <c r="B9" s="77"/>
      <c r="C9" s="78" t="s">
        <v>36</v>
      </c>
      <c r="D9" s="99" t="n">
        <f aca="false">2.005</f>
        <v>2.005</v>
      </c>
      <c r="E9" s="77"/>
      <c r="F9" s="80" t="n">
        <f aca="false">-2500*31</f>
        <v>-77500</v>
      </c>
      <c r="G9" s="99" t="n">
        <f aca="false">1.82</f>
        <v>1.82</v>
      </c>
      <c r="H9" s="77"/>
      <c r="I9" s="79" t="n">
        <f aca="false">SUM(D9-G9)*F9</f>
        <v>-14337.5</v>
      </c>
      <c r="J9" s="81" t="n">
        <f aca="false">+I9</f>
        <v>-14337.5</v>
      </c>
      <c r="K9" s="81"/>
    </row>
    <row r="10" customFormat="false" ht="12.75" hidden="false" customHeight="false" outlineLevel="0" collapsed="false">
      <c r="A10" s="101" t="n">
        <v>36100</v>
      </c>
      <c r="B10" s="77"/>
      <c r="C10" s="78" t="s">
        <v>36</v>
      </c>
      <c r="D10" s="99" t="n">
        <f aca="false">2.005</f>
        <v>2.005</v>
      </c>
      <c r="E10" s="77"/>
      <c r="F10" s="80" t="n">
        <f aca="false">-2500*30</f>
        <v>-75000</v>
      </c>
      <c r="G10" s="99" t="n">
        <v>1.92</v>
      </c>
      <c r="H10" s="99"/>
      <c r="I10" s="79" t="n">
        <f aca="false">SUM(D10-G10)*F10</f>
        <v>-6375</v>
      </c>
      <c r="J10" s="81" t="n">
        <f aca="false">+I10</f>
        <v>-6375</v>
      </c>
      <c r="K10" s="81"/>
    </row>
    <row r="11" customFormat="false" ht="12.75" hidden="false" customHeight="false" outlineLevel="0" collapsed="false">
      <c r="A11" s="101" t="n">
        <v>36130</v>
      </c>
      <c r="B11" s="77"/>
      <c r="C11" s="78" t="s">
        <v>36</v>
      </c>
      <c r="D11" s="99" t="n">
        <f aca="false">2.005</f>
        <v>2.005</v>
      </c>
      <c r="E11" s="77"/>
      <c r="F11" s="80" t="n">
        <f aca="false">-2500*31</f>
        <v>-77500</v>
      </c>
      <c r="G11" s="99" t="n">
        <v>1.99</v>
      </c>
      <c r="H11" s="99"/>
      <c r="I11" s="79" t="n">
        <f aca="false">SUM(D11-G11)*F11</f>
        <v>-1162.49999999999</v>
      </c>
      <c r="J11" s="81" t="n">
        <f aca="false">+I11</f>
        <v>-1162.49999999999</v>
      </c>
      <c r="K11" s="81"/>
    </row>
    <row r="12" customFormat="false" ht="12.75" hidden="false" customHeight="false" outlineLevel="0" collapsed="false">
      <c r="A12" s="101" t="n">
        <v>36161</v>
      </c>
      <c r="B12" s="77"/>
      <c r="C12" s="78" t="s">
        <v>36</v>
      </c>
      <c r="D12" s="99" t="n">
        <f aca="false">2.005</f>
        <v>2.005</v>
      </c>
      <c r="E12" s="77"/>
      <c r="F12" s="80" t="n">
        <f aca="false">-2500*31</f>
        <v>-77500</v>
      </c>
      <c r="G12" s="99" t="n">
        <v>1.73</v>
      </c>
      <c r="H12" s="99"/>
      <c r="I12" s="79" t="n">
        <f aca="false">SUM(D12-G12)*F12</f>
        <v>-21312.5</v>
      </c>
      <c r="J12" s="81" t="n">
        <f aca="false">+I12</f>
        <v>-21312.5</v>
      </c>
      <c r="K12" s="81"/>
    </row>
    <row r="13" customFormat="false" ht="12.75" hidden="false" customHeight="false" outlineLevel="0" collapsed="false">
      <c r="A13" s="101" t="n">
        <v>36192</v>
      </c>
      <c r="B13" s="77"/>
      <c r="C13" s="78" t="s">
        <v>36</v>
      </c>
      <c r="D13" s="99" t="n">
        <f aca="false">2.005</f>
        <v>2.005</v>
      </c>
      <c r="E13" s="77"/>
      <c r="F13" s="80" t="n">
        <f aca="false">-2500*28</f>
        <v>-70000</v>
      </c>
      <c r="G13" s="99" t="n">
        <v>1.66</v>
      </c>
      <c r="H13" s="99"/>
      <c r="I13" s="79" t="n">
        <f aca="false">SUM(D13-G13)*F13</f>
        <v>-24150</v>
      </c>
      <c r="J13" s="81" t="n">
        <f aca="false">+I13</f>
        <v>-24150</v>
      </c>
      <c r="K13" s="81"/>
    </row>
    <row r="14" customFormat="false" ht="12.75" hidden="false" customHeight="false" outlineLevel="0" collapsed="false">
      <c r="A14" s="101" t="n">
        <v>36220</v>
      </c>
      <c r="B14" s="77"/>
      <c r="C14" s="78" t="s">
        <v>36</v>
      </c>
      <c r="D14" s="99" t="n">
        <f aca="false">2.005</f>
        <v>2.005</v>
      </c>
      <c r="E14" s="77"/>
      <c r="F14" s="80" t="n">
        <f aca="false">-2500*31</f>
        <v>-77500</v>
      </c>
      <c r="G14" s="99" t="n">
        <v>1.54</v>
      </c>
      <c r="H14" s="99"/>
      <c r="I14" s="79" t="n">
        <f aca="false">SUM(D14-G14)*F14</f>
        <v>-36037.5</v>
      </c>
      <c r="J14" s="81" t="n">
        <f aca="false">+I14</f>
        <v>-36037.5</v>
      </c>
      <c r="K14" s="81"/>
    </row>
    <row r="15" customFormat="false" ht="12.75" hidden="false" customHeight="false" outlineLevel="0" collapsed="false">
      <c r="A15" s="101" t="n">
        <v>36251</v>
      </c>
      <c r="B15" s="77"/>
      <c r="C15" s="78" t="s">
        <v>36</v>
      </c>
      <c r="D15" s="99" t="n">
        <f aca="false">2.005</f>
        <v>2.005</v>
      </c>
      <c r="E15" s="77"/>
      <c r="F15" s="80" t="n">
        <f aca="false">-2500*30</f>
        <v>-75000</v>
      </c>
      <c r="G15" s="99" t="n">
        <v>1.66</v>
      </c>
      <c r="H15" s="99"/>
      <c r="I15" s="79" t="n">
        <f aca="false">SUM(D15-G15)*F15</f>
        <v>-25875</v>
      </c>
      <c r="J15" s="81" t="n">
        <f aca="false">+I15</f>
        <v>-25875</v>
      </c>
      <c r="K15" s="81"/>
    </row>
    <row r="16" customFormat="false" ht="12.75" hidden="false" customHeight="false" outlineLevel="0" collapsed="false">
      <c r="A16" s="101" t="n">
        <v>36281</v>
      </c>
      <c r="B16" s="77"/>
      <c r="C16" s="78" t="s">
        <v>36</v>
      </c>
      <c r="D16" s="99" t="n">
        <f aca="false">2.005</f>
        <v>2.005</v>
      </c>
      <c r="E16" s="77"/>
      <c r="F16" s="80" t="n">
        <f aca="false">-2500*31</f>
        <v>-77500</v>
      </c>
      <c r="G16" s="99" t="n">
        <v>2.16</v>
      </c>
      <c r="H16" s="99"/>
      <c r="I16" s="79" t="n">
        <f aca="false">SUM(D16-G16)*F16</f>
        <v>12012.5</v>
      </c>
      <c r="J16" s="81" t="n">
        <f aca="false">+I16</f>
        <v>12012.5</v>
      </c>
      <c r="K16" s="81"/>
    </row>
    <row r="17" customFormat="false" ht="12.75" hidden="false" customHeight="false" outlineLevel="0" collapsed="false">
      <c r="A17" s="101" t="n">
        <v>36312</v>
      </c>
      <c r="B17" s="77"/>
      <c r="C17" s="78" t="s">
        <v>36</v>
      </c>
      <c r="D17" s="99" t="n">
        <f aca="false">2.005</f>
        <v>2.005</v>
      </c>
      <c r="E17" s="77"/>
      <c r="F17" s="80" t="n">
        <f aca="false">-2500*30</f>
        <v>-75000</v>
      </c>
      <c r="G17" s="99" t="n">
        <v>2.08</v>
      </c>
      <c r="H17" s="99"/>
      <c r="I17" s="79" t="n">
        <f aca="false">SUM(D17-G17)*F17</f>
        <v>5625.00000000001</v>
      </c>
      <c r="J17" s="81" t="n">
        <f aca="false">+I17</f>
        <v>5625.00000000001</v>
      </c>
      <c r="K17" s="81"/>
    </row>
    <row r="18" customFormat="false" ht="12.75" hidden="false" customHeight="false" outlineLevel="0" collapsed="false">
      <c r="A18" s="101" t="n">
        <v>36342</v>
      </c>
      <c r="B18" s="77"/>
      <c r="C18" s="78" t="s">
        <v>36</v>
      </c>
      <c r="D18" s="99" t="n">
        <f aca="false">2.005</f>
        <v>2.005</v>
      </c>
      <c r="E18" s="77"/>
      <c r="F18" s="80" t="n">
        <f aca="false">-2500*31</f>
        <v>-77500</v>
      </c>
      <c r="G18" s="99" t="n">
        <v>2.17</v>
      </c>
      <c r="H18" s="99"/>
      <c r="I18" s="79" t="n">
        <f aca="false">SUM(D18-G18)*F18</f>
        <v>12787.5</v>
      </c>
      <c r="J18" s="81" t="n">
        <f aca="false">+I18</f>
        <v>12787.5</v>
      </c>
      <c r="K18" s="81"/>
    </row>
    <row r="19" customFormat="false" ht="12.75" hidden="false" customHeight="false" outlineLevel="0" collapsed="false">
      <c r="A19" s="101" t="n">
        <v>36373</v>
      </c>
      <c r="B19" s="77"/>
      <c r="C19" s="78" t="s">
        <v>36</v>
      </c>
      <c r="D19" s="99" t="n">
        <f aca="false">2.005</f>
        <v>2.005</v>
      </c>
      <c r="E19" s="77"/>
      <c r="F19" s="80" t="n">
        <f aca="false">-2500*31</f>
        <v>-77500</v>
      </c>
      <c r="G19" s="99" t="n">
        <v>2.46</v>
      </c>
      <c r="H19" s="99"/>
      <c r="I19" s="79" t="n">
        <f aca="false">SUM(D19-G19)*F19</f>
        <v>35262.5</v>
      </c>
      <c r="J19" s="81" t="n">
        <f aca="false">+I19</f>
        <v>35262.5</v>
      </c>
      <c r="K19" s="81"/>
    </row>
    <row r="20" customFormat="false" ht="12.75" hidden="false" customHeight="false" outlineLevel="0" collapsed="false">
      <c r="A20" s="101" t="n">
        <v>36404</v>
      </c>
      <c r="B20" s="77"/>
      <c r="C20" s="78" t="s">
        <v>36</v>
      </c>
      <c r="D20" s="99" t="n">
        <f aca="false">2.005</f>
        <v>2.005</v>
      </c>
      <c r="E20" s="77"/>
      <c r="F20" s="80" t="n">
        <f aca="false">-2500*30</f>
        <v>-75000</v>
      </c>
      <c r="G20" s="99" t="n">
        <v>2.78</v>
      </c>
      <c r="H20" s="99"/>
      <c r="I20" s="79" t="n">
        <f aca="false">SUM(D20-G20)*F20</f>
        <v>58125</v>
      </c>
      <c r="J20" s="81" t="n">
        <f aca="false">+I20</f>
        <v>58125</v>
      </c>
      <c r="K20" s="81"/>
    </row>
    <row r="21" customFormat="false" ht="12.75" hidden="false" customHeight="false" outlineLevel="0" collapsed="false">
      <c r="A21" s="101" t="n">
        <v>36434</v>
      </c>
      <c r="B21" s="77"/>
      <c r="C21" s="78" t="s">
        <v>36</v>
      </c>
      <c r="D21" s="99" t="n">
        <f aca="false">2.005</f>
        <v>2.005</v>
      </c>
      <c r="E21" s="77"/>
      <c r="F21" s="80" t="n">
        <f aca="false">-2500*31</f>
        <v>-77500</v>
      </c>
      <c r="G21" s="99" t="n">
        <v>2.42</v>
      </c>
      <c r="H21" s="99"/>
      <c r="I21" s="79" t="n">
        <f aca="false">SUM(D21-G21)*F21</f>
        <v>32162.5</v>
      </c>
      <c r="J21" s="81" t="n">
        <f aca="false">+I21</f>
        <v>32162.5</v>
      </c>
      <c r="K21" s="81"/>
    </row>
    <row r="22" customFormat="false" ht="12.75" hidden="false" customHeight="false" outlineLevel="0" collapsed="false">
      <c r="A22" s="101" t="n">
        <v>36465</v>
      </c>
      <c r="B22" s="77"/>
      <c r="C22" s="78" t="s">
        <v>36</v>
      </c>
      <c r="D22" s="99" t="n">
        <f aca="false">2.005</f>
        <v>2.005</v>
      </c>
      <c r="E22" s="77"/>
      <c r="F22" s="80" t="n">
        <f aca="false">-2500*30</f>
        <v>-75000</v>
      </c>
      <c r="G22" s="99" t="n">
        <v>2.87</v>
      </c>
      <c r="H22" s="99"/>
      <c r="I22" s="79" t="n">
        <f aca="false">SUM(D22-G22)*F22</f>
        <v>64875</v>
      </c>
      <c r="J22" s="81" t="n">
        <f aca="false">+I22</f>
        <v>64875</v>
      </c>
      <c r="K22" s="81"/>
    </row>
    <row r="23" customFormat="false" ht="12.75" hidden="false" customHeight="false" outlineLevel="0" collapsed="false">
      <c r="A23" s="101" t="n">
        <v>36495</v>
      </c>
      <c r="B23" s="77"/>
      <c r="C23" s="78" t="s">
        <v>36</v>
      </c>
      <c r="D23" s="99" t="n">
        <f aca="false">2.005</f>
        <v>2.005</v>
      </c>
      <c r="E23" s="77"/>
      <c r="F23" s="80" t="n">
        <f aca="false">-2500*31</f>
        <v>-77500</v>
      </c>
      <c r="G23" s="77"/>
      <c r="H23" s="99" t="n">
        <v>2.08</v>
      </c>
      <c r="I23" s="79" t="n">
        <f aca="false">SUM(D23-H23)*F23</f>
        <v>5812.50000000001</v>
      </c>
      <c r="J23" s="81"/>
      <c r="K23" s="81" t="n">
        <f aca="false">+I23</f>
        <v>5812.50000000001</v>
      </c>
    </row>
    <row r="24" customFormat="false" ht="12.75" hidden="false" customHeight="false" outlineLevel="0" collapsed="false">
      <c r="A24" s="77"/>
      <c r="B24" s="77"/>
      <c r="C24" s="77"/>
      <c r="D24" s="77"/>
      <c r="E24" s="77"/>
      <c r="F24" s="83" t="n">
        <f aca="false">SUM(F9:F23)</f>
        <v>-1142500</v>
      </c>
      <c r="G24" s="77"/>
      <c r="H24" s="77"/>
      <c r="I24" s="102" t="n">
        <f aca="false">SUM(I9:I23)</f>
        <v>97412.5000000001</v>
      </c>
      <c r="J24" s="102" t="n">
        <f aca="false">SUM(J9:J23)</f>
        <v>91600.0000000001</v>
      </c>
      <c r="K24" s="102" t="n">
        <f aca="false">SUM(K9:K23)</f>
        <v>5812.50000000001</v>
      </c>
      <c r="L24" s="85" t="n">
        <f aca="false">+J24+K24-I24</f>
        <v>0</v>
      </c>
    </row>
    <row r="25" customFormat="false" ht="12.75" hidden="false" customHeight="false" outlineLevel="0" collapsed="false">
      <c r="A25" s="77"/>
      <c r="B25" s="77"/>
      <c r="C25" s="77"/>
      <c r="D25" s="77"/>
      <c r="E25" s="77"/>
      <c r="F25" s="86"/>
      <c r="G25" s="77"/>
      <c r="H25" s="77"/>
      <c r="I25" s="103"/>
      <c r="J25" s="104"/>
      <c r="K25" s="104"/>
      <c r="L25" s="85"/>
    </row>
    <row r="26" customFormat="false" ht="12.75" hidden="false" customHeight="false" outlineLevel="0" collapsed="false">
      <c r="A26" s="77"/>
      <c r="B26" s="77"/>
      <c r="C26" s="77"/>
      <c r="D26" s="77"/>
      <c r="E26" s="77"/>
      <c r="F26" s="86"/>
      <c r="G26" s="88" t="s">
        <v>84</v>
      </c>
      <c r="H26" s="77"/>
      <c r="I26" s="103"/>
      <c r="J26" s="104"/>
      <c r="K26" s="104"/>
      <c r="L26" s="85"/>
    </row>
    <row r="27" customFormat="false" ht="12.75" hidden="false" customHeight="false" outlineLevel="0" collapsed="false">
      <c r="A27" s="77"/>
      <c r="B27" s="77"/>
      <c r="C27" s="77"/>
      <c r="D27" s="77"/>
      <c r="E27" s="77"/>
      <c r="F27" s="77"/>
      <c r="G27" s="77"/>
      <c r="H27" s="77"/>
      <c r="I27" s="77"/>
      <c r="J27" s="81"/>
      <c r="K27" s="81"/>
    </row>
    <row r="28" customFormat="false" ht="12.75" hidden="false" customHeight="false" outlineLevel="0" collapsed="false">
      <c r="A28" s="101" t="n">
        <v>36069</v>
      </c>
      <c r="B28" s="77"/>
      <c r="C28" s="78" t="s">
        <v>100</v>
      </c>
      <c r="D28" s="99" t="n">
        <f aca="false">2.005</f>
        <v>2.005</v>
      </c>
      <c r="E28" s="77"/>
      <c r="F28" s="80" t="n">
        <f aca="false">2500*31</f>
        <v>77500</v>
      </c>
      <c r="G28" s="99" t="n">
        <v>1.78</v>
      </c>
      <c r="H28" s="99"/>
      <c r="I28" s="79" t="n">
        <f aca="false">SUM(D28-G28)*F28</f>
        <v>17437.5</v>
      </c>
      <c r="J28" s="81" t="n">
        <f aca="false">+I28</f>
        <v>17437.5</v>
      </c>
      <c r="K28" s="81"/>
    </row>
    <row r="29" customFormat="false" ht="12.75" hidden="false" customHeight="false" outlineLevel="0" collapsed="false">
      <c r="A29" s="101" t="n">
        <v>36100</v>
      </c>
      <c r="B29" s="77"/>
      <c r="C29" s="78" t="s">
        <v>100</v>
      </c>
      <c r="D29" s="99" t="n">
        <f aca="false">2.005</f>
        <v>2.005</v>
      </c>
      <c r="E29" s="77"/>
      <c r="F29" s="80" t="n">
        <f aca="false">2500*30</f>
        <v>75000</v>
      </c>
      <c r="G29" s="99" t="n">
        <v>1.99</v>
      </c>
      <c r="H29" s="99"/>
      <c r="I29" s="79" t="n">
        <f aca="false">SUM(D29-G29)*F29</f>
        <v>1124.99999999999</v>
      </c>
      <c r="J29" s="81" t="n">
        <f aca="false">+I29</f>
        <v>1124.99999999999</v>
      </c>
      <c r="K29" s="81"/>
    </row>
    <row r="30" customFormat="false" ht="12.75" hidden="false" customHeight="false" outlineLevel="0" collapsed="false">
      <c r="A30" s="101" t="n">
        <v>36130</v>
      </c>
      <c r="B30" s="77"/>
      <c r="C30" s="78" t="s">
        <v>100</v>
      </c>
      <c r="D30" s="99" t="n">
        <f aca="false">2.005</f>
        <v>2.005</v>
      </c>
      <c r="E30" s="77"/>
      <c r="F30" s="80" t="n">
        <f aca="false">2500*31</f>
        <v>77500</v>
      </c>
      <c r="G30" s="99" t="n">
        <v>1.74</v>
      </c>
      <c r="H30" s="99"/>
      <c r="I30" s="79" t="n">
        <f aca="false">SUM(D30-G30)*F30</f>
        <v>20537.5</v>
      </c>
      <c r="J30" s="81" t="n">
        <f aca="false">+I30</f>
        <v>20537.5</v>
      </c>
      <c r="K30" s="81"/>
    </row>
    <row r="31" customFormat="false" ht="12.75" hidden="false" customHeight="false" outlineLevel="0" collapsed="false">
      <c r="A31" s="101" t="n">
        <v>36161</v>
      </c>
      <c r="B31" s="77"/>
      <c r="C31" s="78" t="s">
        <v>100</v>
      </c>
      <c r="D31" s="99" t="n">
        <f aca="false">2.005</f>
        <v>2.005</v>
      </c>
      <c r="E31" s="77"/>
      <c r="F31" s="80" t="n">
        <f aca="false">2500*31</f>
        <v>77500</v>
      </c>
      <c r="G31" s="99" t="n">
        <v>1.73</v>
      </c>
      <c r="H31" s="99"/>
      <c r="I31" s="79" t="n">
        <f aca="false">SUM(D31-G31)*F31</f>
        <v>21312.5</v>
      </c>
      <c r="J31" s="81" t="n">
        <f aca="false">+I31</f>
        <v>21312.5</v>
      </c>
      <c r="K31" s="81"/>
    </row>
    <row r="32" customFormat="false" ht="12.75" hidden="false" customHeight="false" outlineLevel="0" collapsed="false">
      <c r="A32" s="101" t="n">
        <v>36192</v>
      </c>
      <c r="B32" s="77"/>
      <c r="C32" s="78" t="s">
        <v>100</v>
      </c>
      <c r="D32" s="99" t="n">
        <f aca="false">2.005</f>
        <v>2.005</v>
      </c>
      <c r="E32" s="77"/>
      <c r="F32" s="80" t="n">
        <f aca="false">2500*28</f>
        <v>70000</v>
      </c>
      <c r="G32" s="99" t="n">
        <v>1.63</v>
      </c>
      <c r="H32" s="99"/>
      <c r="I32" s="79" t="n">
        <f aca="false">SUM(D32-G32)*F32</f>
        <v>26250</v>
      </c>
      <c r="J32" s="81" t="n">
        <f aca="false">+I32</f>
        <v>26250</v>
      </c>
      <c r="K32" s="81"/>
    </row>
    <row r="33" customFormat="false" ht="12.75" hidden="false" customHeight="false" outlineLevel="0" collapsed="false">
      <c r="A33" s="101" t="n">
        <v>36220</v>
      </c>
      <c r="B33" s="77"/>
      <c r="C33" s="78" t="s">
        <v>100</v>
      </c>
      <c r="D33" s="99" t="n">
        <f aca="false">2.005</f>
        <v>2.005</v>
      </c>
      <c r="E33" s="77"/>
      <c r="F33" s="80" t="n">
        <f aca="false">2500*31</f>
        <v>77500</v>
      </c>
      <c r="G33" s="99" t="n">
        <v>1.59</v>
      </c>
      <c r="H33" s="99"/>
      <c r="I33" s="79" t="n">
        <f aca="false">SUM(D33-G33)*F33</f>
        <v>32162.5</v>
      </c>
      <c r="J33" s="81" t="n">
        <f aca="false">+I33</f>
        <v>32162.5</v>
      </c>
      <c r="K33" s="81"/>
    </row>
    <row r="34" customFormat="false" ht="12.75" hidden="false" customHeight="false" outlineLevel="0" collapsed="false">
      <c r="A34" s="101" t="n">
        <v>36251</v>
      </c>
      <c r="B34" s="77"/>
      <c r="C34" s="78" t="s">
        <v>100</v>
      </c>
      <c r="D34" s="99" t="n">
        <f aca="false">2.005</f>
        <v>2.005</v>
      </c>
      <c r="E34" s="77"/>
      <c r="F34" s="80" t="n">
        <f aca="false">2500*30</f>
        <v>75000</v>
      </c>
      <c r="G34" s="99" t="n">
        <v>1.94</v>
      </c>
      <c r="H34" s="99"/>
      <c r="I34" s="79" t="n">
        <f aca="false">SUM(D34-G34)*F34</f>
        <v>4875</v>
      </c>
      <c r="J34" s="81" t="n">
        <f aca="false">+I34</f>
        <v>4875</v>
      </c>
      <c r="K34" s="81"/>
    </row>
    <row r="35" customFormat="false" ht="12.75" hidden="false" customHeight="false" outlineLevel="0" collapsed="false">
      <c r="A35" s="101" t="n">
        <v>36281</v>
      </c>
      <c r="B35" s="77"/>
      <c r="C35" s="78" t="s">
        <v>100</v>
      </c>
      <c r="D35" s="99" t="n">
        <f aca="false">2.005</f>
        <v>2.005</v>
      </c>
      <c r="E35" s="77"/>
      <c r="F35" s="80" t="n">
        <f aca="false">2500*31</f>
        <v>77500</v>
      </c>
      <c r="G35" s="99" t="n">
        <v>2.06</v>
      </c>
      <c r="H35" s="99"/>
      <c r="I35" s="79" t="n">
        <f aca="false">SUM(D35-G35)*F35</f>
        <v>-4262.50000000001</v>
      </c>
      <c r="J35" s="81" t="n">
        <f aca="false">+I35</f>
        <v>-4262.50000000001</v>
      </c>
      <c r="K35" s="81"/>
    </row>
    <row r="36" customFormat="false" ht="12.75" hidden="false" customHeight="false" outlineLevel="0" collapsed="false">
      <c r="A36" s="101" t="n">
        <v>36312</v>
      </c>
      <c r="B36" s="77"/>
      <c r="C36" s="78" t="s">
        <v>100</v>
      </c>
      <c r="D36" s="99" t="n">
        <f aca="false">2.005</f>
        <v>2.005</v>
      </c>
      <c r="E36" s="77"/>
      <c r="F36" s="80" t="n">
        <f aca="false">2500*30</f>
        <v>75000</v>
      </c>
      <c r="G36" s="99" t="n">
        <v>2.07</v>
      </c>
      <c r="H36" s="99"/>
      <c r="I36" s="79" t="n">
        <f aca="false">SUM(D36-G36)*F36</f>
        <v>-4875</v>
      </c>
      <c r="J36" s="81" t="n">
        <f aca="false">+I36</f>
        <v>-4875</v>
      </c>
      <c r="K36" s="81"/>
    </row>
    <row r="37" customFormat="false" ht="12.75" hidden="false" customHeight="false" outlineLevel="0" collapsed="false">
      <c r="A37" s="101" t="n">
        <v>36342</v>
      </c>
      <c r="B37" s="77"/>
      <c r="C37" s="78" t="s">
        <v>100</v>
      </c>
      <c r="D37" s="99" t="n">
        <f aca="false">2.005</f>
        <v>2.005</v>
      </c>
      <c r="E37" s="77"/>
      <c r="F37" s="80" t="n">
        <f aca="false">2500*31</f>
        <v>77500</v>
      </c>
      <c r="G37" s="99" t="n">
        <v>2.11</v>
      </c>
      <c r="H37" s="99"/>
      <c r="I37" s="79" t="n">
        <f aca="false">SUM(D37-G37)*F37</f>
        <v>-8137.5</v>
      </c>
      <c r="J37" s="81" t="n">
        <f aca="false">+I37</f>
        <v>-8137.5</v>
      </c>
      <c r="K37" s="81"/>
    </row>
    <row r="38" customFormat="false" ht="12.75" hidden="false" customHeight="false" outlineLevel="0" collapsed="false">
      <c r="A38" s="101" t="n">
        <v>36373</v>
      </c>
      <c r="B38" s="77"/>
      <c r="C38" s="78" t="s">
        <v>100</v>
      </c>
      <c r="D38" s="99" t="n">
        <f aca="false">2.005</f>
        <v>2.005</v>
      </c>
      <c r="E38" s="77"/>
      <c r="F38" s="80" t="n">
        <f aca="false">2500*31</f>
        <v>77500</v>
      </c>
      <c r="G38" s="99" t="n">
        <v>2.51</v>
      </c>
      <c r="H38" s="99"/>
      <c r="I38" s="79" t="n">
        <f aca="false">SUM(D38-G38)*F38</f>
        <v>-39137.5</v>
      </c>
      <c r="J38" s="81" t="n">
        <f aca="false">+I38</f>
        <v>-39137.5</v>
      </c>
      <c r="K38" s="81"/>
    </row>
    <row r="39" customFormat="false" ht="12.75" hidden="false" customHeight="false" outlineLevel="0" collapsed="false">
      <c r="A39" s="101" t="n">
        <v>36404</v>
      </c>
      <c r="B39" s="77"/>
      <c r="C39" s="78" t="s">
        <v>100</v>
      </c>
      <c r="D39" s="99" t="n">
        <f aca="false">2.005</f>
        <v>2.005</v>
      </c>
      <c r="E39" s="77"/>
      <c r="F39" s="80" t="n">
        <f aca="false">2500*30</f>
        <v>75000</v>
      </c>
      <c r="G39" s="99" t="n">
        <v>2.36</v>
      </c>
      <c r="H39" s="99"/>
      <c r="I39" s="79" t="n">
        <f aca="false">SUM(D39-G39)*F39</f>
        <v>-26625</v>
      </c>
      <c r="J39" s="81" t="n">
        <f aca="false">+I39</f>
        <v>-26625</v>
      </c>
      <c r="K39" s="81"/>
    </row>
    <row r="40" customFormat="false" ht="12.75" hidden="false" customHeight="false" outlineLevel="0" collapsed="false">
      <c r="A40" s="101" t="n">
        <v>36434</v>
      </c>
      <c r="B40" s="77"/>
      <c r="C40" s="78" t="s">
        <v>100</v>
      </c>
      <c r="D40" s="99" t="n">
        <f aca="false">2.005</f>
        <v>2.005</v>
      </c>
      <c r="E40" s="77"/>
      <c r="F40" s="80" t="n">
        <f aca="false">2500*31</f>
        <v>77500</v>
      </c>
      <c r="G40" s="99" t="n">
        <v>2.62</v>
      </c>
      <c r="H40" s="99"/>
      <c r="I40" s="79" t="n">
        <f aca="false">SUM(D40-G40)*F40</f>
        <v>-47662.5</v>
      </c>
      <c r="J40" s="81" t="n">
        <f aca="false">+I40</f>
        <v>-47662.5</v>
      </c>
      <c r="K40" s="81"/>
    </row>
    <row r="41" customFormat="false" ht="12.75" hidden="false" customHeight="false" outlineLevel="0" collapsed="false">
      <c r="A41" s="101" t="n">
        <v>36465</v>
      </c>
      <c r="B41" s="77"/>
      <c r="C41" s="78" t="s">
        <v>100</v>
      </c>
      <c r="D41" s="99" t="n">
        <f aca="false">2.005</f>
        <v>2.005</v>
      </c>
      <c r="E41" s="77"/>
      <c r="F41" s="80" t="n">
        <f aca="false">2500*30</f>
        <v>75000</v>
      </c>
      <c r="G41" s="99" t="n">
        <v>2.17</v>
      </c>
      <c r="H41" s="99"/>
      <c r="I41" s="79" t="n">
        <f aca="false">SUM(D41-G41)*F41</f>
        <v>-12375</v>
      </c>
      <c r="J41" s="81" t="n">
        <f aca="false">+I41</f>
        <v>-12375</v>
      </c>
      <c r="K41" s="81"/>
    </row>
    <row r="42" customFormat="false" ht="12.75" hidden="false" customHeight="false" outlineLevel="0" collapsed="false">
      <c r="A42" s="101" t="n">
        <v>36495</v>
      </c>
      <c r="B42" s="77"/>
      <c r="C42" s="78" t="s">
        <v>100</v>
      </c>
      <c r="D42" s="99" t="n">
        <f aca="false">2.005</f>
        <v>2.005</v>
      </c>
      <c r="E42" s="77"/>
      <c r="F42" s="80" t="n">
        <f aca="false">2500*31</f>
        <v>77500</v>
      </c>
      <c r="G42" s="77"/>
      <c r="H42" s="99" t="n">
        <v>2.09</v>
      </c>
      <c r="I42" s="79" t="n">
        <f aca="false">SUM(D42-H42)*F42</f>
        <v>-6587.5</v>
      </c>
      <c r="J42" s="81"/>
      <c r="K42" s="81" t="n">
        <f aca="false">+I42</f>
        <v>-6587.5</v>
      </c>
    </row>
    <row r="43" customFormat="false" ht="12.75" hidden="false" customHeight="false" outlineLevel="0" collapsed="false">
      <c r="A43" s="77"/>
      <c r="B43" s="77"/>
      <c r="C43" s="77"/>
      <c r="D43" s="77"/>
      <c r="E43" s="77"/>
      <c r="F43" s="83" t="n">
        <f aca="false">SUM(F28:F42)</f>
        <v>1142500</v>
      </c>
      <c r="G43" s="77"/>
      <c r="H43" s="77"/>
      <c r="I43" s="102" t="n">
        <f aca="false">SUM(I28:I42)</f>
        <v>-25962.5000000001</v>
      </c>
      <c r="J43" s="102" t="n">
        <f aca="false">SUM(J28:J42)</f>
        <v>-19375.0000000001</v>
      </c>
      <c r="K43" s="102" t="n">
        <f aca="false">SUM(K28:K42)</f>
        <v>-6587.5</v>
      </c>
      <c r="L43" s="85" t="n">
        <f aca="false">+J43+K43-I43</f>
        <v>0</v>
      </c>
    </row>
    <row r="44" customFormat="false" ht="12.75" hidden="false" customHeight="false" outlineLevel="0" collapsed="false">
      <c r="A44" s="77"/>
      <c r="B44" s="77"/>
      <c r="C44" s="77"/>
      <c r="D44" s="77"/>
      <c r="E44" s="77"/>
      <c r="F44" s="77"/>
      <c r="G44" s="77"/>
      <c r="H44" s="77"/>
      <c r="I44" s="77"/>
      <c r="J44" s="81"/>
      <c r="K44" s="81"/>
    </row>
    <row r="45" customFormat="false" ht="13.5" hidden="false" customHeight="false" outlineLevel="0" collapsed="false">
      <c r="A45" s="77"/>
      <c r="B45" s="77"/>
      <c r="C45" s="77"/>
      <c r="D45" s="77"/>
      <c r="E45" s="77"/>
      <c r="F45" s="91" t="n">
        <f aca="false">+F43+F24</f>
        <v>0</v>
      </c>
      <c r="G45" s="77"/>
      <c r="H45" s="77"/>
      <c r="I45" s="105" t="n">
        <f aca="false">+I43+I24</f>
        <v>71450.0000000001</v>
      </c>
      <c r="J45" s="105" t="n">
        <f aca="false">+J43+J24</f>
        <v>72225.0000000001</v>
      </c>
      <c r="K45" s="105" t="n">
        <f aca="false">+K43+K24</f>
        <v>-774.999999999984</v>
      </c>
      <c r="L45" s="85" t="n">
        <f aca="false">+J45+K45-I45</f>
        <v>0</v>
      </c>
    </row>
    <row r="46" customFormat="false" ht="13.5" hidden="false" customHeight="false" outlineLevel="0" collapsed="false">
      <c r="A46" s="94"/>
      <c r="B46" s="94"/>
      <c r="C46" s="94"/>
      <c r="D46" s="94"/>
      <c r="E46" s="94"/>
      <c r="F46" s="94"/>
      <c r="G46" s="94"/>
      <c r="H46" s="94"/>
      <c r="I46" s="94"/>
      <c r="J46" s="95"/>
      <c r="K46" s="95"/>
    </row>
    <row r="48" customFormat="false" ht="12.75" hidden="false" customHeight="false" outlineLevel="0" collapsed="false">
      <c r="A48" s="60" t="s">
        <v>71</v>
      </c>
      <c r="J48" s="0"/>
      <c r="K48" s="0"/>
    </row>
  </sheetData>
  <mergeCells count="4">
    <mergeCell ref="A1:K1"/>
    <mergeCell ref="A2:K2"/>
    <mergeCell ref="A3:K3"/>
    <mergeCell ref="I6:K6"/>
  </mergeCells>
  <printOptions headings="false" gridLines="false" gridLinesSet="true" horizontalCentered="true" verticalCentered="true"/>
  <pageMargins left="0.25" right="0.2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&amp;L&amp;"Arial,Italic"&amp;8&amp;D&amp;T&amp;R&amp;"Arial,Italic"&amp;8G:/Common/TW Fuel Hedge/Fixed2_Avista_2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9165" ySplit="0" topLeftCell="I1" activePane="topLeft" state="split"/>
      <selection pane="topLeft" activeCell="A1" activeCellId="0" sqref="A1"/>
      <selection pane="topRight" activeCell="I1" activeCellId="0" sqref="I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3.7"/>
    <col collapsed="false" customWidth="true" hidden="false" outlineLevel="0" max="11" min="10" style="0" width="13.41"/>
  </cols>
  <sheetData>
    <row r="1" customFormat="false" ht="15" hidden="false" customHeight="false" outlineLevel="0" collapsed="false">
      <c r="A1" s="62" t="s">
        <v>74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customFormat="false" ht="15" hidden="false" customHeight="false" outlineLevel="0" collapsed="false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customFormat="false" ht="15.75" hidden="false" customHeight="false" outlineLevel="0" collapsed="false">
      <c r="A3" s="62" t="s">
        <v>101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customFormat="false" ht="15.75" hidden="false" customHeight="false" outlineLevel="0" collapsed="false">
      <c r="A4" s="63"/>
      <c r="B4" s="63"/>
      <c r="C4" s="63"/>
      <c r="D4" s="63"/>
      <c r="E4" s="63"/>
      <c r="F4" s="63"/>
      <c r="G4" s="63"/>
      <c r="H4" s="63"/>
      <c r="I4" s="63"/>
      <c r="J4" s="106"/>
      <c r="K4" s="106"/>
    </row>
    <row r="6" customFormat="false" ht="12.75" hidden="false" customHeight="false" outlineLevel="0" collapsed="false">
      <c r="A6" s="65" t="s">
        <v>77</v>
      </c>
      <c r="B6" s="66" t="s">
        <v>6</v>
      </c>
      <c r="C6" s="66" t="s">
        <v>6</v>
      </c>
      <c r="D6" s="66" t="s">
        <v>78</v>
      </c>
      <c r="E6" s="66"/>
      <c r="F6" s="66" t="s">
        <v>13</v>
      </c>
      <c r="G6" s="66" t="s">
        <v>79</v>
      </c>
      <c r="H6" s="66" t="s">
        <v>27</v>
      </c>
      <c r="I6" s="67" t="s">
        <v>80</v>
      </c>
      <c r="J6" s="67"/>
      <c r="K6" s="67"/>
    </row>
    <row r="7" customFormat="false" ht="12.75" hidden="false" customHeight="false" outlineLevel="0" collapsed="false">
      <c r="A7" s="68" t="s">
        <v>81</v>
      </c>
      <c r="B7" s="69" t="s">
        <v>16</v>
      </c>
      <c r="C7" s="69" t="s">
        <v>15</v>
      </c>
      <c r="D7" s="69" t="s">
        <v>20</v>
      </c>
      <c r="E7" s="69"/>
      <c r="F7" s="69" t="s">
        <v>82</v>
      </c>
      <c r="G7" s="69" t="s">
        <v>20</v>
      </c>
      <c r="H7" s="69" t="s">
        <v>20</v>
      </c>
      <c r="I7" s="69" t="s">
        <v>29</v>
      </c>
      <c r="J7" s="69" t="s">
        <v>30</v>
      </c>
      <c r="K7" s="70" t="s">
        <v>31</v>
      </c>
    </row>
    <row r="8" customFormat="false" ht="12.75" hidden="false" customHeight="false" outlineLevel="0" collapsed="false">
      <c r="A8" s="71"/>
      <c r="B8" s="72"/>
      <c r="C8" s="72"/>
      <c r="D8" s="72"/>
      <c r="E8" s="72"/>
      <c r="F8" s="72"/>
      <c r="G8" s="100" t="s">
        <v>99</v>
      </c>
      <c r="H8" s="74"/>
      <c r="I8" s="74" t="s">
        <v>34</v>
      </c>
      <c r="J8" s="74" t="s">
        <v>34</v>
      </c>
      <c r="K8" s="75" t="s">
        <v>34</v>
      </c>
    </row>
    <row r="9" customFormat="false" ht="12.75" hidden="false" customHeight="false" outlineLevel="0" collapsed="false">
      <c r="A9" s="101" t="n">
        <v>36069</v>
      </c>
      <c r="B9" s="77"/>
      <c r="C9" s="78" t="s">
        <v>42</v>
      </c>
      <c r="D9" s="99" t="n">
        <f aca="false">2.1</f>
        <v>2.1</v>
      </c>
      <c r="E9" s="77"/>
      <c r="F9" s="80" t="n">
        <f aca="false">-2500*31</f>
        <v>-77500</v>
      </c>
      <c r="G9" s="99" t="n">
        <f aca="false">1.82</f>
        <v>1.82</v>
      </c>
      <c r="H9" s="77"/>
      <c r="I9" s="79" t="n">
        <f aca="false">SUM(D9-G9)*F9</f>
        <v>-21700</v>
      </c>
      <c r="J9" s="107" t="n">
        <f aca="false">+I9</f>
        <v>-21700</v>
      </c>
      <c r="K9" s="107"/>
    </row>
    <row r="10" customFormat="false" ht="12.75" hidden="false" customHeight="false" outlineLevel="0" collapsed="false">
      <c r="A10" s="101" t="n">
        <v>36100</v>
      </c>
      <c r="B10" s="77"/>
      <c r="C10" s="78" t="s">
        <v>42</v>
      </c>
      <c r="D10" s="99" t="n">
        <f aca="false">2.1</f>
        <v>2.1</v>
      </c>
      <c r="E10" s="77"/>
      <c r="F10" s="80" t="n">
        <f aca="false">-2500*30</f>
        <v>-75000</v>
      </c>
      <c r="G10" s="99" t="n">
        <v>1.92</v>
      </c>
      <c r="H10" s="99"/>
      <c r="I10" s="79" t="n">
        <f aca="false">SUM(D10-G10)*F10</f>
        <v>-13500</v>
      </c>
      <c r="J10" s="107" t="n">
        <f aca="false">+I10</f>
        <v>-13500</v>
      </c>
      <c r="K10" s="107"/>
    </row>
    <row r="11" customFormat="false" ht="12.75" hidden="false" customHeight="false" outlineLevel="0" collapsed="false">
      <c r="A11" s="101" t="n">
        <v>36130</v>
      </c>
      <c r="B11" s="77"/>
      <c r="C11" s="78" t="s">
        <v>42</v>
      </c>
      <c r="D11" s="99" t="n">
        <f aca="false">2.1</f>
        <v>2.1</v>
      </c>
      <c r="E11" s="77"/>
      <c r="F11" s="80" t="n">
        <f aca="false">-2500*31</f>
        <v>-77500</v>
      </c>
      <c r="G11" s="99" t="n">
        <v>1.99</v>
      </c>
      <c r="H11" s="99"/>
      <c r="I11" s="79" t="n">
        <f aca="false">SUM(D11-G11)*F11</f>
        <v>-8525.00000000001</v>
      </c>
      <c r="J11" s="107" t="n">
        <f aca="false">+I11</f>
        <v>-8525.00000000001</v>
      </c>
      <c r="K11" s="107"/>
    </row>
    <row r="12" customFormat="false" ht="12.75" hidden="false" customHeight="false" outlineLevel="0" collapsed="false">
      <c r="A12" s="101" t="n">
        <v>36161</v>
      </c>
      <c r="B12" s="77"/>
      <c r="C12" s="78" t="s">
        <v>42</v>
      </c>
      <c r="D12" s="99" t="n">
        <f aca="false">2.1</f>
        <v>2.1</v>
      </c>
      <c r="E12" s="77"/>
      <c r="F12" s="80" t="n">
        <f aca="false">-2500*31</f>
        <v>-77500</v>
      </c>
      <c r="G12" s="99" t="n">
        <v>1.73</v>
      </c>
      <c r="H12" s="99"/>
      <c r="I12" s="79" t="n">
        <f aca="false">SUM(D12-G12)*F12</f>
        <v>-28675</v>
      </c>
      <c r="J12" s="107" t="n">
        <f aca="false">+I12</f>
        <v>-28675</v>
      </c>
      <c r="K12" s="107"/>
    </row>
    <row r="13" customFormat="false" ht="12.75" hidden="false" customHeight="false" outlineLevel="0" collapsed="false">
      <c r="A13" s="101" t="n">
        <v>36192</v>
      </c>
      <c r="B13" s="77"/>
      <c r="C13" s="78" t="s">
        <v>42</v>
      </c>
      <c r="D13" s="99" t="n">
        <f aca="false">2.1</f>
        <v>2.1</v>
      </c>
      <c r="E13" s="77"/>
      <c r="F13" s="80" t="n">
        <f aca="false">-2500*28</f>
        <v>-70000</v>
      </c>
      <c r="G13" s="99" t="n">
        <v>1.66</v>
      </c>
      <c r="H13" s="99"/>
      <c r="I13" s="79" t="n">
        <f aca="false">SUM(D13-G13)*F13</f>
        <v>-30800</v>
      </c>
      <c r="J13" s="107" t="n">
        <f aca="false">+I13</f>
        <v>-30800</v>
      </c>
      <c r="K13" s="107"/>
    </row>
    <row r="14" customFormat="false" ht="12.75" hidden="false" customHeight="false" outlineLevel="0" collapsed="false">
      <c r="A14" s="101" t="n">
        <v>36220</v>
      </c>
      <c r="B14" s="77"/>
      <c r="C14" s="78" t="s">
        <v>42</v>
      </c>
      <c r="D14" s="99" t="n">
        <f aca="false">2.1</f>
        <v>2.1</v>
      </c>
      <c r="E14" s="77"/>
      <c r="F14" s="80" t="n">
        <f aca="false">-2500*31</f>
        <v>-77500</v>
      </c>
      <c r="G14" s="99" t="n">
        <v>1.54</v>
      </c>
      <c r="H14" s="99"/>
      <c r="I14" s="79" t="n">
        <f aca="false">SUM(D14-G14)*F14</f>
        <v>-43400</v>
      </c>
      <c r="J14" s="107" t="n">
        <f aca="false">+I14</f>
        <v>-43400</v>
      </c>
      <c r="K14" s="107"/>
    </row>
    <row r="15" customFormat="false" ht="12.75" hidden="false" customHeight="false" outlineLevel="0" collapsed="false">
      <c r="A15" s="101" t="n">
        <v>36251</v>
      </c>
      <c r="B15" s="77"/>
      <c r="C15" s="78" t="s">
        <v>42</v>
      </c>
      <c r="D15" s="99" t="n">
        <f aca="false">2.1</f>
        <v>2.1</v>
      </c>
      <c r="E15" s="77"/>
      <c r="F15" s="80" t="n">
        <f aca="false">-2500*30</f>
        <v>-75000</v>
      </c>
      <c r="G15" s="99" t="n">
        <v>1.66</v>
      </c>
      <c r="H15" s="99"/>
      <c r="I15" s="79" t="n">
        <f aca="false">SUM(D15-G15)*F15</f>
        <v>-33000</v>
      </c>
      <c r="J15" s="107" t="n">
        <f aca="false">+I15</f>
        <v>-33000</v>
      </c>
      <c r="K15" s="107"/>
    </row>
    <row r="16" customFormat="false" ht="12.75" hidden="false" customHeight="false" outlineLevel="0" collapsed="false">
      <c r="A16" s="101" t="n">
        <v>36281</v>
      </c>
      <c r="B16" s="77"/>
      <c r="C16" s="78" t="s">
        <v>42</v>
      </c>
      <c r="D16" s="99" t="n">
        <f aca="false">2.1</f>
        <v>2.1</v>
      </c>
      <c r="E16" s="77"/>
      <c r="F16" s="80" t="n">
        <f aca="false">-2500*31</f>
        <v>-77500</v>
      </c>
      <c r="G16" s="99" t="n">
        <v>2.16</v>
      </c>
      <c r="H16" s="99"/>
      <c r="I16" s="79" t="n">
        <f aca="false">SUM(D16-G16)*F16</f>
        <v>4650.00000000001</v>
      </c>
      <c r="J16" s="107" t="n">
        <f aca="false">+I16</f>
        <v>4650.00000000001</v>
      </c>
      <c r="K16" s="107"/>
    </row>
    <row r="17" customFormat="false" ht="12.75" hidden="false" customHeight="false" outlineLevel="0" collapsed="false">
      <c r="A17" s="101" t="n">
        <v>36312</v>
      </c>
      <c r="B17" s="77"/>
      <c r="C17" s="78" t="s">
        <v>42</v>
      </c>
      <c r="D17" s="99" t="n">
        <f aca="false">2.1</f>
        <v>2.1</v>
      </c>
      <c r="E17" s="77"/>
      <c r="F17" s="80" t="n">
        <f aca="false">-2500*30</f>
        <v>-75000</v>
      </c>
      <c r="G17" s="99" t="n">
        <v>2.08</v>
      </c>
      <c r="H17" s="99"/>
      <c r="I17" s="79" t="n">
        <f aca="false">SUM(D17-G17)*F17</f>
        <v>-1500</v>
      </c>
      <c r="J17" s="107" t="n">
        <f aca="false">+I17</f>
        <v>-1500</v>
      </c>
      <c r="K17" s="107"/>
    </row>
    <row r="18" customFormat="false" ht="12.75" hidden="false" customHeight="false" outlineLevel="0" collapsed="false">
      <c r="A18" s="101" t="n">
        <v>36342</v>
      </c>
      <c r="B18" s="77"/>
      <c r="C18" s="78" t="s">
        <v>42</v>
      </c>
      <c r="D18" s="99" t="n">
        <f aca="false">2.1</f>
        <v>2.1</v>
      </c>
      <c r="E18" s="77"/>
      <c r="F18" s="80" t="n">
        <f aca="false">-2500*31</f>
        <v>-77500</v>
      </c>
      <c r="G18" s="99" t="n">
        <v>2.17</v>
      </c>
      <c r="H18" s="99"/>
      <c r="I18" s="79" t="n">
        <f aca="false">SUM(D18-G18)*F18</f>
        <v>5424.99999999999</v>
      </c>
      <c r="J18" s="107" t="n">
        <f aca="false">+I18</f>
        <v>5424.99999999999</v>
      </c>
      <c r="K18" s="107"/>
    </row>
    <row r="19" customFormat="false" ht="12.75" hidden="false" customHeight="false" outlineLevel="0" collapsed="false">
      <c r="A19" s="101" t="n">
        <v>36373</v>
      </c>
      <c r="B19" s="77"/>
      <c r="C19" s="78" t="s">
        <v>42</v>
      </c>
      <c r="D19" s="99" t="n">
        <f aca="false">2.1</f>
        <v>2.1</v>
      </c>
      <c r="E19" s="77"/>
      <c r="F19" s="80" t="n">
        <f aca="false">-2500*31</f>
        <v>-77500</v>
      </c>
      <c r="G19" s="99" t="n">
        <v>2.46</v>
      </c>
      <c r="H19" s="99"/>
      <c r="I19" s="79" t="n">
        <f aca="false">SUM(D19-G19)*F19</f>
        <v>27900</v>
      </c>
      <c r="J19" s="107" t="n">
        <f aca="false">+I19</f>
        <v>27900</v>
      </c>
      <c r="K19" s="107"/>
    </row>
    <row r="20" customFormat="false" ht="12.75" hidden="false" customHeight="false" outlineLevel="0" collapsed="false">
      <c r="A20" s="101" t="n">
        <v>36404</v>
      </c>
      <c r="B20" s="77"/>
      <c r="C20" s="78" t="s">
        <v>42</v>
      </c>
      <c r="D20" s="99" t="n">
        <f aca="false">2.1</f>
        <v>2.1</v>
      </c>
      <c r="E20" s="77"/>
      <c r="F20" s="80" t="n">
        <f aca="false">-2500*30</f>
        <v>-75000</v>
      </c>
      <c r="G20" s="99" t="n">
        <v>2.78</v>
      </c>
      <c r="H20" s="99"/>
      <c r="I20" s="79" t="n">
        <f aca="false">SUM(D20-G20)*F20</f>
        <v>51000</v>
      </c>
      <c r="J20" s="107" t="n">
        <f aca="false">+I20</f>
        <v>51000</v>
      </c>
      <c r="K20" s="107"/>
    </row>
    <row r="21" customFormat="false" ht="12.75" hidden="false" customHeight="false" outlineLevel="0" collapsed="false">
      <c r="A21" s="101" t="n">
        <v>36434</v>
      </c>
      <c r="B21" s="77"/>
      <c r="C21" s="78" t="s">
        <v>42</v>
      </c>
      <c r="D21" s="99" t="n">
        <f aca="false">2.1</f>
        <v>2.1</v>
      </c>
      <c r="E21" s="77"/>
      <c r="F21" s="80" t="n">
        <f aca="false">-2500*31</f>
        <v>-77500</v>
      </c>
      <c r="G21" s="99" t="n">
        <v>2.42</v>
      </c>
      <c r="H21" s="99"/>
      <c r="I21" s="79" t="n">
        <f aca="false">SUM(D21-G21)*F21</f>
        <v>24800</v>
      </c>
      <c r="J21" s="107" t="n">
        <f aca="false">+I21</f>
        <v>24800</v>
      </c>
      <c r="K21" s="107"/>
    </row>
    <row r="22" customFormat="false" ht="12.75" hidden="false" customHeight="false" outlineLevel="0" collapsed="false">
      <c r="A22" s="101" t="n">
        <v>36465</v>
      </c>
      <c r="B22" s="77"/>
      <c r="C22" s="78" t="s">
        <v>42</v>
      </c>
      <c r="D22" s="99" t="n">
        <f aca="false">2.1</f>
        <v>2.1</v>
      </c>
      <c r="E22" s="77"/>
      <c r="F22" s="80" t="n">
        <f aca="false">-2500*30</f>
        <v>-75000</v>
      </c>
      <c r="G22" s="99" t="n">
        <v>2.87</v>
      </c>
      <c r="H22" s="99"/>
      <c r="I22" s="79" t="n">
        <f aca="false">SUM(D22-G22)*F22</f>
        <v>57750</v>
      </c>
      <c r="J22" s="107" t="n">
        <f aca="false">+I22</f>
        <v>57750</v>
      </c>
      <c r="K22" s="107"/>
    </row>
    <row r="23" customFormat="false" ht="12.75" hidden="false" customHeight="false" outlineLevel="0" collapsed="false">
      <c r="A23" s="101" t="n">
        <v>36495</v>
      </c>
      <c r="B23" s="77"/>
      <c r="C23" s="78" t="s">
        <v>42</v>
      </c>
      <c r="D23" s="99" t="n">
        <f aca="false">2.1</f>
        <v>2.1</v>
      </c>
      <c r="E23" s="77"/>
      <c r="F23" s="80" t="n">
        <f aca="false">-2500*31</f>
        <v>-77500</v>
      </c>
      <c r="G23" s="77"/>
      <c r="H23" s="99" t="n">
        <v>2.08</v>
      </c>
      <c r="I23" s="79" t="n">
        <f aca="false">SUM(D23-H23)*F23</f>
        <v>-1550</v>
      </c>
      <c r="J23" s="108"/>
      <c r="K23" s="107" t="n">
        <f aca="false">+I23</f>
        <v>-1550</v>
      </c>
    </row>
    <row r="24" customFormat="false" ht="12.75" hidden="false" customHeight="false" outlineLevel="0" collapsed="false">
      <c r="A24" s="77"/>
      <c r="B24" s="77"/>
      <c r="C24" s="77"/>
      <c r="D24" s="77"/>
      <c r="E24" s="77"/>
      <c r="F24" s="83" t="n">
        <f aca="false">SUM(F9:F23)</f>
        <v>-1142500</v>
      </c>
      <c r="G24" s="77"/>
      <c r="H24" s="77"/>
      <c r="I24" s="109" t="n">
        <f aca="false">SUM(I9:I23)</f>
        <v>-11125.0000000001</v>
      </c>
      <c r="J24" s="109" t="n">
        <f aca="false">SUM(J9:J23)</f>
        <v>-9575.00000000012</v>
      </c>
      <c r="K24" s="109" t="n">
        <f aca="false">SUM(K9:K23)</f>
        <v>-1550</v>
      </c>
    </row>
    <row r="25" customFormat="false" ht="12.75" hidden="false" customHeight="false" outlineLevel="0" collapsed="false">
      <c r="A25" s="77"/>
      <c r="B25" s="77"/>
      <c r="C25" s="77"/>
      <c r="D25" s="77"/>
      <c r="E25" s="77"/>
      <c r="F25" s="86"/>
      <c r="G25" s="77"/>
      <c r="H25" s="77"/>
      <c r="I25" s="110"/>
      <c r="J25" s="87"/>
      <c r="K25" s="87"/>
    </row>
    <row r="26" customFormat="false" ht="12.75" hidden="false" customHeight="false" outlineLevel="0" collapsed="false">
      <c r="A26" s="77"/>
      <c r="B26" s="77"/>
      <c r="C26" s="77"/>
      <c r="D26" s="77"/>
      <c r="E26" s="77"/>
      <c r="F26" s="77"/>
      <c r="G26" s="88" t="s">
        <v>84</v>
      </c>
      <c r="H26" s="111"/>
      <c r="I26" s="77"/>
      <c r="J26" s="108"/>
      <c r="K26" s="108"/>
    </row>
    <row r="27" customFormat="false" ht="12.75" hidden="false" customHeight="false" outlineLevel="0" collapsed="false">
      <c r="A27" s="77"/>
      <c r="B27" s="77"/>
      <c r="C27" s="77"/>
      <c r="D27" s="77"/>
      <c r="E27" s="77"/>
      <c r="F27" s="77"/>
      <c r="G27" s="112"/>
      <c r="H27" s="111"/>
      <c r="I27" s="77"/>
      <c r="J27" s="108"/>
      <c r="K27" s="108"/>
    </row>
    <row r="28" customFormat="false" ht="12.75" hidden="false" customHeight="false" outlineLevel="0" collapsed="false">
      <c r="A28" s="101" t="n">
        <v>36069</v>
      </c>
      <c r="B28" s="77"/>
      <c r="C28" s="78" t="s">
        <v>100</v>
      </c>
      <c r="D28" s="99" t="n">
        <f aca="false">2.1</f>
        <v>2.1</v>
      </c>
      <c r="E28" s="77"/>
      <c r="F28" s="80" t="n">
        <f aca="false">2500*31</f>
        <v>77500</v>
      </c>
      <c r="G28" s="99" t="n">
        <v>1.78</v>
      </c>
      <c r="H28" s="99"/>
      <c r="I28" s="79" t="n">
        <f aca="false">SUM(D28-G28)*F28</f>
        <v>24800</v>
      </c>
      <c r="J28" s="107" t="n">
        <f aca="false">+I28</f>
        <v>24800</v>
      </c>
      <c r="K28" s="107"/>
    </row>
    <row r="29" customFormat="false" ht="12.75" hidden="false" customHeight="false" outlineLevel="0" collapsed="false">
      <c r="A29" s="101" t="n">
        <v>36100</v>
      </c>
      <c r="B29" s="77"/>
      <c r="C29" s="78" t="s">
        <v>100</v>
      </c>
      <c r="D29" s="99" t="n">
        <f aca="false">2.1</f>
        <v>2.1</v>
      </c>
      <c r="E29" s="77"/>
      <c r="F29" s="80" t="n">
        <f aca="false">2500*30</f>
        <v>75000</v>
      </c>
      <c r="G29" s="99" t="n">
        <v>1.99</v>
      </c>
      <c r="H29" s="99"/>
      <c r="I29" s="79" t="n">
        <f aca="false">SUM(D29-G29)*F29</f>
        <v>8250.00000000001</v>
      </c>
      <c r="J29" s="107" t="n">
        <f aca="false">+I29</f>
        <v>8250.00000000001</v>
      </c>
      <c r="K29" s="107"/>
    </row>
    <row r="30" customFormat="false" ht="12.75" hidden="false" customHeight="false" outlineLevel="0" collapsed="false">
      <c r="A30" s="101" t="n">
        <v>36130</v>
      </c>
      <c r="B30" s="77"/>
      <c r="C30" s="78" t="s">
        <v>100</v>
      </c>
      <c r="D30" s="99" t="n">
        <f aca="false">2.1</f>
        <v>2.1</v>
      </c>
      <c r="E30" s="77"/>
      <c r="F30" s="80" t="n">
        <f aca="false">2500*31</f>
        <v>77500</v>
      </c>
      <c r="G30" s="99" t="n">
        <v>1.74</v>
      </c>
      <c r="H30" s="99"/>
      <c r="I30" s="79" t="n">
        <f aca="false">SUM(D30-G30)*F30</f>
        <v>27900</v>
      </c>
      <c r="J30" s="107" t="n">
        <f aca="false">+I30</f>
        <v>27900</v>
      </c>
      <c r="K30" s="107"/>
    </row>
    <row r="31" customFormat="false" ht="12.75" hidden="false" customHeight="false" outlineLevel="0" collapsed="false">
      <c r="A31" s="101" t="n">
        <v>36161</v>
      </c>
      <c r="B31" s="77"/>
      <c r="C31" s="78" t="s">
        <v>100</v>
      </c>
      <c r="D31" s="99" t="n">
        <f aca="false">2.1</f>
        <v>2.1</v>
      </c>
      <c r="E31" s="77"/>
      <c r="F31" s="80" t="n">
        <f aca="false">2500*31</f>
        <v>77500</v>
      </c>
      <c r="G31" s="99" t="n">
        <v>1.73</v>
      </c>
      <c r="H31" s="99"/>
      <c r="I31" s="79" t="n">
        <f aca="false">SUM(D31-G31)*F31</f>
        <v>28675</v>
      </c>
      <c r="J31" s="107" t="n">
        <f aca="false">+I31</f>
        <v>28675</v>
      </c>
      <c r="K31" s="107"/>
    </row>
    <row r="32" customFormat="false" ht="12.75" hidden="false" customHeight="false" outlineLevel="0" collapsed="false">
      <c r="A32" s="101" t="n">
        <v>36192</v>
      </c>
      <c r="B32" s="77"/>
      <c r="C32" s="78" t="s">
        <v>100</v>
      </c>
      <c r="D32" s="99" t="n">
        <f aca="false">2.1</f>
        <v>2.1</v>
      </c>
      <c r="E32" s="77"/>
      <c r="F32" s="80" t="n">
        <f aca="false">2500*28</f>
        <v>70000</v>
      </c>
      <c r="G32" s="99" t="n">
        <v>1.63</v>
      </c>
      <c r="H32" s="99"/>
      <c r="I32" s="79" t="n">
        <f aca="false">SUM(D32-G32)*F32</f>
        <v>32900</v>
      </c>
      <c r="J32" s="107" t="n">
        <f aca="false">+I32</f>
        <v>32900</v>
      </c>
      <c r="K32" s="107"/>
    </row>
    <row r="33" customFormat="false" ht="12.75" hidden="false" customHeight="false" outlineLevel="0" collapsed="false">
      <c r="A33" s="101" t="n">
        <v>36220</v>
      </c>
      <c r="B33" s="77"/>
      <c r="C33" s="78" t="s">
        <v>100</v>
      </c>
      <c r="D33" s="99" t="n">
        <f aca="false">2.1</f>
        <v>2.1</v>
      </c>
      <c r="E33" s="77"/>
      <c r="F33" s="80" t="n">
        <f aca="false">2500*31</f>
        <v>77500</v>
      </c>
      <c r="G33" s="99" t="n">
        <v>1.59</v>
      </c>
      <c r="H33" s="99"/>
      <c r="I33" s="79" t="n">
        <f aca="false">SUM(D33-G33)*F33</f>
        <v>39525</v>
      </c>
      <c r="J33" s="107" t="n">
        <f aca="false">+I33</f>
        <v>39525</v>
      </c>
      <c r="K33" s="107"/>
    </row>
    <row r="34" customFormat="false" ht="12.75" hidden="false" customHeight="false" outlineLevel="0" collapsed="false">
      <c r="A34" s="101" t="n">
        <v>36251</v>
      </c>
      <c r="B34" s="77"/>
      <c r="C34" s="78" t="s">
        <v>100</v>
      </c>
      <c r="D34" s="99" t="n">
        <f aca="false">2.1</f>
        <v>2.1</v>
      </c>
      <c r="E34" s="77"/>
      <c r="F34" s="80" t="n">
        <f aca="false">2500*30</f>
        <v>75000</v>
      </c>
      <c r="G34" s="99" t="n">
        <v>1.94</v>
      </c>
      <c r="H34" s="99"/>
      <c r="I34" s="79" t="n">
        <f aca="false">SUM(D34-G34)*F34</f>
        <v>12000</v>
      </c>
      <c r="J34" s="107" t="n">
        <f aca="false">+I34</f>
        <v>12000</v>
      </c>
      <c r="K34" s="107"/>
    </row>
    <row r="35" customFormat="false" ht="12.75" hidden="false" customHeight="false" outlineLevel="0" collapsed="false">
      <c r="A35" s="101" t="n">
        <v>36281</v>
      </c>
      <c r="B35" s="77"/>
      <c r="C35" s="78" t="s">
        <v>100</v>
      </c>
      <c r="D35" s="99" t="n">
        <f aca="false">2.1</f>
        <v>2.1</v>
      </c>
      <c r="E35" s="77"/>
      <c r="F35" s="80" t="n">
        <f aca="false">2500*31</f>
        <v>77500</v>
      </c>
      <c r="G35" s="99" t="n">
        <v>2.06</v>
      </c>
      <c r="H35" s="99"/>
      <c r="I35" s="79" t="n">
        <f aca="false">SUM(D35-G35)*F35</f>
        <v>3100</v>
      </c>
      <c r="J35" s="107" t="n">
        <f aca="false">+I35</f>
        <v>3100</v>
      </c>
      <c r="K35" s="107"/>
    </row>
    <row r="36" customFormat="false" ht="12.75" hidden="false" customHeight="false" outlineLevel="0" collapsed="false">
      <c r="A36" s="101" t="n">
        <v>36312</v>
      </c>
      <c r="B36" s="77"/>
      <c r="C36" s="78" t="s">
        <v>100</v>
      </c>
      <c r="D36" s="99" t="n">
        <f aca="false">2.1</f>
        <v>2.1</v>
      </c>
      <c r="E36" s="77"/>
      <c r="F36" s="80" t="n">
        <f aca="false">2500*30</f>
        <v>75000</v>
      </c>
      <c r="G36" s="99" t="n">
        <v>2.07</v>
      </c>
      <c r="H36" s="99"/>
      <c r="I36" s="79" t="n">
        <f aca="false">SUM(D36-G36)*F36</f>
        <v>2250.00000000002</v>
      </c>
      <c r="J36" s="107" t="n">
        <f aca="false">+I36</f>
        <v>2250.00000000002</v>
      </c>
      <c r="K36" s="107"/>
    </row>
    <row r="37" customFormat="false" ht="12.75" hidden="false" customHeight="false" outlineLevel="0" collapsed="false">
      <c r="A37" s="101" t="n">
        <v>36342</v>
      </c>
      <c r="B37" s="77"/>
      <c r="C37" s="78" t="s">
        <v>100</v>
      </c>
      <c r="D37" s="99" t="n">
        <f aca="false">2.1</f>
        <v>2.1</v>
      </c>
      <c r="E37" s="77"/>
      <c r="F37" s="80" t="n">
        <f aca="false">2500*31</f>
        <v>77500</v>
      </c>
      <c r="G37" s="99" t="n">
        <v>2.11</v>
      </c>
      <c r="H37" s="99"/>
      <c r="I37" s="79" t="n">
        <f aca="false">SUM(D37-G37)*F37</f>
        <v>-774.999999999984</v>
      </c>
      <c r="J37" s="107" t="n">
        <f aca="false">+I37</f>
        <v>-774.999999999984</v>
      </c>
      <c r="K37" s="107"/>
    </row>
    <row r="38" customFormat="false" ht="12.75" hidden="false" customHeight="false" outlineLevel="0" collapsed="false">
      <c r="A38" s="101" t="n">
        <v>36373</v>
      </c>
      <c r="B38" s="77"/>
      <c r="C38" s="78" t="s">
        <v>100</v>
      </c>
      <c r="D38" s="99" t="n">
        <f aca="false">2.1</f>
        <v>2.1</v>
      </c>
      <c r="E38" s="77"/>
      <c r="F38" s="80" t="n">
        <f aca="false">2500*31</f>
        <v>77500</v>
      </c>
      <c r="G38" s="99" t="n">
        <v>2.51</v>
      </c>
      <c r="H38" s="99"/>
      <c r="I38" s="79" t="n">
        <f aca="false">SUM(D38-G38)*F38</f>
        <v>-31775</v>
      </c>
      <c r="J38" s="107" t="n">
        <f aca="false">+I38</f>
        <v>-31775</v>
      </c>
      <c r="K38" s="107"/>
    </row>
    <row r="39" customFormat="false" ht="12.75" hidden="false" customHeight="false" outlineLevel="0" collapsed="false">
      <c r="A39" s="101" t="n">
        <v>36404</v>
      </c>
      <c r="B39" s="77"/>
      <c r="C39" s="78" t="s">
        <v>100</v>
      </c>
      <c r="D39" s="99" t="n">
        <f aca="false">2.1</f>
        <v>2.1</v>
      </c>
      <c r="E39" s="77"/>
      <c r="F39" s="80" t="n">
        <f aca="false">2500*30</f>
        <v>75000</v>
      </c>
      <c r="G39" s="99" t="n">
        <v>2.36</v>
      </c>
      <c r="H39" s="99"/>
      <c r="I39" s="79" t="n">
        <f aca="false">SUM(D39-G39)*F39</f>
        <v>-19500</v>
      </c>
      <c r="J39" s="107" t="n">
        <f aca="false">+I39</f>
        <v>-19500</v>
      </c>
      <c r="K39" s="107"/>
    </row>
    <row r="40" customFormat="false" ht="12.75" hidden="false" customHeight="false" outlineLevel="0" collapsed="false">
      <c r="A40" s="101" t="n">
        <v>36434</v>
      </c>
      <c r="B40" s="77"/>
      <c r="C40" s="78" t="s">
        <v>100</v>
      </c>
      <c r="D40" s="99" t="n">
        <f aca="false">2.1</f>
        <v>2.1</v>
      </c>
      <c r="E40" s="77"/>
      <c r="F40" s="80" t="n">
        <f aca="false">2500*31</f>
        <v>77500</v>
      </c>
      <c r="G40" s="99" t="n">
        <v>2.62</v>
      </c>
      <c r="H40" s="99"/>
      <c r="I40" s="79" t="n">
        <f aca="false">SUM(D40-G40)*F40</f>
        <v>-40300</v>
      </c>
      <c r="J40" s="107" t="n">
        <f aca="false">+I40</f>
        <v>-40300</v>
      </c>
      <c r="K40" s="107"/>
    </row>
    <row r="41" customFormat="false" ht="12.75" hidden="false" customHeight="false" outlineLevel="0" collapsed="false">
      <c r="A41" s="101" t="n">
        <v>36465</v>
      </c>
      <c r="B41" s="77"/>
      <c r="C41" s="78" t="s">
        <v>100</v>
      </c>
      <c r="D41" s="99" t="n">
        <f aca="false">2.1</f>
        <v>2.1</v>
      </c>
      <c r="E41" s="77"/>
      <c r="F41" s="80" t="n">
        <f aca="false">2500*30</f>
        <v>75000</v>
      </c>
      <c r="G41" s="99" t="n">
        <v>2.17</v>
      </c>
      <c r="H41" s="99"/>
      <c r="I41" s="79" t="n">
        <f aca="false">SUM(D41-G41)*F41</f>
        <v>-5249.99999999999</v>
      </c>
      <c r="J41" s="107" t="n">
        <f aca="false">+I41</f>
        <v>-5249.99999999999</v>
      </c>
      <c r="K41" s="107"/>
    </row>
    <row r="42" customFormat="false" ht="12.75" hidden="false" customHeight="false" outlineLevel="0" collapsed="false">
      <c r="A42" s="101" t="n">
        <v>36495</v>
      </c>
      <c r="B42" s="77"/>
      <c r="C42" s="78" t="s">
        <v>100</v>
      </c>
      <c r="D42" s="99" t="n">
        <f aca="false">2.1</f>
        <v>2.1</v>
      </c>
      <c r="E42" s="77"/>
      <c r="F42" s="80" t="n">
        <f aca="false">2500*31</f>
        <v>77500</v>
      </c>
      <c r="G42" s="77"/>
      <c r="H42" s="99" t="n">
        <v>2.09</v>
      </c>
      <c r="I42" s="113" t="n">
        <f aca="false">SUM(D42-H42)*F42</f>
        <v>775.000000000018</v>
      </c>
      <c r="J42" s="108"/>
      <c r="K42" s="107" t="n">
        <f aca="false">+I42</f>
        <v>775.000000000018</v>
      </c>
    </row>
    <row r="43" customFormat="false" ht="12.75" hidden="false" customHeight="false" outlineLevel="0" collapsed="false">
      <c r="A43" s="77"/>
      <c r="B43" s="77"/>
      <c r="C43" s="77"/>
      <c r="D43" s="77"/>
      <c r="E43" s="77"/>
      <c r="F43" s="83" t="n">
        <f aca="false">SUM(F28:F42)</f>
        <v>1142500</v>
      </c>
      <c r="G43" s="77"/>
      <c r="H43" s="77"/>
      <c r="I43" s="102" t="n">
        <f aca="false">SUM(I28:I42)</f>
        <v>82575.0000000002</v>
      </c>
      <c r="J43" s="102" t="n">
        <f aca="false">SUM(J28:J42)</f>
        <v>81800.0000000002</v>
      </c>
      <c r="K43" s="102" t="n">
        <f aca="false">SUM(K28:K42)</f>
        <v>775.000000000018</v>
      </c>
    </row>
    <row r="44" customFormat="false" ht="12.75" hidden="false" customHeight="false" outlineLevel="0" collapsed="false">
      <c r="A44" s="77"/>
      <c r="B44" s="77"/>
      <c r="C44" s="77"/>
      <c r="D44" s="77"/>
      <c r="E44" s="77"/>
      <c r="F44" s="77"/>
      <c r="G44" s="77"/>
      <c r="H44" s="77"/>
      <c r="I44" s="77"/>
      <c r="J44" s="108"/>
      <c r="K44" s="108"/>
    </row>
    <row r="45" customFormat="false" ht="13.5" hidden="false" customHeight="false" outlineLevel="0" collapsed="false">
      <c r="A45" s="77"/>
      <c r="B45" s="77"/>
      <c r="C45" s="77"/>
      <c r="D45" s="77"/>
      <c r="E45" s="77"/>
      <c r="F45" s="91" t="n">
        <f aca="false">+F43+F24</f>
        <v>0</v>
      </c>
      <c r="G45" s="77"/>
      <c r="H45" s="77"/>
      <c r="I45" s="105" t="n">
        <f aca="false">+I43+I24</f>
        <v>71450</v>
      </c>
      <c r="J45" s="105" t="n">
        <f aca="false">+J43+J24</f>
        <v>72225</v>
      </c>
      <c r="K45" s="105" t="n">
        <f aca="false">+K43+K24</f>
        <v>-774.999999999984</v>
      </c>
    </row>
    <row r="46" customFormat="false" ht="13.5" hidden="false" customHeight="false" outlineLevel="0" collapsed="false">
      <c r="A46" s="94"/>
      <c r="B46" s="94"/>
      <c r="C46" s="94"/>
      <c r="D46" s="94"/>
      <c r="E46" s="94"/>
      <c r="F46" s="94"/>
      <c r="G46" s="94"/>
      <c r="H46" s="94"/>
      <c r="I46" s="94"/>
      <c r="J46" s="114"/>
      <c r="K46" s="114"/>
    </row>
    <row r="48" customFormat="false" ht="12.75" hidden="false" customHeight="false" outlineLevel="0" collapsed="false">
      <c r="A48" s="60" t="s">
        <v>71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&amp;L&amp;"Arial,Italic"&amp;8&amp;D&amp;T&amp;R&amp;"Arial,Italic"&amp;8G:/Common/TW Fuel Hedge/Fixed2_Sempra_2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62" t="s">
        <v>74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customFormat="false" ht="15" hidden="false" customHeight="false" outlineLevel="0" collapsed="false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customFormat="false" ht="15.75" hidden="false" customHeight="false" outlineLevel="0" collapsed="false">
      <c r="A3" s="62" t="s">
        <v>102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customFormat="false" ht="15.75" hidden="false" customHeight="false" outlineLevel="0" collapsed="false">
      <c r="A4" s="63"/>
      <c r="B4" s="63"/>
      <c r="C4" s="63"/>
      <c r="D4" s="63"/>
      <c r="E4" s="63"/>
      <c r="F4" s="63"/>
      <c r="G4" s="63"/>
      <c r="H4" s="63"/>
      <c r="I4" s="63"/>
      <c r="J4" s="106"/>
      <c r="K4" s="106"/>
    </row>
    <row r="6" customFormat="false" ht="12.75" hidden="false" customHeight="false" outlineLevel="0" collapsed="false">
      <c r="A6" s="65" t="s">
        <v>77</v>
      </c>
      <c r="B6" s="66" t="s">
        <v>6</v>
      </c>
      <c r="C6" s="66" t="s">
        <v>6</v>
      </c>
      <c r="D6" s="66" t="s">
        <v>78</v>
      </c>
      <c r="E6" s="66"/>
      <c r="F6" s="66" t="s">
        <v>13</v>
      </c>
      <c r="G6" s="66" t="s">
        <v>79</v>
      </c>
      <c r="H6" s="66" t="s">
        <v>27</v>
      </c>
      <c r="I6" s="67" t="s">
        <v>80</v>
      </c>
      <c r="J6" s="67"/>
      <c r="K6" s="67"/>
    </row>
    <row r="7" customFormat="false" ht="12.75" hidden="false" customHeight="false" outlineLevel="0" collapsed="false">
      <c r="A7" s="68" t="s">
        <v>81</v>
      </c>
      <c r="B7" s="69" t="s">
        <v>16</v>
      </c>
      <c r="C7" s="69" t="s">
        <v>15</v>
      </c>
      <c r="D7" s="69" t="s">
        <v>20</v>
      </c>
      <c r="E7" s="69"/>
      <c r="F7" s="69" t="s">
        <v>82</v>
      </c>
      <c r="G7" s="69" t="s">
        <v>20</v>
      </c>
      <c r="H7" s="69" t="s">
        <v>20</v>
      </c>
      <c r="I7" s="69" t="s">
        <v>29</v>
      </c>
      <c r="J7" s="69" t="s">
        <v>30</v>
      </c>
      <c r="K7" s="70" t="s">
        <v>31</v>
      </c>
    </row>
    <row r="8" customFormat="false" ht="12.75" hidden="false" customHeight="false" outlineLevel="0" collapsed="false">
      <c r="A8" s="71"/>
      <c r="B8" s="72"/>
      <c r="C8" s="72"/>
      <c r="D8" s="72"/>
      <c r="E8" s="72"/>
      <c r="F8" s="72"/>
      <c r="G8" s="100" t="s">
        <v>99</v>
      </c>
      <c r="H8" s="74"/>
      <c r="I8" s="74" t="s">
        <v>34</v>
      </c>
      <c r="J8" s="74" t="s">
        <v>34</v>
      </c>
      <c r="K8" s="75" t="s">
        <v>34</v>
      </c>
    </row>
    <row r="9" customFormat="false" ht="12.75" hidden="false" customHeight="false" outlineLevel="0" collapsed="false">
      <c r="A9" s="101" t="n">
        <v>36281</v>
      </c>
      <c r="B9" s="77"/>
      <c r="C9" s="78" t="s">
        <v>42</v>
      </c>
      <c r="D9" s="99" t="n">
        <v>2.01</v>
      </c>
      <c r="E9" s="77"/>
      <c r="F9" s="80" t="n">
        <f aca="false">-10000*31</f>
        <v>-310000</v>
      </c>
      <c r="G9" s="99" t="n">
        <v>2.16</v>
      </c>
      <c r="H9" s="99"/>
      <c r="I9" s="79" t="n">
        <f aca="false">SUM(D9-G9)*F9</f>
        <v>46500.0000000001</v>
      </c>
      <c r="J9" s="107" t="n">
        <f aca="false">+I9</f>
        <v>46500.0000000001</v>
      </c>
      <c r="K9" s="107"/>
    </row>
    <row r="10" customFormat="false" ht="12.75" hidden="false" customHeight="false" outlineLevel="0" collapsed="false">
      <c r="A10" s="101" t="n">
        <v>36312</v>
      </c>
      <c r="B10" s="77"/>
      <c r="C10" s="78" t="s">
        <v>42</v>
      </c>
      <c r="D10" s="99" t="n">
        <v>2.01</v>
      </c>
      <c r="E10" s="77"/>
      <c r="F10" s="80" t="n">
        <f aca="false">-10000*30</f>
        <v>-300000</v>
      </c>
      <c r="G10" s="99" t="n">
        <v>2.08</v>
      </c>
      <c r="H10" s="99"/>
      <c r="I10" s="79" t="n">
        <f aca="false">SUM(D10-G10)*F10</f>
        <v>21000.0000000001</v>
      </c>
      <c r="J10" s="107" t="n">
        <f aca="false">+I10</f>
        <v>21000.0000000001</v>
      </c>
      <c r="K10" s="107"/>
    </row>
    <row r="11" customFormat="false" ht="12.75" hidden="false" customHeight="false" outlineLevel="0" collapsed="false">
      <c r="A11" s="101" t="n">
        <v>36342</v>
      </c>
      <c r="B11" s="77"/>
      <c r="C11" s="78" t="s">
        <v>42</v>
      </c>
      <c r="D11" s="99" t="n">
        <v>2.01</v>
      </c>
      <c r="E11" s="77"/>
      <c r="F11" s="80" t="n">
        <f aca="false">-10000*31</f>
        <v>-310000</v>
      </c>
      <c r="G11" s="99" t="n">
        <v>2.17</v>
      </c>
      <c r="H11" s="99"/>
      <c r="I11" s="79" t="n">
        <f aca="false">SUM(D11-G11)*F11</f>
        <v>49600</v>
      </c>
      <c r="J11" s="107" t="n">
        <f aca="false">+I11</f>
        <v>49600</v>
      </c>
      <c r="K11" s="107"/>
    </row>
    <row r="12" customFormat="false" ht="12.75" hidden="false" customHeight="false" outlineLevel="0" collapsed="false">
      <c r="A12" s="101" t="n">
        <v>36373</v>
      </c>
      <c r="B12" s="77"/>
      <c r="C12" s="78" t="s">
        <v>42</v>
      </c>
      <c r="D12" s="99" t="n">
        <v>2.01</v>
      </c>
      <c r="E12" s="77"/>
      <c r="F12" s="80" t="n">
        <f aca="false">-10000*31</f>
        <v>-310000</v>
      </c>
      <c r="G12" s="99" t="n">
        <v>2.46</v>
      </c>
      <c r="H12" s="99"/>
      <c r="I12" s="79" t="n">
        <f aca="false">SUM(D12-G12)*F12</f>
        <v>139500</v>
      </c>
      <c r="J12" s="107" t="n">
        <f aca="false">+I12</f>
        <v>139500</v>
      </c>
      <c r="K12" s="107"/>
    </row>
    <row r="13" customFormat="false" ht="12.75" hidden="false" customHeight="false" outlineLevel="0" collapsed="false">
      <c r="A13" s="101" t="n">
        <v>36404</v>
      </c>
      <c r="B13" s="77"/>
      <c r="C13" s="78" t="s">
        <v>42</v>
      </c>
      <c r="D13" s="99" t="n">
        <v>2.01</v>
      </c>
      <c r="E13" s="77"/>
      <c r="F13" s="80" t="n">
        <f aca="false">-10000*30</f>
        <v>-300000</v>
      </c>
      <c r="G13" s="99" t="n">
        <v>2.78</v>
      </c>
      <c r="H13" s="99"/>
      <c r="I13" s="79" t="n">
        <f aca="false">SUM(D13-G13)*F13</f>
        <v>231000</v>
      </c>
      <c r="J13" s="107" t="n">
        <f aca="false">+I13</f>
        <v>231000</v>
      </c>
      <c r="K13" s="107"/>
    </row>
    <row r="14" customFormat="false" ht="12.75" hidden="false" customHeight="false" outlineLevel="0" collapsed="false">
      <c r="A14" s="101" t="n">
        <v>36434</v>
      </c>
      <c r="B14" s="77"/>
      <c r="C14" s="78" t="s">
        <v>42</v>
      </c>
      <c r="D14" s="99" t="n">
        <v>2.01</v>
      </c>
      <c r="E14" s="77"/>
      <c r="F14" s="80" t="n">
        <f aca="false">-10000*31</f>
        <v>-310000</v>
      </c>
      <c r="G14" s="99" t="n">
        <v>2.42</v>
      </c>
      <c r="H14" s="99"/>
      <c r="I14" s="79" t="n">
        <f aca="false">SUM(D14-G14)*F14</f>
        <v>127100</v>
      </c>
      <c r="J14" s="107" t="n">
        <f aca="false">+I14</f>
        <v>127100</v>
      </c>
      <c r="K14" s="107"/>
    </row>
    <row r="15" customFormat="false" ht="12.75" hidden="false" customHeight="false" outlineLevel="0" collapsed="false">
      <c r="A15" s="101" t="n">
        <v>36465</v>
      </c>
      <c r="B15" s="77"/>
      <c r="C15" s="78" t="s">
        <v>42</v>
      </c>
      <c r="D15" s="99" t="n">
        <v>2.01</v>
      </c>
      <c r="E15" s="77"/>
      <c r="F15" s="80" t="n">
        <f aca="false">-10000*30</f>
        <v>-300000</v>
      </c>
      <c r="G15" s="99" t="n">
        <v>2.87</v>
      </c>
      <c r="H15" s="99"/>
      <c r="I15" s="79" t="n">
        <f aca="false">SUM(D15-G15)*F15</f>
        <v>258000</v>
      </c>
      <c r="J15" s="107" t="n">
        <f aca="false">+I15</f>
        <v>258000</v>
      </c>
      <c r="K15" s="107"/>
    </row>
    <row r="16" customFormat="false" ht="12.75" hidden="false" customHeight="false" outlineLevel="0" collapsed="false">
      <c r="A16" s="101" t="n">
        <v>36495</v>
      </c>
      <c r="B16" s="77"/>
      <c r="C16" s="78" t="s">
        <v>42</v>
      </c>
      <c r="D16" s="99" t="n">
        <v>2.01</v>
      </c>
      <c r="E16" s="77"/>
      <c r="F16" s="80" t="n">
        <f aca="false">-10000*31</f>
        <v>-310000</v>
      </c>
      <c r="G16" s="77"/>
      <c r="H16" s="99" t="n">
        <v>2.08</v>
      </c>
      <c r="I16" s="79" t="n">
        <f aca="false">SUM(D16-H16)*F16</f>
        <v>21700.0000000001</v>
      </c>
      <c r="J16" s="108"/>
      <c r="K16" s="107" t="n">
        <f aca="false">+I16</f>
        <v>21700.0000000001</v>
      </c>
    </row>
    <row r="17" customFormat="false" ht="12.75" hidden="false" customHeight="false" outlineLevel="0" collapsed="false">
      <c r="A17" s="77"/>
      <c r="B17" s="77"/>
      <c r="C17" s="77"/>
      <c r="D17" s="77"/>
      <c r="E17" s="77"/>
      <c r="F17" s="83" t="n">
        <f aca="false">SUM(F9:F16)</f>
        <v>-2450000</v>
      </c>
      <c r="G17" s="77"/>
      <c r="H17" s="77"/>
      <c r="I17" s="109" t="n">
        <f aca="false">SUM(I9:I16)</f>
        <v>894400.000000001</v>
      </c>
      <c r="J17" s="109" t="n">
        <f aca="false">SUM(J9:J16)</f>
        <v>872700.000000001</v>
      </c>
      <c r="K17" s="109" t="n">
        <f aca="false">SUM(K9:K16)</f>
        <v>21700.0000000001</v>
      </c>
    </row>
    <row r="18" customFormat="false" ht="12.75" hidden="false" customHeight="false" outlineLevel="0" collapsed="false">
      <c r="A18" s="77"/>
      <c r="B18" s="77"/>
      <c r="C18" s="77"/>
      <c r="D18" s="77"/>
      <c r="E18" s="77"/>
      <c r="F18" s="86"/>
      <c r="G18" s="77"/>
      <c r="H18" s="77"/>
      <c r="I18" s="110"/>
      <c r="J18" s="87"/>
      <c r="K18" s="87"/>
    </row>
    <row r="19" customFormat="false" ht="12.75" hidden="false" customHeight="false" outlineLevel="0" collapsed="false">
      <c r="A19" s="77"/>
      <c r="B19" s="77"/>
      <c r="C19" s="77"/>
      <c r="D19" s="77"/>
      <c r="E19" s="77"/>
      <c r="F19" s="77"/>
      <c r="G19" s="88" t="s">
        <v>84</v>
      </c>
      <c r="H19" s="111"/>
      <c r="I19" s="77"/>
      <c r="J19" s="108"/>
      <c r="K19" s="108"/>
    </row>
    <row r="20" customFormat="false" ht="12.75" hidden="false" customHeight="false" outlineLevel="0" collapsed="false">
      <c r="A20" s="77"/>
      <c r="B20" s="77"/>
      <c r="C20" s="77"/>
      <c r="D20" s="99"/>
      <c r="E20" s="77"/>
      <c r="F20" s="77"/>
      <c r="G20" s="112"/>
      <c r="H20" s="111"/>
      <c r="I20" s="77"/>
      <c r="J20" s="108"/>
      <c r="K20" s="108"/>
    </row>
    <row r="21" customFormat="false" ht="12.75" hidden="false" customHeight="false" outlineLevel="0" collapsed="false">
      <c r="A21" s="101" t="n">
        <v>36281</v>
      </c>
      <c r="B21" s="77"/>
      <c r="C21" s="78" t="s">
        <v>100</v>
      </c>
      <c r="D21" s="99" t="n">
        <v>2.01</v>
      </c>
      <c r="E21" s="77"/>
      <c r="F21" s="80" t="n">
        <f aca="false">10000*31</f>
        <v>310000</v>
      </c>
      <c r="G21" s="99" t="n">
        <v>2.06</v>
      </c>
      <c r="H21" s="99"/>
      <c r="I21" s="79" t="n">
        <f aca="false">SUM(D21-G21)*F21</f>
        <v>-15500.0000000001</v>
      </c>
      <c r="J21" s="107" t="n">
        <f aca="false">+I21</f>
        <v>-15500.0000000001</v>
      </c>
      <c r="K21" s="107"/>
    </row>
    <row r="22" customFormat="false" ht="12.75" hidden="false" customHeight="false" outlineLevel="0" collapsed="false">
      <c r="A22" s="101" t="n">
        <v>36312</v>
      </c>
      <c r="B22" s="77"/>
      <c r="C22" s="78" t="s">
        <v>100</v>
      </c>
      <c r="D22" s="99" t="n">
        <v>2.01</v>
      </c>
      <c r="E22" s="77"/>
      <c r="F22" s="80" t="n">
        <f aca="false">10000*30</f>
        <v>300000</v>
      </c>
      <c r="G22" s="99" t="n">
        <v>2.07</v>
      </c>
      <c r="H22" s="99"/>
      <c r="I22" s="79" t="n">
        <f aca="false">SUM(D22-G22)*F22</f>
        <v>-18000</v>
      </c>
      <c r="J22" s="107" t="n">
        <f aca="false">+I22</f>
        <v>-18000</v>
      </c>
      <c r="K22" s="107"/>
    </row>
    <row r="23" customFormat="false" ht="12.75" hidden="false" customHeight="false" outlineLevel="0" collapsed="false">
      <c r="A23" s="101" t="n">
        <v>36342</v>
      </c>
      <c r="B23" s="77"/>
      <c r="C23" s="78" t="s">
        <v>100</v>
      </c>
      <c r="D23" s="99" t="n">
        <v>2.01</v>
      </c>
      <c r="E23" s="77"/>
      <c r="F23" s="80" t="n">
        <f aca="false">10000*31</f>
        <v>310000</v>
      </c>
      <c r="G23" s="99" t="n">
        <v>2.11</v>
      </c>
      <c r="H23" s="99"/>
      <c r="I23" s="79" t="n">
        <f aca="false">SUM(D23-G23)*F23</f>
        <v>-31000</v>
      </c>
      <c r="J23" s="107" t="n">
        <f aca="false">+I23</f>
        <v>-31000</v>
      </c>
      <c r="K23" s="107"/>
    </row>
    <row r="24" customFormat="false" ht="12.75" hidden="false" customHeight="false" outlineLevel="0" collapsed="false">
      <c r="A24" s="101" t="n">
        <v>36373</v>
      </c>
      <c r="B24" s="77"/>
      <c r="C24" s="78" t="s">
        <v>100</v>
      </c>
      <c r="D24" s="99" t="n">
        <v>2.01</v>
      </c>
      <c r="E24" s="77"/>
      <c r="F24" s="80" t="n">
        <f aca="false">10000*31</f>
        <v>310000</v>
      </c>
      <c r="G24" s="99" t="n">
        <v>2.51</v>
      </c>
      <c r="H24" s="99"/>
      <c r="I24" s="79" t="n">
        <f aca="false">SUM(D24-G24)*F24</f>
        <v>-155000</v>
      </c>
      <c r="J24" s="107" t="n">
        <f aca="false">+I24</f>
        <v>-155000</v>
      </c>
      <c r="K24" s="107"/>
    </row>
    <row r="25" customFormat="false" ht="12.75" hidden="false" customHeight="false" outlineLevel="0" collapsed="false">
      <c r="A25" s="101" t="n">
        <v>36404</v>
      </c>
      <c r="B25" s="77"/>
      <c r="C25" s="78" t="s">
        <v>100</v>
      </c>
      <c r="D25" s="99" t="n">
        <v>2.01</v>
      </c>
      <c r="E25" s="77"/>
      <c r="F25" s="80" t="n">
        <f aca="false">10000*30</f>
        <v>300000</v>
      </c>
      <c r="G25" s="99" t="n">
        <v>2.36</v>
      </c>
      <c r="H25" s="99"/>
      <c r="I25" s="79" t="n">
        <f aca="false">SUM(D25-G25)*F25</f>
        <v>-105000</v>
      </c>
      <c r="J25" s="107" t="n">
        <f aca="false">+I25</f>
        <v>-105000</v>
      </c>
      <c r="K25" s="107"/>
    </row>
    <row r="26" customFormat="false" ht="12.75" hidden="false" customHeight="false" outlineLevel="0" collapsed="false">
      <c r="A26" s="101" t="n">
        <v>36434</v>
      </c>
      <c r="B26" s="77"/>
      <c r="C26" s="78" t="s">
        <v>100</v>
      </c>
      <c r="D26" s="99" t="n">
        <v>2.01</v>
      </c>
      <c r="E26" s="77"/>
      <c r="F26" s="80" t="n">
        <f aca="false">10000*31</f>
        <v>310000</v>
      </c>
      <c r="G26" s="99" t="n">
        <v>2.62</v>
      </c>
      <c r="H26" s="99"/>
      <c r="I26" s="79" t="n">
        <f aca="false">SUM(D26-G26)*F26</f>
        <v>-189100</v>
      </c>
      <c r="J26" s="107" t="n">
        <f aca="false">+I26</f>
        <v>-189100</v>
      </c>
      <c r="K26" s="107"/>
    </row>
    <row r="27" customFormat="false" ht="12.75" hidden="false" customHeight="false" outlineLevel="0" collapsed="false">
      <c r="A27" s="101" t="n">
        <v>36465</v>
      </c>
      <c r="B27" s="77"/>
      <c r="C27" s="78" t="s">
        <v>100</v>
      </c>
      <c r="D27" s="99" t="n">
        <v>2.01</v>
      </c>
      <c r="E27" s="77"/>
      <c r="F27" s="80" t="n">
        <f aca="false">10000*30</f>
        <v>300000</v>
      </c>
      <c r="G27" s="99" t="n">
        <v>2.17</v>
      </c>
      <c r="H27" s="99"/>
      <c r="I27" s="79" t="n">
        <f aca="false">SUM(D27-G27)*F27</f>
        <v>-48000</v>
      </c>
      <c r="J27" s="107" t="n">
        <f aca="false">+I27</f>
        <v>-48000</v>
      </c>
      <c r="K27" s="107"/>
    </row>
    <row r="28" customFormat="false" ht="12.75" hidden="false" customHeight="false" outlineLevel="0" collapsed="false">
      <c r="A28" s="101" t="n">
        <v>36495</v>
      </c>
      <c r="B28" s="77"/>
      <c r="C28" s="78" t="s">
        <v>100</v>
      </c>
      <c r="D28" s="99" t="n">
        <v>2.01</v>
      </c>
      <c r="E28" s="77"/>
      <c r="F28" s="80" t="n">
        <f aca="false">10000*31</f>
        <v>310000</v>
      </c>
      <c r="G28" s="77"/>
      <c r="H28" s="99" t="n">
        <v>2.09</v>
      </c>
      <c r="I28" s="113" t="n">
        <f aca="false">SUM(D28-H28)*F28</f>
        <v>-24800</v>
      </c>
      <c r="J28" s="108"/>
      <c r="K28" s="107" t="n">
        <f aca="false">+I28</f>
        <v>-24800</v>
      </c>
    </row>
    <row r="29" customFormat="false" ht="12.75" hidden="false" customHeight="false" outlineLevel="0" collapsed="false">
      <c r="A29" s="77"/>
      <c r="B29" s="77"/>
      <c r="C29" s="77"/>
      <c r="D29" s="77"/>
      <c r="E29" s="77"/>
      <c r="F29" s="83" t="n">
        <f aca="false">SUM(F21:F28)</f>
        <v>2450000</v>
      </c>
      <c r="G29" s="77"/>
      <c r="H29" s="77"/>
      <c r="I29" s="102" t="n">
        <f aca="false">SUM(I21:I28)</f>
        <v>-586400</v>
      </c>
      <c r="J29" s="102" t="n">
        <f aca="false">SUM(J21:J28)</f>
        <v>-561600</v>
      </c>
      <c r="K29" s="102" t="n">
        <f aca="false">SUM(K21:K28)</f>
        <v>-24800</v>
      </c>
    </row>
    <row r="30" customFormat="false" ht="12.75" hidden="false" customHeight="false" outlineLevel="0" collapsed="false">
      <c r="A30" s="77"/>
      <c r="B30" s="77"/>
      <c r="C30" s="77"/>
      <c r="D30" s="77"/>
      <c r="E30" s="77"/>
      <c r="F30" s="77"/>
      <c r="G30" s="77"/>
      <c r="H30" s="77"/>
      <c r="I30" s="77"/>
      <c r="J30" s="108"/>
      <c r="K30" s="108"/>
    </row>
    <row r="31" customFormat="false" ht="13.5" hidden="false" customHeight="false" outlineLevel="0" collapsed="false">
      <c r="A31" s="77"/>
      <c r="B31" s="77"/>
      <c r="C31" s="77"/>
      <c r="D31" s="77"/>
      <c r="E31" s="77"/>
      <c r="F31" s="91" t="n">
        <f aca="false">+F29+F17</f>
        <v>0</v>
      </c>
      <c r="G31" s="77"/>
      <c r="H31" s="77"/>
      <c r="I31" s="105" t="n">
        <f aca="false">+I29+I17</f>
        <v>308000</v>
      </c>
      <c r="J31" s="105" t="n">
        <f aca="false">+J29+J17</f>
        <v>311100</v>
      </c>
      <c r="K31" s="105" t="n">
        <f aca="false">+K29+K17</f>
        <v>-3099.99999999993</v>
      </c>
    </row>
    <row r="32" customFormat="false" ht="13.5" hidden="false" customHeight="false" outlineLevel="0" collapsed="false">
      <c r="A32" s="94"/>
      <c r="B32" s="94"/>
      <c r="C32" s="94"/>
      <c r="D32" s="94"/>
      <c r="E32" s="94"/>
      <c r="F32" s="94"/>
      <c r="G32" s="94"/>
      <c r="H32" s="94"/>
      <c r="I32" s="94"/>
      <c r="J32" s="114"/>
      <c r="K32" s="114"/>
    </row>
    <row r="34" customFormat="false" ht="12.75" hidden="false" customHeight="false" outlineLevel="0" collapsed="false">
      <c r="A34" s="60" t="s">
        <v>71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99"/>
    <col collapsed="false" customWidth="true" hidden="false" outlineLevel="0" max="10" min="10" style="0" width="13.41"/>
    <col collapsed="false" customWidth="true" hidden="false" outlineLevel="0" max="11" min="11" style="0" width="14.99"/>
  </cols>
  <sheetData>
    <row r="1" customFormat="false" ht="15" hidden="false" customHeight="false" outlineLevel="0" collapsed="false">
      <c r="A1" s="62" t="s">
        <v>74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customFormat="false" ht="15" hidden="false" customHeight="false" outlineLevel="0" collapsed="false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customFormat="false" ht="15.75" hidden="false" customHeight="false" outlineLevel="0" collapsed="false">
      <c r="A3" s="62" t="s">
        <v>103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customFormat="false" ht="15.75" hidden="false" customHeight="false" outlineLevel="0" collapsed="false">
      <c r="A4" s="63"/>
      <c r="B4" s="63"/>
      <c r="C4" s="63"/>
      <c r="D4" s="63"/>
      <c r="E4" s="63"/>
      <c r="F4" s="63"/>
      <c r="G4" s="63"/>
      <c r="H4" s="63"/>
      <c r="I4" s="63"/>
      <c r="J4" s="106"/>
      <c r="K4" s="106"/>
    </row>
    <row r="6" customFormat="false" ht="12.75" hidden="false" customHeight="false" outlineLevel="0" collapsed="false">
      <c r="A6" s="65" t="s">
        <v>77</v>
      </c>
      <c r="B6" s="66" t="s">
        <v>6</v>
      </c>
      <c r="C6" s="66" t="s">
        <v>6</v>
      </c>
      <c r="D6" s="66" t="s">
        <v>78</v>
      </c>
      <c r="E6" s="66"/>
      <c r="F6" s="66" t="s">
        <v>13</v>
      </c>
      <c r="G6" s="66" t="s">
        <v>79</v>
      </c>
      <c r="H6" s="66" t="s">
        <v>27</v>
      </c>
      <c r="I6" s="67" t="s">
        <v>80</v>
      </c>
      <c r="J6" s="67"/>
      <c r="K6" s="67"/>
    </row>
    <row r="7" customFormat="false" ht="12.75" hidden="false" customHeight="false" outlineLevel="0" collapsed="false">
      <c r="A7" s="68" t="s">
        <v>81</v>
      </c>
      <c r="B7" s="69" t="s">
        <v>16</v>
      </c>
      <c r="C7" s="69" t="s">
        <v>15</v>
      </c>
      <c r="D7" s="69" t="s">
        <v>20</v>
      </c>
      <c r="E7" s="69"/>
      <c r="F7" s="69" t="s">
        <v>82</v>
      </c>
      <c r="G7" s="69" t="s">
        <v>20</v>
      </c>
      <c r="H7" s="69" t="s">
        <v>20</v>
      </c>
      <c r="I7" s="69" t="s">
        <v>29</v>
      </c>
      <c r="J7" s="69" t="s">
        <v>30</v>
      </c>
      <c r="K7" s="70" t="s">
        <v>31</v>
      </c>
    </row>
    <row r="8" customFormat="false" ht="12.75" hidden="false" customHeight="false" outlineLevel="0" collapsed="false">
      <c r="A8" s="71"/>
      <c r="B8" s="72"/>
      <c r="C8" s="72"/>
      <c r="D8" s="72"/>
      <c r="E8" s="72"/>
      <c r="F8" s="72"/>
      <c r="G8" s="100" t="s">
        <v>99</v>
      </c>
      <c r="H8" s="74"/>
      <c r="I8" s="74" t="s">
        <v>34</v>
      </c>
      <c r="J8" s="74" t="s">
        <v>34</v>
      </c>
      <c r="K8" s="75" t="s">
        <v>34</v>
      </c>
    </row>
    <row r="9" customFormat="false" ht="12.75" hidden="false" customHeight="false" outlineLevel="0" collapsed="false">
      <c r="A9" s="101" t="n">
        <v>36526</v>
      </c>
      <c r="B9" s="77"/>
      <c r="C9" s="78" t="s">
        <v>47</v>
      </c>
      <c r="D9" s="99" t="n">
        <v>2.365</v>
      </c>
      <c r="E9" s="77"/>
      <c r="F9" s="80" t="n">
        <f aca="false">-15000*31</f>
        <v>-465000</v>
      </c>
      <c r="G9" s="99"/>
      <c r="H9" s="99" t="n">
        <f aca="false">+[1]Sheet1!$F29</f>
        <v>2.205</v>
      </c>
      <c r="I9" s="79" t="n">
        <f aca="false">SUM(D9-H9)*F9</f>
        <v>-74400.0000000001</v>
      </c>
      <c r="J9" s="107"/>
      <c r="K9" s="107" t="n">
        <f aca="false">+I9</f>
        <v>-74400.0000000001</v>
      </c>
    </row>
    <row r="10" customFormat="false" ht="12.75" hidden="false" customHeight="false" outlineLevel="0" collapsed="false">
      <c r="A10" s="101" t="n">
        <v>36557</v>
      </c>
      <c r="B10" s="77"/>
      <c r="C10" s="78" t="s">
        <v>47</v>
      </c>
      <c r="D10" s="99" t="n">
        <v>2.365</v>
      </c>
      <c r="E10" s="77"/>
      <c r="F10" s="80" t="n">
        <f aca="false">-15000*29</f>
        <v>-435000</v>
      </c>
      <c r="G10" s="99"/>
      <c r="H10" s="99" t="n">
        <f aca="false">+[1]Sheet1!$F30</f>
        <v>2.212</v>
      </c>
      <c r="I10" s="79" t="n">
        <f aca="false">SUM(D10-H10)*F10</f>
        <v>-66555.0000000002</v>
      </c>
      <c r="J10" s="107"/>
      <c r="K10" s="107" t="n">
        <f aca="false">+I10</f>
        <v>-66555.0000000002</v>
      </c>
    </row>
    <row r="11" customFormat="false" ht="12.75" hidden="false" customHeight="false" outlineLevel="0" collapsed="false">
      <c r="A11" s="101" t="n">
        <v>36586</v>
      </c>
      <c r="B11" s="77"/>
      <c r="C11" s="78" t="s">
        <v>47</v>
      </c>
      <c r="D11" s="99" t="n">
        <v>2.365</v>
      </c>
      <c r="E11" s="77"/>
      <c r="F11" s="80" t="n">
        <f aca="false">-15000*31</f>
        <v>-465000</v>
      </c>
      <c r="G11" s="77"/>
      <c r="H11" s="99" t="n">
        <f aca="false">+[1]Sheet1!$F31</f>
        <v>2.195</v>
      </c>
      <c r="I11" s="79" t="n">
        <f aca="false">SUM(D11-H11)*F11</f>
        <v>-79050.0000000004</v>
      </c>
      <c r="J11" s="108"/>
      <c r="K11" s="107" t="n">
        <f aca="false">+I11</f>
        <v>-79050.0000000004</v>
      </c>
    </row>
    <row r="12" customFormat="false" ht="12.75" hidden="false" customHeight="false" outlineLevel="0" collapsed="false">
      <c r="A12" s="101" t="n">
        <v>36617</v>
      </c>
      <c r="B12" s="77"/>
      <c r="C12" s="78" t="s">
        <v>47</v>
      </c>
      <c r="D12" s="99" t="n">
        <v>2.365</v>
      </c>
      <c r="E12" s="77"/>
      <c r="F12" s="80" t="n">
        <f aca="false">-15000*30</f>
        <v>-450000</v>
      </c>
      <c r="G12" s="77"/>
      <c r="H12" s="99" t="n">
        <f aca="false">+[1]Sheet1!$F32</f>
        <v>2.175</v>
      </c>
      <c r="I12" s="79" t="n">
        <f aca="false">SUM(D12-H12)*F12</f>
        <v>-85500.0000000002</v>
      </c>
      <c r="J12" s="108"/>
      <c r="K12" s="107" t="n">
        <f aca="false">+I12</f>
        <v>-85500.0000000002</v>
      </c>
    </row>
    <row r="13" customFormat="false" ht="12.75" hidden="false" customHeight="false" outlineLevel="0" collapsed="false">
      <c r="A13" s="101" t="n">
        <v>36647</v>
      </c>
      <c r="B13" s="77"/>
      <c r="C13" s="78" t="s">
        <v>47</v>
      </c>
      <c r="D13" s="99" t="n">
        <v>2.365</v>
      </c>
      <c r="E13" s="77"/>
      <c r="F13" s="80" t="n">
        <f aca="false">-15000*31</f>
        <v>-465000</v>
      </c>
      <c r="G13" s="77"/>
      <c r="H13" s="99" t="n">
        <f aca="false">+[1]Sheet1!$F33</f>
        <v>2.192</v>
      </c>
      <c r="I13" s="79" t="n">
        <f aca="false">SUM(D13-H13)*F13</f>
        <v>-80445.0000000002</v>
      </c>
      <c r="J13" s="108"/>
      <c r="K13" s="107" t="n">
        <f aca="false">+I13</f>
        <v>-80445.0000000002</v>
      </c>
    </row>
    <row r="14" customFormat="false" ht="12.75" hidden="false" customHeight="false" outlineLevel="0" collapsed="false">
      <c r="A14" s="101" t="n">
        <v>36678</v>
      </c>
      <c r="B14" s="77"/>
      <c r="C14" s="78" t="s">
        <v>47</v>
      </c>
      <c r="D14" s="99" t="n">
        <v>2.365</v>
      </c>
      <c r="E14" s="77"/>
      <c r="F14" s="80" t="n">
        <f aca="false">-15000*30</f>
        <v>-450000</v>
      </c>
      <c r="G14" s="77"/>
      <c r="H14" s="99" t="n">
        <f aca="false">+[1]Sheet1!$F34</f>
        <v>2.215</v>
      </c>
      <c r="I14" s="79" t="n">
        <f aca="false">SUM(D14-H14)*F14</f>
        <v>-67500.0000000002</v>
      </c>
      <c r="J14" s="108"/>
      <c r="K14" s="107" t="n">
        <f aca="false">+I14</f>
        <v>-67500.0000000002</v>
      </c>
    </row>
    <row r="15" customFormat="false" ht="12.75" hidden="false" customHeight="false" outlineLevel="0" collapsed="false">
      <c r="A15" s="101" t="n">
        <v>36708</v>
      </c>
      <c r="B15" s="77"/>
      <c r="C15" s="78" t="s">
        <v>47</v>
      </c>
      <c r="D15" s="99" t="n">
        <v>2.365</v>
      </c>
      <c r="E15" s="77"/>
      <c r="F15" s="80" t="n">
        <f aca="false">-15000*31</f>
        <v>-465000</v>
      </c>
      <c r="G15" s="77"/>
      <c r="H15" s="99" t="n">
        <f aca="false">+[1]Sheet1!$F35</f>
        <v>2.238</v>
      </c>
      <c r="I15" s="79" t="n">
        <f aca="false">SUM(D15-H15)*F15</f>
        <v>-59055.0000000001</v>
      </c>
      <c r="J15" s="108"/>
      <c r="K15" s="107" t="n">
        <f aca="false">+I15</f>
        <v>-59055.0000000001</v>
      </c>
    </row>
    <row r="16" customFormat="false" ht="12.75" hidden="false" customHeight="false" outlineLevel="0" collapsed="false">
      <c r="A16" s="101" t="n">
        <v>36739</v>
      </c>
      <c r="B16" s="77"/>
      <c r="C16" s="78" t="s">
        <v>47</v>
      </c>
      <c r="D16" s="99" t="n">
        <v>2.365</v>
      </c>
      <c r="E16" s="77"/>
      <c r="F16" s="80" t="n">
        <f aca="false">-15000*31</f>
        <v>-465000</v>
      </c>
      <c r="G16" s="77"/>
      <c r="H16" s="99" t="n">
        <f aca="false">+[1]Sheet1!$F36</f>
        <v>2.26</v>
      </c>
      <c r="I16" s="79" t="n">
        <f aca="false">SUM(D16-H16)*F16</f>
        <v>-48825.0000000002</v>
      </c>
      <c r="J16" s="108"/>
      <c r="K16" s="107" t="n">
        <f aca="false">+I16</f>
        <v>-48825.0000000002</v>
      </c>
    </row>
    <row r="17" customFormat="false" ht="12.75" hidden="false" customHeight="false" outlineLevel="0" collapsed="false">
      <c r="A17" s="101" t="n">
        <v>36770</v>
      </c>
      <c r="B17" s="77"/>
      <c r="C17" s="78" t="s">
        <v>47</v>
      </c>
      <c r="D17" s="99" t="n">
        <v>2.365</v>
      </c>
      <c r="E17" s="77"/>
      <c r="F17" s="80" t="n">
        <f aca="false">-15000*30</f>
        <v>-450000</v>
      </c>
      <c r="G17" s="77"/>
      <c r="H17" s="99" t="n">
        <f aca="false">+[1]Sheet1!$F37</f>
        <v>2.287</v>
      </c>
      <c r="I17" s="79" t="n">
        <f aca="false">SUM(D17-H17)*F17</f>
        <v>-35100.0000000001</v>
      </c>
      <c r="J17" s="108"/>
      <c r="K17" s="107" t="n">
        <f aca="false">+I17</f>
        <v>-35100.0000000001</v>
      </c>
    </row>
    <row r="18" customFormat="false" ht="12.75" hidden="false" customHeight="false" outlineLevel="0" collapsed="false">
      <c r="A18" s="101" t="n">
        <v>36800</v>
      </c>
      <c r="B18" s="77"/>
      <c r="C18" s="78" t="s">
        <v>47</v>
      </c>
      <c r="D18" s="99" t="n">
        <v>2.365</v>
      </c>
      <c r="E18" s="77"/>
      <c r="F18" s="80" t="n">
        <f aca="false">-15000*31</f>
        <v>-465000</v>
      </c>
      <c r="G18" s="77"/>
      <c r="H18" s="99" t="n">
        <f aca="false">+[1]Sheet1!$F38</f>
        <v>2.319</v>
      </c>
      <c r="I18" s="79" t="n">
        <f aca="false">SUM(D18-H18)*F18</f>
        <v>-21390.0000000001</v>
      </c>
      <c r="J18" s="108"/>
      <c r="K18" s="107" t="n">
        <f aca="false">+I18</f>
        <v>-21390.0000000001</v>
      </c>
    </row>
    <row r="19" customFormat="false" ht="12.75" hidden="false" customHeight="false" outlineLevel="0" collapsed="false">
      <c r="A19" s="101" t="n">
        <v>36831</v>
      </c>
      <c r="B19" s="77"/>
      <c r="C19" s="78" t="s">
        <v>47</v>
      </c>
      <c r="D19" s="99" t="n">
        <v>2.365</v>
      </c>
      <c r="E19" s="77"/>
      <c r="F19" s="80" t="n">
        <f aca="false">-15000*30</f>
        <v>-450000</v>
      </c>
      <c r="G19" s="77"/>
      <c r="H19" s="99" t="n">
        <f aca="false">+[1]Sheet1!$F39</f>
        <v>2.422</v>
      </c>
      <c r="I19" s="79" t="n">
        <f aca="false">SUM(D19-H19)*F19</f>
        <v>25649.9999999998</v>
      </c>
      <c r="J19" s="108"/>
      <c r="K19" s="107" t="n">
        <f aca="false">+I19</f>
        <v>25649.9999999998</v>
      </c>
    </row>
    <row r="20" customFormat="false" ht="12.75" hidden="false" customHeight="false" outlineLevel="0" collapsed="false">
      <c r="A20" s="101" t="n">
        <v>36861</v>
      </c>
      <c r="B20" s="77"/>
      <c r="C20" s="78" t="s">
        <v>47</v>
      </c>
      <c r="D20" s="99" t="n">
        <v>2.365</v>
      </c>
      <c r="E20" s="77"/>
      <c r="F20" s="80" t="n">
        <f aca="false">-15000*31</f>
        <v>-465000</v>
      </c>
      <c r="G20" s="77"/>
      <c r="H20" s="99" t="n">
        <f aca="false">+[1]Sheet1!$F40</f>
        <v>2.56</v>
      </c>
      <c r="I20" s="79" t="n">
        <f aca="false">SUM(D20-H20)*F20</f>
        <v>90674.9999999997</v>
      </c>
      <c r="J20" s="108"/>
      <c r="K20" s="107" t="n">
        <f aca="false">+I20</f>
        <v>90674.9999999997</v>
      </c>
    </row>
    <row r="21" customFormat="false" ht="12.75" hidden="false" customHeight="false" outlineLevel="0" collapsed="false">
      <c r="A21" s="101"/>
      <c r="B21" s="77"/>
      <c r="C21" s="78"/>
      <c r="D21" s="99"/>
      <c r="E21" s="77"/>
      <c r="F21" s="80"/>
      <c r="G21" s="77"/>
      <c r="H21" s="99"/>
      <c r="I21" s="79"/>
      <c r="J21" s="108"/>
      <c r="K21" s="107"/>
    </row>
    <row r="22" customFormat="false" ht="12.75" hidden="false" customHeight="false" outlineLevel="0" collapsed="false">
      <c r="A22" s="77"/>
      <c r="B22" s="77"/>
      <c r="C22" s="77"/>
      <c r="D22" s="77"/>
      <c r="E22" s="77"/>
      <c r="F22" s="83" t="n">
        <f aca="false">SUM(F9:F20)</f>
        <v>-5490000</v>
      </c>
      <c r="G22" s="77"/>
      <c r="H22" s="77"/>
      <c r="I22" s="109" t="n">
        <f aca="false">SUM(I9:I20)</f>
        <v>-501495.000000002</v>
      </c>
      <c r="J22" s="109" t="n">
        <f aca="false">SUM(J9:J20)</f>
        <v>0</v>
      </c>
      <c r="K22" s="109" t="n">
        <f aca="false">SUM(K9:K20)</f>
        <v>-501495.000000002</v>
      </c>
    </row>
    <row r="23" customFormat="false" ht="12.75" hidden="false" customHeight="false" outlineLevel="0" collapsed="false">
      <c r="A23" s="77"/>
      <c r="B23" s="77"/>
      <c r="C23" s="77"/>
      <c r="D23" s="77"/>
      <c r="E23" s="77"/>
      <c r="F23" s="86"/>
      <c r="G23" s="77"/>
      <c r="H23" s="77"/>
      <c r="I23" s="110"/>
      <c r="J23" s="87"/>
      <c r="K23" s="87"/>
    </row>
    <row r="24" customFormat="false" ht="12.75" hidden="false" customHeight="false" outlineLevel="0" collapsed="false">
      <c r="A24" s="77"/>
      <c r="B24" s="77"/>
      <c r="C24" s="77"/>
      <c r="D24" s="77"/>
      <c r="E24" s="77"/>
      <c r="F24" s="77"/>
      <c r="G24" s="88" t="s">
        <v>84</v>
      </c>
      <c r="H24" s="111"/>
      <c r="I24" s="77"/>
      <c r="J24" s="108"/>
      <c r="K24" s="108"/>
    </row>
    <row r="25" customFormat="false" ht="12.75" hidden="false" customHeight="false" outlineLevel="0" collapsed="false">
      <c r="A25" s="77"/>
      <c r="B25" s="77"/>
      <c r="C25" s="77"/>
      <c r="D25" s="99"/>
      <c r="E25" s="77"/>
      <c r="F25" s="77"/>
      <c r="G25" s="112"/>
      <c r="H25" s="111"/>
      <c r="I25" s="77"/>
      <c r="J25" s="108"/>
      <c r="K25" s="108"/>
    </row>
    <row r="26" customFormat="false" ht="12.75" hidden="false" customHeight="false" outlineLevel="0" collapsed="false">
      <c r="A26" s="101" t="n">
        <v>36526</v>
      </c>
      <c r="B26" s="77"/>
      <c r="C26" s="78" t="s">
        <v>100</v>
      </c>
      <c r="D26" s="99" t="n">
        <v>2.365</v>
      </c>
      <c r="E26" s="77"/>
      <c r="F26" s="80" t="n">
        <f aca="false">15000*31</f>
        <v>465000</v>
      </c>
      <c r="G26" s="99"/>
      <c r="H26" s="99" t="n">
        <f aca="false">+[1]Sheet1!$R9</f>
        <v>2.19833333333333</v>
      </c>
      <c r="I26" s="79" t="n">
        <f aca="false">SUM(D26-H26)*F26</f>
        <v>77500.0000000001</v>
      </c>
      <c r="J26" s="107"/>
      <c r="K26" s="107" t="n">
        <f aca="false">+I26</f>
        <v>77500.0000000001</v>
      </c>
    </row>
    <row r="27" customFormat="false" ht="12.75" hidden="false" customHeight="false" outlineLevel="0" collapsed="false">
      <c r="A27" s="101" t="n">
        <v>36557</v>
      </c>
      <c r="B27" s="77"/>
      <c r="C27" s="78" t="s">
        <v>100</v>
      </c>
      <c r="D27" s="99" t="n">
        <v>2.365</v>
      </c>
      <c r="E27" s="77"/>
      <c r="F27" s="80" t="n">
        <f aca="false">15000*29</f>
        <v>435000</v>
      </c>
      <c r="G27" s="99"/>
      <c r="H27" s="99" t="n">
        <f aca="false">+[1]Sheet1!$R10</f>
        <v>2.202</v>
      </c>
      <c r="I27" s="79" t="n">
        <f aca="false">SUM(D27-H27)*F27</f>
        <v>70905.0000000001</v>
      </c>
      <c r="J27" s="107"/>
      <c r="K27" s="107" t="n">
        <f aca="false">+I27</f>
        <v>70905.0000000001</v>
      </c>
    </row>
    <row r="28" customFormat="false" ht="12.75" hidden="false" customHeight="false" outlineLevel="0" collapsed="false">
      <c r="A28" s="101" t="n">
        <v>36586</v>
      </c>
      <c r="B28" s="77"/>
      <c r="C28" s="78" t="s">
        <v>100</v>
      </c>
      <c r="D28" s="99" t="n">
        <v>2.365</v>
      </c>
      <c r="E28" s="77"/>
      <c r="F28" s="80" t="n">
        <f aca="false">15000*31</f>
        <v>465000</v>
      </c>
      <c r="G28" s="77"/>
      <c r="H28" s="99" t="n">
        <f aca="false">+[1]Sheet1!$R11</f>
        <v>2.18</v>
      </c>
      <c r="I28" s="79" t="n">
        <f aca="false">SUM(D28-H28)*F28</f>
        <v>86025.0000000002</v>
      </c>
      <c r="J28" s="108"/>
      <c r="K28" s="107" t="n">
        <f aca="false">+I28</f>
        <v>86025.0000000002</v>
      </c>
    </row>
    <row r="29" customFormat="false" ht="12.75" hidden="false" customHeight="false" outlineLevel="0" collapsed="false">
      <c r="A29" s="101" t="n">
        <v>36617</v>
      </c>
      <c r="B29" s="77"/>
      <c r="C29" s="78" t="s">
        <v>100</v>
      </c>
      <c r="D29" s="99" t="n">
        <v>2.365</v>
      </c>
      <c r="E29" s="77"/>
      <c r="F29" s="80" t="n">
        <f aca="false">15000*30</f>
        <v>450000</v>
      </c>
      <c r="G29" s="77"/>
      <c r="H29" s="99" t="n">
        <f aca="false">+[1]Sheet1!$R12</f>
        <v>2.12433333333333</v>
      </c>
      <c r="I29" s="79" t="n">
        <f aca="false">SUM(D29-H29)*F29</f>
        <v>108300</v>
      </c>
      <c r="J29" s="108"/>
      <c r="K29" s="107" t="n">
        <f aca="false">+I29</f>
        <v>108300</v>
      </c>
    </row>
    <row r="30" customFormat="false" ht="12.75" hidden="false" customHeight="false" outlineLevel="0" collapsed="false">
      <c r="A30" s="101" t="n">
        <v>36647</v>
      </c>
      <c r="B30" s="77"/>
      <c r="C30" s="78" t="s">
        <v>100</v>
      </c>
      <c r="D30" s="99" t="n">
        <v>2.365</v>
      </c>
      <c r="E30" s="77"/>
      <c r="F30" s="80" t="n">
        <f aca="false">15000*31</f>
        <v>465000</v>
      </c>
      <c r="G30" s="77"/>
      <c r="H30" s="99" t="n">
        <f aca="false">+[1]Sheet1!$R13</f>
        <v>2.14133333333333</v>
      </c>
      <c r="I30" s="79" t="n">
        <f aca="false">SUM(D30-H30)*F30</f>
        <v>104005</v>
      </c>
      <c r="J30" s="108"/>
      <c r="K30" s="107" t="n">
        <f aca="false">+I30</f>
        <v>104005</v>
      </c>
    </row>
    <row r="31" customFormat="false" ht="12.75" hidden="false" customHeight="false" outlineLevel="0" collapsed="false">
      <c r="A31" s="101" t="n">
        <v>36678</v>
      </c>
      <c r="B31" s="77"/>
      <c r="C31" s="78" t="s">
        <v>100</v>
      </c>
      <c r="D31" s="99" t="n">
        <v>2.365</v>
      </c>
      <c r="E31" s="77"/>
      <c r="F31" s="80" t="n">
        <f aca="false">15000*30</f>
        <v>450000</v>
      </c>
      <c r="G31" s="77"/>
      <c r="H31" s="99" t="n">
        <f aca="false">+[1]Sheet1!$R14</f>
        <v>2.16433333333333</v>
      </c>
      <c r="I31" s="79" t="n">
        <f aca="false">SUM(D31-H31)*F31</f>
        <v>90300</v>
      </c>
      <c r="J31" s="108"/>
      <c r="K31" s="107" t="n">
        <f aca="false">+I31</f>
        <v>90300</v>
      </c>
    </row>
    <row r="32" customFormat="false" ht="12.75" hidden="false" customHeight="false" outlineLevel="0" collapsed="false">
      <c r="A32" s="101" t="n">
        <v>36708</v>
      </c>
      <c r="B32" s="77"/>
      <c r="C32" s="78" t="s">
        <v>100</v>
      </c>
      <c r="D32" s="99" t="n">
        <v>2.365</v>
      </c>
      <c r="E32" s="77"/>
      <c r="F32" s="80" t="n">
        <f aca="false">15000*31</f>
        <v>465000</v>
      </c>
      <c r="G32" s="77"/>
      <c r="H32" s="99" t="n">
        <f aca="false">+[1]Sheet1!$R15</f>
        <v>2.19733333333333</v>
      </c>
      <c r="I32" s="79" t="n">
        <f aca="false">SUM(D32-H32)*F32</f>
        <v>77965.0000000001</v>
      </c>
      <c r="J32" s="108"/>
      <c r="K32" s="107" t="n">
        <f aca="false">+I32</f>
        <v>77965.0000000001</v>
      </c>
    </row>
    <row r="33" customFormat="false" ht="12.75" hidden="false" customHeight="false" outlineLevel="0" collapsed="false">
      <c r="A33" s="101" t="n">
        <v>36739</v>
      </c>
      <c r="B33" s="77"/>
      <c r="C33" s="78" t="s">
        <v>100</v>
      </c>
      <c r="D33" s="99" t="n">
        <v>2.365</v>
      </c>
      <c r="E33" s="77"/>
      <c r="F33" s="80" t="n">
        <f aca="false">15000*31</f>
        <v>465000</v>
      </c>
      <c r="G33" s="77"/>
      <c r="H33" s="99" t="n">
        <f aca="false">+[1]Sheet1!$R16</f>
        <v>2.21933333333333</v>
      </c>
      <c r="I33" s="79" t="n">
        <f aca="false">SUM(D33-H33)*F33</f>
        <v>67735</v>
      </c>
      <c r="J33" s="108"/>
      <c r="K33" s="107" t="n">
        <f aca="false">+I33</f>
        <v>67735</v>
      </c>
    </row>
    <row r="34" customFormat="false" ht="12.75" hidden="false" customHeight="false" outlineLevel="0" collapsed="false">
      <c r="A34" s="101" t="n">
        <v>36770</v>
      </c>
      <c r="B34" s="77"/>
      <c r="C34" s="78" t="s">
        <v>100</v>
      </c>
      <c r="D34" s="99" t="n">
        <v>2.365</v>
      </c>
      <c r="E34" s="77"/>
      <c r="F34" s="80" t="n">
        <f aca="false">15000*30</f>
        <v>450000</v>
      </c>
      <c r="G34" s="77"/>
      <c r="H34" s="99" t="n">
        <f aca="false">+[1]Sheet1!$R17</f>
        <v>2.24633333333333</v>
      </c>
      <c r="I34" s="79" t="n">
        <f aca="false">SUM(D34-H34)*F34</f>
        <v>53399.9999999999</v>
      </c>
      <c r="J34" s="108"/>
      <c r="K34" s="107" t="n">
        <f aca="false">+I34</f>
        <v>53399.9999999999</v>
      </c>
    </row>
    <row r="35" customFormat="false" ht="12.75" hidden="false" customHeight="false" outlineLevel="0" collapsed="false">
      <c r="A35" s="101" t="n">
        <v>36800</v>
      </c>
      <c r="B35" s="77"/>
      <c r="C35" s="78" t="s">
        <v>100</v>
      </c>
      <c r="D35" s="99" t="n">
        <v>2.365</v>
      </c>
      <c r="E35" s="77"/>
      <c r="F35" s="80" t="n">
        <f aca="false">15000*31</f>
        <v>465000</v>
      </c>
      <c r="G35" s="77"/>
      <c r="H35" s="99" t="n">
        <f aca="false">+[1]Sheet1!$R18</f>
        <v>2.26833333333333</v>
      </c>
      <c r="I35" s="79" t="n">
        <f aca="false">SUM(D35-H35)*F35</f>
        <v>44950</v>
      </c>
      <c r="J35" s="108"/>
      <c r="K35" s="107" t="n">
        <f aca="false">+I35</f>
        <v>44950</v>
      </c>
    </row>
    <row r="36" customFormat="false" ht="12.75" hidden="false" customHeight="false" outlineLevel="0" collapsed="false">
      <c r="A36" s="101" t="n">
        <v>36831</v>
      </c>
      <c r="B36" s="77"/>
      <c r="C36" s="78" t="s">
        <v>100</v>
      </c>
      <c r="D36" s="99" t="n">
        <v>2.365</v>
      </c>
      <c r="E36" s="77"/>
      <c r="F36" s="80" t="n">
        <f aca="false">15000*30</f>
        <v>450000</v>
      </c>
      <c r="G36" s="77"/>
      <c r="H36" s="99" t="n">
        <f aca="false">+[1]Sheet1!$R19</f>
        <v>2.337</v>
      </c>
      <c r="I36" s="79" t="n">
        <f aca="false">SUM(D36-H36)*F36</f>
        <v>12600</v>
      </c>
      <c r="J36" s="108"/>
      <c r="K36" s="107" t="n">
        <f aca="false">+I36</f>
        <v>12600</v>
      </c>
    </row>
    <row r="37" customFormat="false" ht="12.75" hidden="false" customHeight="false" outlineLevel="0" collapsed="false">
      <c r="A37" s="101" t="n">
        <v>36861</v>
      </c>
      <c r="B37" s="77"/>
      <c r="C37" s="78" t="s">
        <v>100</v>
      </c>
      <c r="D37" s="99" t="n">
        <v>2.365</v>
      </c>
      <c r="E37" s="77"/>
      <c r="F37" s="80" t="n">
        <f aca="false">15000*31</f>
        <v>465000</v>
      </c>
      <c r="G37" s="77"/>
      <c r="H37" s="99" t="n">
        <f aca="false">+[1]Sheet1!$R20</f>
        <v>2.47966666666667</v>
      </c>
      <c r="I37" s="79" t="n">
        <f aca="false">SUM(D37-H37)*F37</f>
        <v>-53319.9999999999</v>
      </c>
      <c r="J37" s="108"/>
      <c r="K37" s="107" t="n">
        <f aca="false">+I37</f>
        <v>-53319.9999999999</v>
      </c>
    </row>
    <row r="38" customFormat="false" ht="12.75" hidden="false" customHeight="false" outlineLevel="0" collapsed="false">
      <c r="A38" s="101"/>
      <c r="B38" s="77"/>
      <c r="C38" s="78"/>
      <c r="D38" s="99"/>
      <c r="E38" s="77"/>
      <c r="F38" s="80"/>
      <c r="G38" s="77"/>
      <c r="H38" s="99"/>
      <c r="I38" s="113"/>
      <c r="J38" s="108"/>
      <c r="K38" s="107"/>
    </row>
    <row r="39" customFormat="false" ht="12.75" hidden="false" customHeight="false" outlineLevel="0" collapsed="false">
      <c r="A39" s="77"/>
      <c r="B39" s="77"/>
      <c r="C39" s="77"/>
      <c r="D39" s="77"/>
      <c r="E39" s="77"/>
      <c r="F39" s="83" t="n">
        <f aca="false">SUM(F26:F38)</f>
        <v>5490000</v>
      </c>
      <c r="G39" s="77"/>
      <c r="H39" s="77"/>
      <c r="I39" s="102" t="n">
        <f aca="false">SUM(I26:I38)</f>
        <v>740365.000000001</v>
      </c>
      <c r="J39" s="102" t="n">
        <f aca="false">SUM(J26:J38)</f>
        <v>0</v>
      </c>
      <c r="K39" s="102" t="n">
        <f aca="false">SUM(K26:K38)</f>
        <v>740365.000000001</v>
      </c>
    </row>
    <row r="40" customFormat="false" ht="12.75" hidden="false" customHeight="false" outlineLevel="0" collapsed="false">
      <c r="A40" s="77"/>
      <c r="B40" s="77"/>
      <c r="C40" s="77"/>
      <c r="D40" s="77"/>
      <c r="E40" s="77"/>
      <c r="F40" s="77"/>
      <c r="G40" s="77"/>
      <c r="H40" s="77"/>
      <c r="I40" s="77"/>
      <c r="J40" s="108"/>
      <c r="K40" s="108"/>
    </row>
    <row r="41" customFormat="false" ht="13.5" hidden="false" customHeight="false" outlineLevel="0" collapsed="false">
      <c r="A41" s="77"/>
      <c r="B41" s="77"/>
      <c r="C41" s="77"/>
      <c r="D41" s="77"/>
      <c r="E41" s="77"/>
      <c r="F41" s="91" t="n">
        <f aca="false">+F39+F22</f>
        <v>0</v>
      </c>
      <c r="G41" s="77"/>
      <c r="H41" s="77"/>
      <c r="I41" s="105" t="n">
        <f aca="false">+I39+I22</f>
        <v>238869.999999999</v>
      </c>
      <c r="J41" s="105" t="n">
        <f aca="false">+J39+J22</f>
        <v>0</v>
      </c>
      <c r="K41" s="105" t="n">
        <f aca="false">+K39+K22</f>
        <v>238869.999999999</v>
      </c>
    </row>
    <row r="42" customFormat="false" ht="13.5" hidden="false" customHeight="false" outlineLevel="0" collapsed="false">
      <c r="A42" s="94"/>
      <c r="B42" s="94"/>
      <c r="C42" s="94"/>
      <c r="D42" s="94"/>
      <c r="E42" s="94"/>
      <c r="F42" s="94"/>
      <c r="G42" s="94"/>
      <c r="H42" s="94"/>
      <c r="I42" s="94"/>
      <c r="J42" s="114"/>
      <c r="K42" s="114"/>
    </row>
    <row r="44" customFormat="false" ht="12.75" hidden="false" customHeight="false" outlineLevel="0" collapsed="false">
      <c r="A44" s="60" t="s">
        <v>71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true" verticalCentered="tru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0.71"/>
    <col collapsed="false" customWidth="true" hidden="false" outlineLevel="0" max="9" min="9" style="0" width="14.41"/>
    <col collapsed="false" customWidth="true" hidden="false" outlineLevel="0" max="10" min="10" style="0" width="13.41"/>
    <col collapsed="false" customWidth="true" hidden="false" outlineLevel="0" max="11" min="11" style="0" width="14.41"/>
  </cols>
  <sheetData>
    <row r="1" customFormat="false" ht="15" hidden="false" customHeight="false" outlineLevel="0" collapsed="false">
      <c r="A1" s="62" t="s">
        <v>104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customFormat="false" ht="15" hidden="false" customHeight="false" outlineLevel="0" collapsed="false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customFormat="false" ht="15.75" hidden="false" customHeight="false" outlineLevel="0" collapsed="false">
      <c r="A3" s="62" t="s">
        <v>105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customFormat="false" ht="15.75" hidden="false" customHeight="false" outlineLevel="0" collapsed="false">
      <c r="A4" s="63"/>
      <c r="B4" s="63"/>
      <c r="C4" s="63"/>
      <c r="D4" s="63"/>
      <c r="E4" s="63"/>
      <c r="F4" s="63"/>
      <c r="G4" s="63"/>
      <c r="H4" s="63"/>
      <c r="I4" s="63"/>
      <c r="J4" s="106"/>
      <c r="K4" s="106"/>
    </row>
    <row r="6" customFormat="false" ht="12.75" hidden="false" customHeight="false" outlineLevel="0" collapsed="false">
      <c r="A6" s="65" t="s">
        <v>77</v>
      </c>
      <c r="B6" s="66" t="s">
        <v>6</v>
      </c>
      <c r="C6" s="66" t="s">
        <v>6</v>
      </c>
      <c r="D6" s="66" t="s">
        <v>78</v>
      </c>
      <c r="E6" s="66"/>
      <c r="F6" s="66" t="s">
        <v>13</v>
      </c>
      <c r="G6" s="66" t="s">
        <v>79</v>
      </c>
      <c r="H6" s="66" t="s">
        <v>27</v>
      </c>
      <c r="I6" s="67" t="s">
        <v>80</v>
      </c>
      <c r="J6" s="67"/>
      <c r="K6" s="67"/>
    </row>
    <row r="7" customFormat="false" ht="12.75" hidden="false" customHeight="false" outlineLevel="0" collapsed="false">
      <c r="A7" s="68" t="s">
        <v>81</v>
      </c>
      <c r="B7" s="69" t="s">
        <v>16</v>
      </c>
      <c r="C7" s="69" t="s">
        <v>15</v>
      </c>
      <c r="D7" s="69" t="s">
        <v>20</v>
      </c>
      <c r="E7" s="69"/>
      <c r="F7" s="69" t="s">
        <v>82</v>
      </c>
      <c r="G7" s="69" t="s">
        <v>20</v>
      </c>
      <c r="H7" s="69" t="s">
        <v>20</v>
      </c>
      <c r="I7" s="69" t="s">
        <v>29</v>
      </c>
      <c r="J7" s="69" t="s">
        <v>30</v>
      </c>
      <c r="K7" s="70" t="s">
        <v>31</v>
      </c>
    </row>
    <row r="8" customFormat="false" ht="12.75" hidden="false" customHeight="false" outlineLevel="0" collapsed="false">
      <c r="A8" s="71"/>
      <c r="B8" s="72"/>
      <c r="C8" s="72"/>
      <c r="D8" s="72"/>
      <c r="E8" s="72"/>
      <c r="F8" s="72"/>
      <c r="G8" s="100" t="s">
        <v>106</v>
      </c>
      <c r="H8" s="74"/>
      <c r="I8" s="74" t="s">
        <v>34</v>
      </c>
      <c r="J8" s="74" t="s">
        <v>34</v>
      </c>
      <c r="K8" s="75" t="s">
        <v>34</v>
      </c>
    </row>
    <row r="9" customFormat="false" ht="12.75" hidden="false" customHeight="false" outlineLevel="0" collapsed="false">
      <c r="A9" s="101" t="n">
        <v>37408</v>
      </c>
      <c r="B9" s="77"/>
      <c r="C9" s="78" t="s">
        <v>107</v>
      </c>
      <c r="D9" s="99" t="n">
        <v>2.216</v>
      </c>
      <c r="E9" s="77"/>
      <c r="F9" s="80" t="n">
        <v>2000000</v>
      </c>
      <c r="G9" s="99"/>
      <c r="H9" s="99" t="n">
        <f aca="false">+[1]Elpaso!$F9-0.05</f>
        <v>2.269</v>
      </c>
      <c r="I9" s="79" t="n">
        <f aca="false">SUM(D9-H9)*F9</f>
        <v>-105999.999999999</v>
      </c>
      <c r="J9" s="107"/>
      <c r="K9" s="107" t="n">
        <f aca="false">+I9</f>
        <v>-105999.999999999</v>
      </c>
    </row>
    <row r="10" customFormat="false" ht="12.75" hidden="false" customHeight="false" outlineLevel="0" collapsed="false">
      <c r="A10" s="101" t="n">
        <v>37438</v>
      </c>
      <c r="B10" s="77"/>
      <c r="C10" s="78" t="s">
        <v>107</v>
      </c>
      <c r="D10" s="99" t="n">
        <v>2.216</v>
      </c>
      <c r="E10" s="77"/>
      <c r="F10" s="80" t="n">
        <v>3000000</v>
      </c>
      <c r="G10" s="99"/>
      <c r="H10" s="99" t="n">
        <f aca="false">+[1]Elpaso!$F10-0.05</f>
        <v>2.275</v>
      </c>
      <c r="I10" s="79" t="n">
        <f aca="false">SUM(D10-H10)*F10</f>
        <v>-176999.999999999</v>
      </c>
      <c r="J10" s="107"/>
      <c r="K10" s="107" t="n">
        <f aca="false">+I10</f>
        <v>-176999.999999999</v>
      </c>
    </row>
    <row r="11" customFormat="false" ht="12.75" hidden="false" customHeight="false" outlineLevel="0" collapsed="false">
      <c r="A11" s="101" t="n">
        <v>37469</v>
      </c>
      <c r="B11" s="77"/>
      <c r="C11" s="78" t="s">
        <v>107</v>
      </c>
      <c r="D11" s="99" t="n">
        <v>2.216</v>
      </c>
      <c r="E11" s="77"/>
      <c r="F11" s="80" t="n">
        <v>3000000</v>
      </c>
      <c r="G11" s="77"/>
      <c r="H11" s="99" t="n">
        <f aca="false">+[1]Elpaso!$F11-0.05</f>
        <v>2.282</v>
      </c>
      <c r="I11" s="79" t="n">
        <f aca="false">SUM(D11-H11)*F11</f>
        <v>-198000</v>
      </c>
      <c r="J11" s="108"/>
      <c r="K11" s="107" t="n">
        <f aca="false">+I11</f>
        <v>-198000</v>
      </c>
    </row>
    <row r="12" customFormat="false" ht="12.75" hidden="false" customHeight="false" outlineLevel="0" collapsed="false">
      <c r="A12" s="101" t="n">
        <v>37500</v>
      </c>
      <c r="B12" s="77"/>
      <c r="C12" s="78" t="s">
        <v>107</v>
      </c>
      <c r="D12" s="99" t="n">
        <v>2.216</v>
      </c>
      <c r="E12" s="77"/>
      <c r="F12" s="80" t="n">
        <v>3000000</v>
      </c>
      <c r="G12" s="77"/>
      <c r="H12" s="99" t="n">
        <f aca="false">+[1]Elpaso!$F12-0.05</f>
        <v>2.296</v>
      </c>
      <c r="I12" s="79" t="n">
        <f aca="false">SUM(D12-H12)*F12</f>
        <v>-239999.999999999</v>
      </c>
      <c r="J12" s="108"/>
      <c r="K12" s="107" t="n">
        <f aca="false">+I12</f>
        <v>-239999.999999999</v>
      </c>
    </row>
    <row r="13" customFormat="false" ht="12.75" hidden="false" customHeight="false" outlineLevel="0" collapsed="false">
      <c r="A13" s="101" t="n">
        <v>37530</v>
      </c>
      <c r="B13" s="77"/>
      <c r="C13" s="78" t="s">
        <v>107</v>
      </c>
      <c r="D13" s="99" t="n">
        <v>2.216</v>
      </c>
      <c r="E13" s="77"/>
      <c r="F13" s="80" t="n">
        <v>4000000</v>
      </c>
      <c r="G13" s="77"/>
      <c r="H13" s="99" t="n">
        <f aca="false">+[1]Elpaso!$F13-0.05</f>
        <v>2.343</v>
      </c>
      <c r="I13" s="79" t="n">
        <f aca="false">SUM(D13-H13)*F13</f>
        <v>-508000.000000001</v>
      </c>
      <c r="J13" s="108"/>
      <c r="K13" s="107" t="n">
        <f aca="false">+I13</f>
        <v>-508000.000000001</v>
      </c>
    </row>
    <row r="14" customFormat="false" ht="12.75" hidden="false" customHeight="false" outlineLevel="0" collapsed="false">
      <c r="A14" s="101"/>
      <c r="B14" s="77"/>
      <c r="C14" s="78"/>
      <c r="D14" s="99"/>
      <c r="E14" s="77"/>
      <c r="F14" s="115"/>
      <c r="G14" s="77"/>
      <c r="H14" s="99"/>
      <c r="I14" s="116"/>
      <c r="J14" s="108"/>
      <c r="K14" s="117"/>
    </row>
    <row r="15" customFormat="false" ht="12.75" hidden="false" customHeight="false" outlineLevel="0" collapsed="false">
      <c r="A15" s="101"/>
      <c r="B15" s="77"/>
      <c r="C15" s="78"/>
      <c r="D15" s="99"/>
      <c r="E15" s="77"/>
      <c r="F15" s="80" t="n">
        <f aca="false">SUM(F9:F14)</f>
        <v>15000000</v>
      </c>
      <c r="G15" s="77"/>
      <c r="H15" s="99"/>
      <c r="I15" s="79" t="n">
        <f aca="false">SUM(I9:I14)</f>
        <v>-1229000</v>
      </c>
      <c r="J15" s="108"/>
      <c r="K15" s="79" t="n">
        <f aca="false">SUM(K9:K14)</f>
        <v>-1229000</v>
      </c>
    </row>
    <row r="16" customFormat="false" ht="12.75" hidden="false" customHeight="false" outlineLevel="0" collapsed="false">
      <c r="A16" s="101"/>
      <c r="B16" s="77"/>
      <c r="C16" s="78"/>
      <c r="D16" s="99"/>
      <c r="E16" s="77"/>
      <c r="F16" s="80"/>
      <c r="G16" s="77"/>
      <c r="H16" s="99"/>
      <c r="I16" s="79"/>
      <c r="J16" s="108"/>
      <c r="K16" s="81"/>
    </row>
    <row r="17" customFormat="false" ht="12.75" hidden="false" customHeight="false" outlineLevel="0" collapsed="false">
      <c r="A17" s="101" t="n">
        <v>37408</v>
      </c>
      <c r="B17" s="77"/>
      <c r="C17" s="78"/>
      <c r="D17" s="99" t="n">
        <v>2.216</v>
      </c>
      <c r="E17" s="77"/>
      <c r="F17" s="80" t="n">
        <v>-2000000</v>
      </c>
      <c r="G17" s="77"/>
      <c r="H17" s="99" t="n">
        <f aca="false">+[1]Elpaso!$F9-0.05</f>
        <v>2.269</v>
      </c>
      <c r="I17" s="79" t="n">
        <f aca="false">SUM(D17-H17)*F17</f>
        <v>105999.999999999</v>
      </c>
      <c r="J17" s="108"/>
      <c r="K17" s="107" t="n">
        <f aca="false">+I17</f>
        <v>105999.999999999</v>
      </c>
    </row>
    <row r="18" customFormat="false" ht="12.75" hidden="false" customHeight="false" outlineLevel="0" collapsed="false">
      <c r="A18" s="101" t="n">
        <v>37438</v>
      </c>
      <c r="B18" s="77"/>
      <c r="C18" s="78"/>
      <c r="D18" s="99" t="n">
        <v>2.216</v>
      </c>
      <c r="E18" s="77"/>
      <c r="F18" s="80" t="n">
        <v>-3000000</v>
      </c>
      <c r="G18" s="77"/>
      <c r="H18" s="99" t="n">
        <f aca="false">+[1]Elpaso!$F10-0.05</f>
        <v>2.275</v>
      </c>
      <c r="I18" s="79" t="n">
        <f aca="false">SUM(D18-H18)*F18</f>
        <v>176999.999999999</v>
      </c>
      <c r="J18" s="108"/>
      <c r="K18" s="107" t="n">
        <f aca="false">+I18</f>
        <v>176999.999999999</v>
      </c>
    </row>
    <row r="19" customFormat="false" ht="12.75" hidden="false" customHeight="false" outlineLevel="0" collapsed="false">
      <c r="A19" s="101" t="n">
        <v>37469</v>
      </c>
      <c r="B19" s="77"/>
      <c r="C19" s="78"/>
      <c r="D19" s="99" t="n">
        <v>2.216</v>
      </c>
      <c r="E19" s="77"/>
      <c r="F19" s="80" t="n">
        <v>-3000000</v>
      </c>
      <c r="G19" s="77"/>
      <c r="H19" s="99" t="n">
        <f aca="false">+[1]Elpaso!$F11-0.05</f>
        <v>2.282</v>
      </c>
      <c r="I19" s="79" t="n">
        <f aca="false">SUM(D19-H19)*F19</f>
        <v>198000</v>
      </c>
      <c r="J19" s="108"/>
      <c r="K19" s="107" t="n">
        <f aca="false">+I19</f>
        <v>198000</v>
      </c>
    </row>
    <row r="20" customFormat="false" ht="12.75" hidden="false" customHeight="false" outlineLevel="0" collapsed="false">
      <c r="A20" s="101" t="n">
        <v>37500</v>
      </c>
      <c r="B20" s="77"/>
      <c r="C20" s="78"/>
      <c r="D20" s="99" t="n">
        <v>2.216</v>
      </c>
      <c r="E20" s="77"/>
      <c r="F20" s="80" t="n">
        <v>-3000000</v>
      </c>
      <c r="G20" s="77"/>
      <c r="H20" s="99" t="n">
        <f aca="false">+[1]Elpaso!$F12-0.05</f>
        <v>2.296</v>
      </c>
      <c r="I20" s="79" t="n">
        <f aca="false">SUM(D20-H20)*F20</f>
        <v>239999.999999999</v>
      </c>
      <c r="J20" s="108"/>
      <c r="K20" s="107" t="n">
        <f aca="false">+I20</f>
        <v>239999.999999999</v>
      </c>
    </row>
    <row r="21" customFormat="false" ht="12.75" hidden="false" customHeight="false" outlineLevel="0" collapsed="false">
      <c r="A21" s="101" t="n">
        <v>37530</v>
      </c>
      <c r="B21" s="77"/>
      <c r="C21" s="78"/>
      <c r="D21" s="99" t="n">
        <v>2.216</v>
      </c>
      <c r="E21" s="77"/>
      <c r="F21" s="80" t="n">
        <v>-4000000</v>
      </c>
      <c r="G21" s="77"/>
      <c r="H21" s="99" t="n">
        <f aca="false">+[1]Elpaso!$F13-0.05</f>
        <v>2.343</v>
      </c>
      <c r="I21" s="79" t="n">
        <f aca="false">SUM(D21-H21)*F21</f>
        <v>508000.000000001</v>
      </c>
      <c r="J21" s="108"/>
      <c r="K21" s="107" t="n">
        <f aca="false">+I21</f>
        <v>508000.000000001</v>
      </c>
    </row>
    <row r="22" customFormat="false" ht="12.75" hidden="false" customHeight="false" outlineLevel="0" collapsed="false">
      <c r="A22" s="101"/>
      <c r="B22" s="77"/>
      <c r="C22" s="78"/>
      <c r="D22" s="99"/>
      <c r="E22" s="77"/>
      <c r="F22" s="115"/>
      <c r="G22" s="77"/>
      <c r="H22" s="99"/>
      <c r="I22" s="116"/>
      <c r="J22" s="108"/>
      <c r="K22" s="117"/>
    </row>
    <row r="23" customFormat="false" ht="12.75" hidden="false" customHeight="false" outlineLevel="0" collapsed="false">
      <c r="A23" s="101"/>
      <c r="B23" s="77"/>
      <c r="C23" s="78"/>
      <c r="D23" s="99"/>
      <c r="E23" s="77"/>
      <c r="F23" s="80" t="n">
        <f aca="false">SUM(F17:F22)</f>
        <v>-15000000</v>
      </c>
      <c r="G23" s="77"/>
      <c r="H23" s="99"/>
      <c r="I23" s="79" t="n">
        <f aca="false">SUM(I17:I22)</f>
        <v>1229000</v>
      </c>
      <c r="J23" s="108"/>
      <c r="K23" s="79" t="n">
        <f aca="false">SUM(K17:K22)</f>
        <v>1229000</v>
      </c>
    </row>
    <row r="24" customFormat="false" ht="12.75" hidden="false" customHeight="false" outlineLevel="0" collapsed="false">
      <c r="A24" s="101"/>
      <c r="B24" s="77"/>
      <c r="C24" s="78"/>
      <c r="D24" s="99"/>
      <c r="E24" s="77"/>
      <c r="F24" s="80"/>
      <c r="G24" s="77"/>
      <c r="H24" s="99"/>
      <c r="I24" s="79"/>
      <c r="J24" s="108"/>
      <c r="K24" s="81"/>
    </row>
    <row r="25" customFormat="false" ht="13.5" hidden="false" customHeight="false" outlineLevel="0" collapsed="false">
      <c r="A25" s="101"/>
      <c r="B25" s="77"/>
      <c r="C25" s="78"/>
      <c r="D25" s="99"/>
      <c r="E25" s="77"/>
      <c r="F25" s="118" t="n">
        <f aca="false">+F23+F15</f>
        <v>0</v>
      </c>
      <c r="G25" s="77"/>
      <c r="H25" s="99"/>
      <c r="I25" s="119" t="n">
        <f aca="false">+I23+I15</f>
        <v>0</v>
      </c>
      <c r="J25" s="108"/>
      <c r="K25" s="119" t="n">
        <f aca="false">+K23+K15</f>
        <v>0</v>
      </c>
    </row>
    <row r="26" customFormat="false" ht="13.5" hidden="false" customHeight="false" outlineLevel="0" collapsed="false">
      <c r="A26" s="94"/>
      <c r="B26" s="94"/>
      <c r="C26" s="94"/>
      <c r="D26" s="94"/>
      <c r="E26" s="94"/>
      <c r="F26" s="94"/>
      <c r="G26" s="94"/>
      <c r="H26" s="94"/>
      <c r="I26" s="94"/>
      <c r="J26" s="114"/>
      <c r="K26" s="114"/>
    </row>
    <row r="28" customFormat="false" ht="12.75" hidden="false" customHeight="false" outlineLevel="0" collapsed="false">
      <c r="A28" s="60" t="s">
        <v>71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71"/>
    <col collapsed="false" customWidth="true" hidden="false" outlineLevel="0" max="3" min="3" style="0" width="13.7"/>
    <col collapsed="false" customWidth="true" hidden="false" outlineLevel="0" max="4" min="4" style="0" width="10.71"/>
    <col collapsed="false" customWidth="false" hidden="true" outlineLevel="0" max="5" min="5" style="0" width="9.06"/>
    <col collapsed="false" customWidth="true" hidden="false" outlineLevel="0" max="6" min="6" style="0" width="12.7"/>
    <col collapsed="false" customWidth="true" hidden="false" outlineLevel="0" max="7" min="7" style="0" width="14.28"/>
    <col collapsed="false" customWidth="true" hidden="false" outlineLevel="0" max="8" min="8" style="0" width="12.56"/>
    <col collapsed="false" customWidth="true" hidden="false" outlineLevel="0" max="9" min="9" style="0" width="14.41"/>
    <col collapsed="false" customWidth="true" hidden="false" outlineLevel="0" max="10" min="10" style="0" width="13.41"/>
    <col collapsed="false" customWidth="true" hidden="false" outlineLevel="0" max="11" min="11" style="0" width="14.41"/>
  </cols>
  <sheetData>
    <row r="1" customFormat="false" ht="15" hidden="false" customHeight="false" outlineLevel="0" collapsed="false">
      <c r="A1" s="62" t="s">
        <v>104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customFormat="false" ht="15" hidden="false" customHeight="false" outlineLevel="0" collapsed="false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customFormat="false" ht="15.75" hidden="false" customHeight="false" outlineLevel="0" collapsed="false">
      <c r="A3" s="120" t="s">
        <v>108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customFormat="false" ht="15.75" hidden="false" customHeight="false" outlineLevel="0" collapsed="false">
      <c r="A4" s="63"/>
      <c r="B4" s="63"/>
      <c r="C4" s="63"/>
      <c r="D4" s="63"/>
      <c r="E4" s="63"/>
      <c r="F4" s="63"/>
      <c r="G4" s="63"/>
      <c r="H4" s="63"/>
      <c r="I4" s="63"/>
      <c r="J4" s="106"/>
      <c r="K4" s="106"/>
    </row>
    <row r="6" customFormat="false" ht="12.75" hidden="false" customHeight="false" outlineLevel="0" collapsed="false">
      <c r="A6" s="65" t="s">
        <v>77</v>
      </c>
      <c r="B6" s="66" t="s">
        <v>6</v>
      </c>
      <c r="C6" s="66" t="s">
        <v>6</v>
      </c>
      <c r="D6" s="66" t="s">
        <v>78</v>
      </c>
      <c r="E6" s="66"/>
      <c r="F6" s="66" t="s">
        <v>22</v>
      </c>
      <c r="G6" s="66" t="s">
        <v>79</v>
      </c>
      <c r="H6" s="66" t="s">
        <v>27</v>
      </c>
      <c r="I6" s="67" t="s">
        <v>80</v>
      </c>
      <c r="J6" s="67"/>
      <c r="K6" s="67"/>
    </row>
    <row r="7" customFormat="false" ht="12.75" hidden="false" customHeight="false" outlineLevel="0" collapsed="false">
      <c r="A7" s="68" t="s">
        <v>81</v>
      </c>
      <c r="B7" s="69" t="s">
        <v>16</v>
      </c>
      <c r="C7" s="69" t="s">
        <v>15</v>
      </c>
      <c r="D7" s="69" t="s">
        <v>20</v>
      </c>
      <c r="E7" s="69"/>
      <c r="F7" s="69" t="s">
        <v>82</v>
      </c>
      <c r="G7" s="69" t="s">
        <v>20</v>
      </c>
      <c r="H7" s="69" t="s">
        <v>20</v>
      </c>
      <c r="I7" s="69" t="s">
        <v>29</v>
      </c>
      <c r="J7" s="69" t="s">
        <v>30</v>
      </c>
      <c r="K7" s="70" t="s">
        <v>31</v>
      </c>
    </row>
    <row r="8" customFormat="false" ht="12.75" hidden="false" customHeight="false" outlineLevel="0" collapsed="false">
      <c r="A8" s="71"/>
      <c r="B8" s="72"/>
      <c r="C8" s="72"/>
      <c r="D8" s="72"/>
      <c r="E8" s="72"/>
      <c r="F8" s="72"/>
      <c r="G8" s="100" t="s">
        <v>109</v>
      </c>
      <c r="H8" s="100" t="s">
        <v>109</v>
      </c>
      <c r="I8" s="74" t="s">
        <v>34</v>
      </c>
      <c r="J8" s="74" t="s">
        <v>34</v>
      </c>
      <c r="K8" s="75" t="s">
        <v>34</v>
      </c>
    </row>
    <row r="9" customFormat="false" ht="12.75" hidden="false" customHeight="false" outlineLevel="0" collapsed="false">
      <c r="A9" s="101" t="n">
        <v>36465</v>
      </c>
      <c r="B9" s="77" t="n">
        <v>105706</v>
      </c>
      <c r="C9" s="78" t="s">
        <v>53</v>
      </c>
      <c r="D9" s="99"/>
      <c r="E9" s="77"/>
      <c r="F9" s="80" t="n">
        <v>40000</v>
      </c>
      <c r="G9" s="99" t="n">
        <v>3.04</v>
      </c>
      <c r="H9" s="99"/>
      <c r="I9" s="79" t="n">
        <f aca="false">+G9*F9</f>
        <v>121600</v>
      </c>
      <c r="J9" s="107" t="n">
        <f aca="false">+I9</f>
        <v>121600</v>
      </c>
      <c r="K9" s="107"/>
    </row>
    <row r="10" customFormat="false" ht="12.75" hidden="false" customHeight="false" outlineLevel="0" collapsed="false">
      <c r="A10" s="101" t="n">
        <v>36495</v>
      </c>
      <c r="B10" s="77" t="n">
        <v>105706</v>
      </c>
      <c r="C10" s="78" t="s">
        <v>53</v>
      </c>
      <c r="D10" s="99"/>
      <c r="E10" s="77"/>
      <c r="F10" s="80" t="n">
        <v>40000</v>
      </c>
      <c r="G10" s="99"/>
      <c r="H10" s="99" t="n">
        <v>2.11</v>
      </c>
      <c r="I10" s="79" t="n">
        <f aca="false">+F10*H10</f>
        <v>84400</v>
      </c>
      <c r="J10" s="107"/>
      <c r="K10" s="107" t="n">
        <f aca="false">+I10</f>
        <v>84400</v>
      </c>
    </row>
    <row r="11" customFormat="false" ht="12.75" hidden="false" customHeight="false" outlineLevel="0" collapsed="false">
      <c r="A11" s="101" t="n">
        <v>36526</v>
      </c>
      <c r="B11" s="77" t="n">
        <v>105706</v>
      </c>
      <c r="C11" s="78" t="s">
        <v>53</v>
      </c>
      <c r="D11" s="99"/>
      <c r="E11" s="77"/>
      <c r="F11" s="80" t="n">
        <v>40000</v>
      </c>
      <c r="G11" s="77"/>
      <c r="H11" s="99" t="n">
        <f aca="false">+[1]Mec!$E13</f>
        <v>2.3395</v>
      </c>
      <c r="I11" s="79" t="n">
        <f aca="false">+F11*H11</f>
        <v>93580</v>
      </c>
      <c r="J11" s="108"/>
      <c r="K11" s="107" t="n">
        <f aca="false">+I11</f>
        <v>93580</v>
      </c>
    </row>
    <row r="12" customFormat="false" ht="12.75" hidden="false" customHeight="false" outlineLevel="0" collapsed="false">
      <c r="A12" s="101" t="n">
        <v>36557</v>
      </c>
      <c r="B12" s="77" t="n">
        <v>105706</v>
      </c>
      <c r="C12" s="78" t="s">
        <v>53</v>
      </c>
      <c r="D12" s="99"/>
      <c r="E12" s="77"/>
      <c r="F12" s="80" t="n">
        <v>40000</v>
      </c>
      <c r="G12" s="77"/>
      <c r="H12" s="99" t="n">
        <f aca="false">+[1]Mec!$E14</f>
        <v>2.34</v>
      </c>
      <c r="I12" s="79" t="n">
        <f aca="false">+F12*H12</f>
        <v>93600</v>
      </c>
      <c r="J12" s="108"/>
      <c r="K12" s="107" t="n">
        <f aca="false">+I12</f>
        <v>93600</v>
      </c>
    </row>
    <row r="13" customFormat="false" ht="12.75" hidden="false" customHeight="false" outlineLevel="0" collapsed="false">
      <c r="A13" s="101" t="n">
        <v>36586</v>
      </c>
      <c r="B13" s="77" t="n">
        <v>105706</v>
      </c>
      <c r="C13" s="78" t="s">
        <v>53</v>
      </c>
      <c r="D13" s="99"/>
      <c r="E13" s="77"/>
      <c r="F13" s="80" t="n">
        <v>40000</v>
      </c>
      <c r="G13" s="77"/>
      <c r="H13" s="99" t="n">
        <f aca="false">+[1]Mec!$E15</f>
        <v>2.24</v>
      </c>
      <c r="I13" s="79" t="n">
        <f aca="false">+F13*H13</f>
        <v>89600</v>
      </c>
      <c r="J13" s="108"/>
      <c r="K13" s="107" t="n">
        <f aca="false">+I13</f>
        <v>89600</v>
      </c>
    </row>
    <row r="14" customFormat="false" ht="12.75" hidden="false" customHeight="false" outlineLevel="0" collapsed="false">
      <c r="A14" s="101" t="n">
        <v>36617</v>
      </c>
      <c r="B14" s="77" t="n">
        <v>105706</v>
      </c>
      <c r="C14" s="78" t="s">
        <v>53</v>
      </c>
      <c r="D14" s="99"/>
      <c r="E14" s="77"/>
      <c r="F14" s="115" t="n">
        <v>30000</v>
      </c>
      <c r="G14" s="77"/>
      <c r="H14" s="99" t="n">
        <f aca="false">+[1]Mec!$E16</f>
        <v>2.247</v>
      </c>
      <c r="I14" s="116" t="n">
        <f aca="false">+F14*H14</f>
        <v>67410</v>
      </c>
      <c r="J14" s="94"/>
      <c r="K14" s="117" t="n">
        <f aca="false">+I14</f>
        <v>67410</v>
      </c>
    </row>
    <row r="15" customFormat="false" ht="12.75" hidden="false" customHeight="false" outlineLevel="0" collapsed="false">
      <c r="A15" s="101"/>
      <c r="B15" s="77"/>
      <c r="C15" s="78"/>
      <c r="D15" s="99"/>
      <c r="E15" s="77"/>
      <c r="F15" s="80" t="n">
        <f aca="false">SUM(F9:F14)</f>
        <v>230000</v>
      </c>
      <c r="G15" s="77"/>
      <c r="H15" s="99"/>
      <c r="I15" s="79" t="n">
        <f aca="false">SUM(I8:I13)</f>
        <v>482780</v>
      </c>
      <c r="J15" s="79" t="n">
        <f aca="false">SUM(J8:J13)</f>
        <v>121600</v>
      </c>
      <c r="K15" s="79" t="n">
        <f aca="false">SUM(K8:K13)</f>
        <v>361180</v>
      </c>
    </row>
    <row r="16" customFormat="false" ht="12.75" hidden="false" customHeight="false" outlineLevel="0" collapsed="false">
      <c r="A16" s="101"/>
      <c r="B16" s="77"/>
      <c r="C16" s="78"/>
      <c r="D16" s="99"/>
      <c r="E16" s="77"/>
      <c r="G16" s="77"/>
      <c r="H16" s="99"/>
      <c r="I16" s="79"/>
      <c r="J16" s="79"/>
      <c r="K16" s="79"/>
    </row>
    <row r="17" customFormat="false" ht="12.75" hidden="false" customHeight="false" outlineLevel="0" collapsed="false">
      <c r="A17" s="101"/>
      <c r="B17" s="77"/>
      <c r="C17" s="78"/>
      <c r="D17" s="99"/>
      <c r="E17" s="77"/>
      <c r="G17" s="77"/>
      <c r="H17" s="99"/>
      <c r="I17" s="79"/>
      <c r="J17" s="81"/>
      <c r="K17" s="81"/>
    </row>
    <row r="18" customFormat="false" ht="12.75" hidden="false" customHeight="false" outlineLevel="0" collapsed="false">
      <c r="A18" s="101"/>
      <c r="B18" s="77"/>
      <c r="C18" s="78"/>
      <c r="D18" s="99"/>
      <c r="E18" s="77"/>
      <c r="F18" s="80"/>
      <c r="G18" s="77"/>
      <c r="H18" s="121" t="s">
        <v>110</v>
      </c>
      <c r="I18" s="79"/>
      <c r="J18" s="108"/>
      <c r="K18" s="81"/>
    </row>
    <row r="19" customFormat="false" ht="12.75" hidden="false" customHeight="false" outlineLevel="0" collapsed="false">
      <c r="A19" s="101"/>
      <c r="B19" s="77"/>
      <c r="C19" s="78"/>
      <c r="D19" s="99"/>
      <c r="E19" s="77"/>
      <c r="F19" s="80"/>
      <c r="G19" s="77"/>
      <c r="H19" s="99"/>
      <c r="I19" s="79"/>
      <c r="J19" s="108"/>
      <c r="K19" s="81"/>
    </row>
    <row r="20" customFormat="false" ht="12.75" hidden="false" customHeight="false" outlineLevel="0" collapsed="false">
      <c r="A20" s="101" t="n">
        <v>36465</v>
      </c>
      <c r="B20" s="77" t="n">
        <v>105706</v>
      </c>
      <c r="C20" s="78" t="s">
        <v>53</v>
      </c>
      <c r="D20" s="99"/>
      <c r="E20" s="77"/>
      <c r="F20" s="80" t="n">
        <v>-40000</v>
      </c>
      <c r="G20" s="99" t="n">
        <v>3.131</v>
      </c>
      <c r="H20" s="99"/>
      <c r="I20" s="79" t="n">
        <f aca="false">+G20*F20</f>
        <v>-125240</v>
      </c>
      <c r="J20" s="107" t="n">
        <f aca="false">+I20</f>
        <v>-125240</v>
      </c>
      <c r="K20" s="107"/>
    </row>
    <row r="21" customFormat="false" ht="12.75" hidden="false" customHeight="false" outlineLevel="0" collapsed="false">
      <c r="A21" s="101" t="n">
        <v>36495</v>
      </c>
      <c r="B21" s="77" t="n">
        <v>105706</v>
      </c>
      <c r="C21" s="78" t="s">
        <v>53</v>
      </c>
      <c r="D21" s="99"/>
      <c r="E21" s="77"/>
      <c r="F21" s="80" t="n">
        <v>-40000</v>
      </c>
      <c r="G21" s="77"/>
      <c r="H21" s="99" t="n">
        <v>2.2</v>
      </c>
      <c r="I21" s="79" t="n">
        <f aca="false">+H21*F21</f>
        <v>-88000</v>
      </c>
      <c r="J21" s="108"/>
      <c r="K21" s="107" t="n">
        <f aca="false">+I21</f>
        <v>-88000</v>
      </c>
    </row>
    <row r="22" customFormat="false" ht="12.75" hidden="false" customHeight="false" outlineLevel="0" collapsed="false">
      <c r="A22" s="101" t="n">
        <v>36526</v>
      </c>
      <c r="B22" s="77" t="n">
        <v>105706</v>
      </c>
      <c r="C22" s="78" t="s">
        <v>53</v>
      </c>
      <c r="D22" s="99"/>
      <c r="E22" s="77"/>
      <c r="F22" s="80" t="n">
        <v>-40000</v>
      </c>
      <c r="G22" s="77"/>
      <c r="H22" s="99" t="n">
        <f aca="false">+[1]Mec!$E13</f>
        <v>2.3395</v>
      </c>
      <c r="I22" s="79" t="n">
        <f aca="false">+H22*F22</f>
        <v>-93580</v>
      </c>
      <c r="J22" s="108"/>
      <c r="K22" s="107" t="n">
        <f aca="false">+I22</f>
        <v>-93580</v>
      </c>
    </row>
    <row r="23" customFormat="false" ht="12.75" hidden="false" customHeight="false" outlineLevel="0" collapsed="false">
      <c r="A23" s="101" t="n">
        <v>36557</v>
      </c>
      <c r="B23" s="77" t="n">
        <v>105706</v>
      </c>
      <c r="C23" s="78" t="s">
        <v>53</v>
      </c>
      <c r="D23" s="99"/>
      <c r="E23" s="77"/>
      <c r="F23" s="80" t="n">
        <v>-40000</v>
      </c>
      <c r="G23" s="77"/>
      <c r="H23" s="99" t="n">
        <f aca="false">+[1]Mec!$E14</f>
        <v>2.34</v>
      </c>
      <c r="I23" s="79" t="n">
        <f aca="false">+H23*F23</f>
        <v>-93600</v>
      </c>
      <c r="J23" s="108"/>
      <c r="K23" s="107" t="n">
        <f aca="false">+I23</f>
        <v>-93600</v>
      </c>
    </row>
    <row r="24" customFormat="false" ht="12.75" hidden="false" customHeight="false" outlineLevel="0" collapsed="false">
      <c r="A24" s="101" t="n">
        <v>36586</v>
      </c>
      <c r="B24" s="77" t="n">
        <v>105706</v>
      </c>
      <c r="C24" s="78" t="s">
        <v>53</v>
      </c>
      <c r="D24" s="99"/>
      <c r="E24" s="77"/>
      <c r="F24" s="80" t="n">
        <v>-40000</v>
      </c>
      <c r="G24" s="77"/>
      <c r="H24" s="99" t="n">
        <f aca="false">+[1]Mec!$E15</f>
        <v>2.24</v>
      </c>
      <c r="I24" s="79" t="n">
        <f aca="false">+H24*F24</f>
        <v>-89600</v>
      </c>
      <c r="J24" s="108"/>
      <c r="K24" s="107" t="n">
        <f aca="false">+I24</f>
        <v>-89600</v>
      </c>
    </row>
    <row r="25" customFormat="false" ht="12.75" hidden="false" customHeight="false" outlineLevel="0" collapsed="false">
      <c r="A25" s="101" t="n">
        <v>36617</v>
      </c>
      <c r="B25" s="77" t="n">
        <v>105706</v>
      </c>
      <c r="C25" s="78" t="s">
        <v>53</v>
      </c>
      <c r="D25" s="99"/>
      <c r="E25" s="77"/>
      <c r="F25" s="115" t="n">
        <v>-30000</v>
      </c>
      <c r="G25" s="77"/>
      <c r="H25" s="99" t="n">
        <f aca="false">+[1]Mec!$E16</f>
        <v>2.247</v>
      </c>
      <c r="I25" s="116" t="n">
        <f aca="false">+H25*F25</f>
        <v>-67410</v>
      </c>
      <c r="J25" s="94"/>
      <c r="K25" s="117" t="n">
        <f aca="false">+I25</f>
        <v>-67410</v>
      </c>
    </row>
    <row r="26" customFormat="false" ht="12.75" hidden="false" customHeight="false" outlineLevel="0" collapsed="false">
      <c r="A26" s="101"/>
      <c r="B26" s="77"/>
      <c r="C26" s="78"/>
      <c r="D26" s="99"/>
      <c r="E26" s="77"/>
      <c r="F26" s="80" t="n">
        <f aca="false">SUM(F20:F25)</f>
        <v>-230000</v>
      </c>
      <c r="G26" s="77"/>
      <c r="H26" s="99"/>
      <c r="I26" s="122" t="n">
        <f aca="false">SUM(I20:I25)</f>
        <v>-557430</v>
      </c>
      <c r="J26" s="122" t="n">
        <f aca="false">SUM(J20:J25)</f>
        <v>-125240</v>
      </c>
      <c r="K26" s="122" t="n">
        <f aca="false">SUM(K20:K25)</f>
        <v>-432190</v>
      </c>
    </row>
    <row r="27" customFormat="false" ht="12.75" hidden="false" customHeight="false" outlineLevel="0" collapsed="false">
      <c r="A27" s="101"/>
      <c r="B27" s="77"/>
      <c r="C27" s="78"/>
      <c r="D27" s="99"/>
      <c r="E27" s="77"/>
      <c r="F27" s="80"/>
      <c r="G27" s="77"/>
      <c r="H27" s="99"/>
      <c r="I27" s="79"/>
      <c r="J27" s="108"/>
      <c r="K27" s="81"/>
    </row>
    <row r="28" customFormat="false" ht="13.5" hidden="false" customHeight="false" outlineLevel="0" collapsed="false">
      <c r="A28" s="101"/>
      <c r="B28" s="77"/>
      <c r="C28" s="78"/>
      <c r="D28" s="99"/>
      <c r="E28" s="77"/>
      <c r="F28" s="118" t="n">
        <f aca="false">+F26+F15</f>
        <v>0</v>
      </c>
      <c r="G28" s="77"/>
      <c r="H28" s="99"/>
      <c r="I28" s="119" t="n">
        <f aca="false">+I26+I15</f>
        <v>-74650</v>
      </c>
      <c r="J28" s="119" t="n">
        <f aca="false">+J26+J15</f>
        <v>-3639.99999999999</v>
      </c>
      <c r="K28" s="119" t="n">
        <f aca="false">+K26+K15</f>
        <v>-71010</v>
      </c>
    </row>
    <row r="29" customFormat="false" ht="13.5" hidden="false" customHeight="false" outlineLevel="0" collapsed="false">
      <c r="A29" s="94"/>
      <c r="B29" s="94"/>
      <c r="C29" s="94"/>
      <c r="D29" s="94"/>
      <c r="E29" s="94"/>
      <c r="F29" s="94"/>
      <c r="G29" s="94"/>
      <c r="H29" s="94"/>
      <c r="I29" s="94"/>
      <c r="J29" s="114"/>
      <c r="K29" s="114"/>
    </row>
    <row r="31" customFormat="false" ht="12.75" hidden="false" customHeight="false" outlineLevel="0" collapsed="false">
      <c r="A31" s="60" t="s">
        <v>71</v>
      </c>
    </row>
  </sheetData>
  <mergeCells count="4">
    <mergeCell ref="A1:K1"/>
    <mergeCell ref="A2:K2"/>
    <mergeCell ref="A3:K3"/>
    <mergeCell ref="I6:K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1999-02-26T11:35:48Z</dcterms:created>
  <dc:creator> </dc:creator>
  <dc:description/>
  <dc:language>en-US</dc:language>
  <cp:lastModifiedBy>DEBBIE A MOSELEY</cp:lastModifiedBy>
  <cp:lastPrinted>1999-12-14T18:16:20Z</cp:lastPrinted>
  <cp:revision>0</cp:revision>
  <dc:subject/>
  <dc:title/>
</cp:coreProperties>
</file>