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s" sheetId="1" state="visible" r:id="rId3"/>
    <sheet name="facts premium" sheetId="2" state="visible" r:id="rId4"/>
    <sheet name="tax rev" sheetId="3" state="visible" r:id="rId5"/>
    <sheet name="cashflow 4.88" sheetId="4" state="visible" r:id="rId6"/>
    <sheet name="cashflow 5.63" sheetId="5" state="visible" r:id="rId7"/>
    <sheet name="Exhibit Z" sheetId="6" state="visible" r:id="rId8"/>
    <sheet name="Exhibit Y" sheetId="7" state="visible" r:id="rId9"/>
    <sheet name="Chart3" sheetId="8" state="visible" r:id="rId10"/>
    <sheet name="chart data" sheetId="9" state="visible" r:id="rId11"/>
  </sheets>
  <definedNames>
    <definedName function="false" hidden="false" localSheetId="3" name="_xlnm.Print_Area" vbProcedure="false">'cashflow 4.88'!$A$1:$K$70</definedName>
    <definedName function="false" hidden="false" localSheetId="4" name="_xlnm.Print_Area" vbProcedure="false">'cashflow 5.63'!$A$1:$K$70</definedName>
    <definedName function="false" hidden="false" localSheetId="5" name="_xlnm.Print_Area" vbProcedure="false">'Exhibit Z'!$B$1:$K$25,'Exhibit Z'!$B$27:$N$51,'Exhibit Z'!$B$54:$N$79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'Exhibit Y'!$B$1</definedName>
    <definedName function="false" hidden="false" name="tixdr0" vbProcedure="false">'Exhibit Z'!$F$25</definedName>
    <definedName function="false" hidden="false" name="tixdr2" vbProcedure="false">'Exhibit Z'!$G$25</definedName>
    <definedName function="false" hidden="false" name="tixdr3" vbProcedure="false">'Exhibit Z'!$H$25</definedName>
    <definedName function="false" hidden="false" name="tixdr4" vbProcedure="false">'Exhibit Z'!$I$25</definedName>
    <definedName function="false" hidden="false" name="tixdr5" vbProcedure="false">'Exhibit Z'!$J$25</definedName>
    <definedName function="false" hidden="false" name="tixdr6" vbProcedure="false">'Exhibit Z'!$K$25</definedName>
    <definedName function="false" hidden="false" localSheetId="1" name="DiscRate" vbProcedure="false">'facts premium'!$C$15</definedName>
    <definedName function="false" hidden="false" localSheetId="1" name="discrate2" vbProcedure="false">'facts premium'!$D$15</definedName>
    <definedName function="false" hidden="false" localSheetId="1" name="DiscRate3" vbProcedure="false">'facts premium'!$E$15</definedName>
    <definedName function="false" hidden="false" localSheetId="1" name="DiscRate4" vbProcedure="false">'facts premium'!$F$15</definedName>
    <definedName function="false" hidden="false" localSheetId="1" name="DiscRate5" vbProcedure="false">'facts premium'!$G$15</definedName>
    <definedName function="false" hidden="false" localSheetId="1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<sst xmlns="http://schemas.openxmlformats.org/spreadsheetml/2006/main" count="174" uniqueCount="84">
  <si>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</si>
  <si>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</si>
  <si>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</si>
  <si>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</si>
  <si>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</si>
  <si>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</si>
  <si>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</si>
  <si>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</si>
  <si>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</si>
  <si>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</si>
  <si>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</si>
  <si>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w/ Premium: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</si>
  <si>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</si>
  <si>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</si>
  <si>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</si>
  <si>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</si>
  <si>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</si>
  <si>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</si>
  <si>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</si>
  <si>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</si>
  <si>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</si>
  <si>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</si>
  <si>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</si>
  <si>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</si>
  <si>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.80</t>
  </si>
  <si>
    <t xml:space="preserve">1990</t>
  </si>
  <si>
    <t xml:space="preserve">2000</t>
  </si>
  <si>
    <t xml:space="preserve">est 1996</t>
  </si>
  <si>
    <t xml:space="preserve">Population</t>
  </si>
  <si>
    <t xml:space="preserve">people per hh</t>
  </si>
  <si>
    <t xml:space="preserve">Discount Rate (APR):</t>
  </si>
  <si>
    <t xml:space="preserve">Cost per Capita</t>
  </si>
  <si>
    <t xml:space="preserve">Cost per Household</t>
  </si>
  <si>
    <t xml:space="preserve">Monthly pymt</t>
  </si>
  <si>
    <t xml:space="preserve">Discount Rate: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</si>
  <si>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</si>
  <si>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</si>
  <si>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</si>
  <si>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</si>
  <si>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</si>
  <si>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</si>
  <si>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PV of cash flow</t>
  </si>
  <si>
    <t xml:space="preserve">year</t>
  </si>
  <si>
    <t xml:space="preserve">no tax rev</t>
  </si>
  <si>
    <t xml:space="preserve">month</t>
  </si>
  <si>
    <t xml:space="preserve">beg bal</t>
  </si>
  <si>
    <t xml:space="preserve">interest</t>
  </si>
  <si>
    <t xml:space="preserve">tax rev</t>
  </si>
  <si>
    <t xml:space="preserve">lease pay</t>
  </si>
  <si>
    <t xml:space="preserve">const pay</t>
  </si>
  <si>
    <t xml:space="preserve">coupon</t>
  </si>
  <si>
    <t xml:space="preserve">end bal</t>
  </si>
  <si>
    <t xml:space="preserve">ASSUMES ATTENDANCE HOLDS DESPITE INCREASED PRICES</t>
  </si>
  <si>
    <t xml:space="preserve">Year</t>
  </si>
  <si>
    <t xml:space="preserve">Attendance</t>
  </si>
  <si>
    <t xml:space="preserve">price 1</t>
  </si>
  <si>
    <t xml:space="preserve">Sales</t>
  </si>
  <si>
    <t xml:space="preserve">PV @ 7/97</t>
  </si>
  <si>
    <t xml:space="preserve">ASSUMES DISCOUNT RATE VARIES AND ELASTICITY = 0.80</t>
  </si>
  <si>
    <t xml:space="preserve">ASSUMES ELASTICITY VARIES AND DISCOUNT RATE = 5.70%</t>
  </si>
  <si>
    <t xml:space="preserve">ELASTICITY = .80</t>
  </si>
  <si>
    <t xml:space="preserve"> ELASTICITY = .70</t>
  </si>
  <si>
    <t xml:space="preserve"> ELASTICITY = .90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</si>
  <si>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</si>
  <si>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</si>
  <si>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</si>
  <si>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</si>
  <si>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</si>
  <si>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</si>
  <si>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</si>
  <si>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</si>
  <si>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</si>
  <si>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</si>
  <si>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</si>
  <si>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*</t>
  </si>
  <si>
    <t xml:space="preserve">purchased 200,000 worth of tickets by county</t>
  </si>
  <si>
    <t xml:space="preserve">**</t>
  </si>
  <si>
    <t xml:space="preserve">strike shortened seasons - adj. up to full season</t>
  </si>
  <si>
    <t xml:space="preserve">price incl.</t>
  </si>
  <si>
    <t xml:space="preserve">new price</t>
  </si>
  <si>
    <t xml:space="preserve">elasticity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</si>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</sst>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0&quot; mos&quot;"/>
    <numFmt numFmtId="168" formatCode="[$-409]mmm\-yy"/>
    <numFmt numFmtId="169" formatCode="_(\$* #,##0_);_(\$* \(#,##0\);_(\$* \-??_);_(@_)"/>
    <numFmt numFmtId="170" formatCode="0.0"/>
    <numFmt numFmtId="171" formatCode="0.00%"/>
    <numFmt numFmtId="172" formatCode="[$-409]m/d/yyyy"/>
    <numFmt numFmtId="173" formatCode="_(* #,##0.00_);_(* \(#,##0.00\);_(* \-??_);_(@_)"/>
    <numFmt numFmtId="174" formatCode="0.00"/>
    <numFmt numFmtId="175" formatCode="\$#,##0.00_);[RED]&quot;($&quot;#,##0.00\)"/>
    <numFmt numFmtId="176" formatCode="0%"/>
    <numFmt numFmtId="177" formatCode="_(* #,##0_);_(* \(#,##0\);_(* \-??_);_(@_)"/>
    <numFmt numFmtId="178" formatCode="&quot;@ &amp;&quot;0.00%"/>
    <numFmt numFmtId="179" formatCode="mm/yyyy"/>
    <numFmt numFmtId="180" formatCode="0.0%"/>
    <numFmt numFmtId="181" formatCode="\:"/>
    <numFmt numFmtId="182" formatCode="\*_(* #,##0_);_(* \(#,##0\);_(* \-??_);_(@_)"/>
    <numFmt numFmtId="183" formatCode="&quot;**&quot;_(* #,##0_);_(* \(#,##0\);_(* \-??_);_(@_)"/>
    <numFmt numFmtId="184" formatCode="&quot;DR=&quot;0.00%"/>
    <numFmt numFmtId="185" formatCode="&quot;with &quot;0%&quot; tax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95938123"/>
        <c:axId val="22223044"/>
      </c:scatterChart>
      <c:valAx>
        <c:axId val="959381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23044"/>
        <c:crossesAt val="-0.3"/>
        <c:crossBetween val="midCat"/>
      </c:valAx>
      <c:valAx>
        <c:axId val="2222304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38123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0</xdr:rowOff>
    </xdr:from>
    <xdr:to>
      <xdr:col>11</xdr:col>
      <xdr:colOff>720</xdr:colOff>
      <xdr:row>24</xdr:row>
      <xdr:rowOff>162000</xdr:rowOff>
    </xdr:to>
    <xdr:sp>
      <xdr:nvSpPr>
        <xdr:cNvPr id="0" name="Rectangle 1"/>
        <xdr:cNvSpPr/>
      </xdr:nvSpPr>
      <xdr:spPr>
        <a:xfrm>
          <a:off x="281160" y="324000"/>
          <a:ext cx="864324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14</xdr:col>
      <xdr:colOff>720</xdr:colOff>
      <xdr:row>50</xdr:row>
      <xdr:rowOff>162000</xdr:rowOff>
    </xdr:to>
    <xdr:sp>
      <xdr:nvSpPr>
        <xdr:cNvPr id="1" name="Rectangle 2"/>
        <xdr:cNvSpPr/>
      </xdr:nvSpPr>
      <xdr:spPr>
        <a:xfrm>
          <a:off x="281160" y="4552920"/>
          <a:ext cx="1134000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14</xdr:col>
      <xdr:colOff>720</xdr:colOff>
      <xdr:row>78</xdr:row>
      <xdr:rowOff>161640</xdr:rowOff>
    </xdr:to>
    <xdr:sp>
      <xdr:nvSpPr>
        <xdr:cNvPr id="2" name="Rectangle 3"/>
        <xdr:cNvSpPr/>
      </xdr:nvSpPr>
      <xdr:spPr>
        <a:xfrm>
          <a:off x="281160" y="8943840"/>
          <a:ext cx="11340000" cy="3905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9</xdr:col>
      <xdr:colOff>720</xdr:colOff>
      <xdr:row>11</xdr:row>
      <xdr:rowOff>190440</xdr:rowOff>
    </xdr:to>
    <xdr:sp>
      <xdr:nvSpPr>
        <xdr:cNvPr id="3" name="Rectangle 1"/>
        <xdr:cNvSpPr/>
      </xdr:nvSpPr>
      <xdr:spPr>
        <a:xfrm>
          <a:off x="0" y="324000"/>
          <a:ext cx="6870960" cy="1857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9</xdr:col>
      <xdr:colOff>720</xdr:colOff>
      <xdr:row>22</xdr:row>
      <xdr:rowOff>190440</xdr:rowOff>
    </xdr:to>
    <xdr:sp>
      <xdr:nvSpPr>
        <xdr:cNvPr id="4" name="Rectangle 2"/>
        <xdr:cNvSpPr/>
      </xdr:nvSpPr>
      <xdr:spPr>
        <a:xfrm>
          <a:off x="0" y="3152880"/>
          <a:ext cx="687096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9</xdr:col>
      <xdr:colOff>720</xdr:colOff>
      <xdr:row>29</xdr:row>
      <xdr:rowOff>190440</xdr:rowOff>
    </xdr:to>
    <xdr:sp>
      <xdr:nvSpPr>
        <xdr:cNvPr id="5" name="Rectangle 3"/>
        <xdr:cNvSpPr/>
      </xdr:nvSpPr>
      <xdr:spPr>
        <a:xfrm>
          <a:off x="0" y="4381560"/>
          <a:ext cx="6870960" cy="904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9</xdr:col>
      <xdr:colOff>720</xdr:colOff>
      <xdr:row>36</xdr:row>
      <xdr:rowOff>190800</xdr:rowOff>
    </xdr:to>
    <xdr:sp>
      <xdr:nvSpPr>
        <xdr:cNvPr id="6" name="Rectangle 4"/>
        <xdr:cNvSpPr/>
      </xdr:nvSpPr>
      <xdr:spPr>
        <a:xfrm>
          <a:off x="0" y="5610240"/>
          <a:ext cx="6870960" cy="905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/>
      <c r="B8" s="6" t="n">
        <f aca="false">B6/B7</f>
        <v>11.3</v>
      </c>
      <c r="D8" s="5"/>
    </row>
    <row r="9" customFormat="false" ht="12.75" hidden="false" customHeight="false" outlineLevel="0" collapsed="false">
      <c r="A9" s="2" t="s">
        <v>10</v>
      </c>
      <c r="B9" s="7" t="n">
        <v>45</v>
      </c>
    </row>
    <row r="13" customFormat="false" ht="12.75" hidden="false" customHeight="false" outlineLevel="0" collapsed="false">
      <c r="B13" s="8"/>
    </row>
    <row r="15" customFormat="false" ht="12.75" hidden="false" customHeight="false" outlineLevel="0" collapsed="false">
      <c r="A15" s="0" t="s">
        <v>11</v>
      </c>
      <c r="C15" s="9" t="n">
        <v>0.057</v>
      </c>
      <c r="D15" s="10" t="n">
        <f aca="false">DiscRate-0.0025</f>
        <v>0.0545</v>
      </c>
      <c r="E15" s="10" t="n">
        <f aca="false">DiscRate-0.005</f>
        <v>0.052</v>
      </c>
      <c r="F15" s="10" t="n">
        <f aca="false">DiscRate+0.0025</f>
        <v>0.0595</v>
      </c>
      <c r="G15" s="10" t="n">
        <f aca="false">DiscRate+0.005</f>
        <v>0.062</v>
      </c>
      <c r="H15" s="10" t="n">
        <f aca="false">DiscRate+0.0075</f>
        <v>0.0645</v>
      </c>
    </row>
    <row r="16" customFormat="false" ht="12.75" hidden="false" customHeight="false" outlineLevel="0" collapsed="false">
      <c r="C16" s="11"/>
      <c r="D16" s="11"/>
      <c r="E16" s="11"/>
      <c r="F16" s="11"/>
      <c r="G16" s="11"/>
      <c r="H16" s="11"/>
    </row>
    <row r="17" customFormat="false" ht="12.75" hidden="false" customHeight="false" outlineLevel="0" collapsed="false">
      <c r="A17" s="12"/>
      <c r="C17" s="11"/>
      <c r="D17" s="11"/>
      <c r="E17" s="11"/>
      <c r="F17" s="11"/>
      <c r="G17" s="11"/>
      <c r="H17" s="11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0.182196077694574</v>
      </c>
      <c r="D20" s="15" t="n">
        <f aca="false">D19/POWER(1+discrate2,21.5)</f>
        <v>0.19171217429998</v>
      </c>
      <c r="E20" s="15" t="n">
        <f aca="false">E19/POWER(1+DiscRate3,21.5)</f>
        <v>0.201749675239745</v>
      </c>
      <c r="F20" s="15" t="n">
        <f aca="false">F19/POWER(1+DiscRate4,21.5)</f>
        <v>0.173173162396801</v>
      </c>
      <c r="G20" s="15" t="n">
        <f aca="false">G19/POWER(1+DiscRate5,21.5)</f>
        <v>0.164616794393703</v>
      </c>
      <c r="H20" s="15" t="n">
        <f aca="false">H19/POWER(1+DiscRate6,21.5)</f>
        <v>0.156501835784078</v>
      </c>
    </row>
    <row r="22" customFormat="false" ht="12.75" hidden="false" customHeight="false" outlineLevel="0" collapsed="false">
      <c r="A22" s="0" t="s">
        <v>15</v>
      </c>
      <c r="C22" s="16"/>
    </row>
    <row r="23" customFormat="false" ht="12.75" hidden="false" customHeight="false" outlineLevel="0" collapsed="false">
      <c r="B23" s="2" t="s">
        <v>16</v>
      </c>
      <c r="C23" s="17" t="n">
        <f aca="false">B6</f>
        <v>339</v>
      </c>
      <c r="J23" s="5"/>
    </row>
    <row r="24" customFormat="false" ht="12.75" hidden="false" customHeight="false" outlineLevel="0" collapsed="false">
      <c r="A24" s="18"/>
      <c r="B24" s="19" t="s">
        <v>17</v>
      </c>
      <c r="C24" s="20" t="n">
        <f aca="false">-PV(DiscRate/12,$B$7,$B$6/$B$7,,0)</f>
        <v>315.257709516185</v>
      </c>
      <c r="D24" s="16" t="n">
        <f aca="false">-PV(discrate2/12,$B$7,$B$6/$B$7,,0)</f>
        <v>316.249885806127</v>
      </c>
      <c r="E24" s="16" t="n">
        <f aca="false">-PV(DiscRate3/12,$B$7,$B$6/$B$7,,0)</f>
        <v>317.24641283525</v>
      </c>
      <c r="F24" s="16" t="n">
        <f aca="false">-PV(DiscRate4/12,$B$7,$B$6/$B$7,,0)</f>
        <v>314.269861843958</v>
      </c>
      <c r="G24" s="16" t="n">
        <f aca="false">-PV(DiscRate5/12,$B$7,$B$6/$B$7,,0)</f>
        <v>313.286320791818</v>
      </c>
      <c r="H24" s="16" t="n">
        <f aca="false">-PV(DiscRate6/12,$B$7,$B$6/$B$7,,0)</f>
        <v>312.307064485215</v>
      </c>
      <c r="J24" s="5"/>
    </row>
    <row r="25" customFormat="false" ht="12.75" hidden="false" customHeight="false" outlineLevel="0" collapsed="false">
      <c r="C25" s="21"/>
      <c r="J25" s="22"/>
    </row>
    <row r="26" customFormat="false" ht="12.75" hidden="false" customHeight="false" outlineLevel="0" collapsed="false">
      <c r="A26" s="0" t="s">
        <v>18</v>
      </c>
      <c r="J26" s="22"/>
    </row>
    <row r="27" customFormat="false" ht="12.75" hidden="false" customHeight="false" outlineLevel="0" collapsed="false">
      <c r="B27" s="0" t="s">
        <v>19</v>
      </c>
    </row>
    <row r="28" customFormat="false" ht="12.75" hidden="false" customHeight="false" outlineLevel="0" collapsed="false">
      <c r="B28" s="0" t="s">
        <v>20</v>
      </c>
      <c r="C28" s="23" t="n">
        <f aca="false">PV(DiscRate/2,40,-0.35)</f>
        <v>8.28998096811979</v>
      </c>
      <c r="D28" s="23" t="n">
        <f aca="false">PV(discrate2/2,40,-0.35)</f>
        <v>8.46220653613246</v>
      </c>
      <c r="E28" s="23" t="n">
        <f aca="false">PV(DiscRate3/2,40,-0.35)</f>
        <v>8.63983757654466</v>
      </c>
      <c r="F28" s="23" t="n">
        <f aca="false">PV(DiscRate4/2,40,-0.35)</f>
        <v>8.12296493652325</v>
      </c>
      <c r="G28" s="23" t="n">
        <f aca="false">PV(DiscRate5/2,40,-0.35)</f>
        <v>7.96097038706455</v>
      </c>
      <c r="H28" s="23" t="n">
        <f aca="false">PV(DiscRate6/2,40,-0.35)</f>
        <v>7.80381680633254</v>
      </c>
    </row>
    <row r="29" customFormat="false" ht="12.75" hidden="false" customHeight="false" outlineLevel="0" collapsed="false">
      <c r="B29" s="12" t="s">
        <v>14</v>
      </c>
      <c r="C29" s="15" t="n">
        <f aca="false">C28/POWER(1+DiscRate,20/12)</f>
        <v>7.55837708034536</v>
      </c>
      <c r="D29" s="24" t="n">
        <f aca="false">D28/POWER(1+discrate2,20/12)</f>
        <v>7.7459135822122</v>
      </c>
      <c r="E29" s="24" t="n">
        <f aca="false">E28/POWER(1+DiscRate3,20/12)</f>
        <v>7.93985695829777</v>
      </c>
      <c r="F29" s="24" t="n">
        <f aca="false">F28/POWER(1+DiscRate4,20/12)</f>
        <v>7.37699762248871</v>
      </c>
      <c r="G29" s="24" t="n">
        <f aca="false">G28/POWER(1+DiscRate5,20/12)</f>
        <v>7.20153618517217</v>
      </c>
      <c r="H29" s="24" t="n">
        <f aca="false">H28/POWER(1+DiscRate6,20/12)</f>
        <v>7.03176404885969</v>
      </c>
    </row>
    <row r="30" customFormat="false" ht="12.75" hidden="false" customHeight="false" outlineLevel="0" collapsed="false">
      <c r="B30" s="12"/>
      <c r="C30" s="15"/>
      <c r="D30" s="24"/>
      <c r="E30" s="15"/>
      <c r="F30" s="24"/>
      <c r="G30" s="24"/>
      <c r="H30" s="24"/>
    </row>
    <row r="31" customFormat="false" ht="12.75" hidden="false" customHeight="false" outlineLevel="0" collapsed="false">
      <c r="A31" s="12" t="s">
        <v>21</v>
      </c>
      <c r="C31" s="15" t="n">
        <f aca="false">C20+C29-C24</f>
        <v>-307.517136358145</v>
      </c>
      <c r="D31" s="15" t="n">
        <f aca="false">D20+D29-D24</f>
        <v>-308.312260049615</v>
      </c>
      <c r="E31" s="15" t="n">
        <f aca="false">E20+E29-E24</f>
        <v>-309.104806201712</v>
      </c>
      <c r="F31" s="15" t="n">
        <f aca="false">F20+F29-F24</f>
        <v>-306.719691059072</v>
      </c>
      <c r="G31" s="15" t="n">
        <f aca="false">G20+G29-G24</f>
        <v>-305.920167812252</v>
      </c>
      <c r="H31" s="15" t="n">
        <f aca="false">H20+H29-H24</f>
        <v>-305.118798600571</v>
      </c>
    </row>
    <row r="32" customFormat="false" ht="12.75" hidden="false" customHeight="false" outlineLevel="0" collapsed="false">
      <c r="A32" s="12" t="s">
        <v>22</v>
      </c>
      <c r="C32" s="15" t="n">
        <f aca="false">tixdr0/1000000</f>
        <v>548.920951504973</v>
      </c>
      <c r="D32" s="15" t="n">
        <f aca="false">tixdr2/1000000</f>
        <v>563.123670969369</v>
      </c>
      <c r="E32" s="15" t="n">
        <f aca="false">tixdr3/1000000</f>
        <v>577.837152918067</v>
      </c>
      <c r="F32" s="15" t="n">
        <f aca="false">tixdr4/1000000</f>
        <v>535.208128583781</v>
      </c>
      <c r="G32" s="15" t="n">
        <f aca="false">tixdr5/1000000</f>
        <v>521.96528462777</v>
      </c>
      <c r="H32" s="15" t="n">
        <f aca="false">tixdr6/1000000</f>
        <v>509.173403725172</v>
      </c>
    </row>
    <row r="33" customFormat="false" ht="12.75" hidden="false" customHeight="false" outlineLevel="0" collapsed="false">
      <c r="A33" s="12" t="s">
        <v>23</v>
      </c>
      <c r="C33" s="25" t="n">
        <f aca="false">-C$31/C32</f>
        <v>0.560221167574361</v>
      </c>
      <c r="D33" s="25" t="n">
        <f aca="false">-D31/D32</f>
        <v>0.547503640752451</v>
      </c>
      <c r="E33" s="25" t="n">
        <f aca="false">-E31/E32</f>
        <v>0.534934115331177</v>
      </c>
      <c r="F33" s="25" t="n">
        <f aca="false">-F31/F32</f>
        <v>0.573084889182618</v>
      </c>
      <c r="G33" s="25" t="n">
        <f aca="false">-G31/G32</f>
        <v>0.586092939170109</v>
      </c>
      <c r="H33" s="25" t="n">
        <f aca="false">-H31/H32</f>
        <v>0.599243394034894</v>
      </c>
    </row>
    <row r="34" customFormat="false" ht="12.75" hidden="false" customHeight="false" outlineLevel="0" collapsed="false">
      <c r="A34" s="26" t="s">
        <v>24</v>
      </c>
      <c r="E34" s="15"/>
    </row>
    <row r="35" customFormat="false" ht="12.75" hidden="false" customHeight="false" outlineLevel="0" collapsed="false">
      <c r="A35" s="12" t="s">
        <v>22</v>
      </c>
      <c r="C35" s="15" t="n">
        <f aca="false">'Exhibit Z'!F51/1000000</f>
        <v>472.602291432855</v>
      </c>
      <c r="D35" s="15"/>
      <c r="E35" s="15" t="n">
        <f aca="false">'Exhibit Z'!J51/1000000</f>
        <v>507.377549318307</v>
      </c>
      <c r="F35" s="15"/>
      <c r="G35" s="15" t="n">
        <f aca="false">'Exhibit Z'!N51/1000000</f>
        <v>439.711197946624</v>
      </c>
      <c r="H35" s="15"/>
    </row>
    <row r="36" customFormat="false" ht="12.75" hidden="false" customHeight="false" outlineLevel="0" collapsed="false">
      <c r="A36" s="12" t="s">
        <v>23</v>
      </c>
      <c r="C36" s="25" t="n">
        <f aca="false">-C$31/C35</f>
        <v>0.650689050672611</v>
      </c>
      <c r="D36" s="25"/>
      <c r="E36" s="25" t="n">
        <f aca="false">-E$31/E35</f>
        <v>0.609220503778722</v>
      </c>
      <c r="F36" s="25"/>
      <c r="G36" s="25" t="n">
        <f aca="false">-G$31/G35</f>
        <v>0.695729763628597</v>
      </c>
      <c r="H36" s="25"/>
    </row>
    <row r="37" customFormat="false" ht="12.75" hidden="false" customHeight="false" outlineLevel="0" collapsed="false">
      <c r="A37" s="15"/>
    </row>
    <row r="39" customFormat="false" ht="12.75" hidden="false" customHeight="false" outlineLevel="0" collapsed="false">
      <c r="B39" s="27" t="s">
        <v>25</v>
      </c>
      <c r="C39" s="27" t="s">
        <v>26</v>
      </c>
      <c r="D39" s="27" t="s">
        <v>27</v>
      </c>
    </row>
    <row r="40" customFormat="false" ht="12.75" hidden="false" customHeight="false" outlineLevel="0" collapsed="false">
      <c r="A40" s="28" t="s">
        <v>28</v>
      </c>
      <c r="B40" s="29" t="n">
        <v>1507319</v>
      </c>
      <c r="C40" s="29" t="n">
        <v>1686234</v>
      </c>
      <c r="D40" s="29" t="n">
        <f aca="false">(C40*6+B40*4)/10</f>
        <v>1614668</v>
      </c>
    </row>
    <row r="41" customFormat="false" ht="12.75" hidden="false" customHeight="false" outlineLevel="0" collapsed="false">
      <c r="A41" s="0" t="s">
        <v>29</v>
      </c>
      <c r="B41" s="16" t="n">
        <v>2.4</v>
      </c>
      <c r="C41" s="0" t="n">
        <v>2.34</v>
      </c>
      <c r="D41" s="30" t="n">
        <f aca="false">(C41*6+B41*4)/10</f>
        <v>2.364</v>
      </c>
    </row>
    <row r="42" customFormat="false" ht="12.75" hidden="false" customHeight="false" outlineLevel="0" collapsed="false">
      <c r="D42" s="29"/>
    </row>
    <row r="43" customFormat="false" ht="12.75" hidden="false" customHeight="false" outlineLevel="0" collapsed="false">
      <c r="A43" s="0" t="s">
        <v>30</v>
      </c>
      <c r="C43" s="9" t="n">
        <v>0.057</v>
      </c>
      <c r="D43" s="10" t="n">
        <f aca="false">DiscRate-0.0025</f>
        <v>0.0545</v>
      </c>
      <c r="E43" s="10" t="n">
        <f aca="false">DiscRate-0.005</f>
        <v>0.052</v>
      </c>
      <c r="F43" s="10" t="n">
        <f aca="false">DiscRate+0.0025</f>
        <v>0.0595</v>
      </c>
      <c r="G43" s="10" t="n">
        <f aca="false">DiscRate+0.005</f>
        <v>0.062</v>
      </c>
      <c r="H43" s="10" t="n">
        <f aca="false">DiscRate+0.0075</f>
        <v>0.0645</v>
      </c>
    </row>
    <row r="44" customFormat="false" ht="12.75" hidden="false" customHeight="false" outlineLevel="0" collapsed="false">
      <c r="A44" s="31" t="s">
        <v>31</v>
      </c>
      <c r="C44" s="8" t="n">
        <f aca="false">C24*1000000/$D$40</f>
        <v>195.246149373236</v>
      </c>
      <c r="D44" s="8" t="n">
        <f aca="false">D24*1000000/$D$40</f>
        <v>195.860626336886</v>
      </c>
      <c r="E44" s="8" t="n">
        <f aca="false">E24*1000000/$D$40</f>
        <v>196.477797810602</v>
      </c>
      <c r="F44" s="8" t="n">
        <f aca="false">F24*1000000/$D$40</f>
        <v>194.634353219335</v>
      </c>
      <c r="G44" s="8" t="n">
        <f aca="false">G24*1000000/$D$40</f>
        <v>194.02522425156</v>
      </c>
      <c r="H44" s="8" t="n">
        <f aca="false">H24*1000000/$D$40</f>
        <v>193.418748922512</v>
      </c>
    </row>
    <row r="45" customFormat="false" ht="12.75" hidden="false" customHeight="false" outlineLevel="0" collapsed="false">
      <c r="A45" s="0" t="s">
        <v>29</v>
      </c>
      <c r="C45" s="15" t="n">
        <f aca="false">$D$41</f>
        <v>2.364</v>
      </c>
      <c r="D45" s="15" t="n">
        <f aca="false">$D$41</f>
        <v>2.364</v>
      </c>
      <c r="E45" s="15" t="n">
        <f aca="false">$D$41</f>
        <v>2.364</v>
      </c>
      <c r="F45" s="15" t="n">
        <f aca="false">$D$41</f>
        <v>2.364</v>
      </c>
      <c r="G45" s="15" t="n">
        <f aca="false">$D$41</f>
        <v>2.364</v>
      </c>
      <c r="H45" s="15" t="n">
        <f aca="false">$D$41</f>
        <v>2.364</v>
      </c>
    </row>
    <row r="46" customFormat="false" ht="12.75" hidden="false" customHeight="false" outlineLevel="0" collapsed="false">
      <c r="A46" s="31" t="s">
        <v>32</v>
      </c>
      <c r="C46" s="8" t="n">
        <f aca="false">C44*C45</f>
        <v>461.561897118331</v>
      </c>
      <c r="D46" s="8" t="n">
        <f aca="false">D44*D45</f>
        <v>463.014520660399</v>
      </c>
      <c r="E46" s="8" t="n">
        <f aca="false">E44*E45</f>
        <v>464.473514024264</v>
      </c>
      <c r="F46" s="8" t="n">
        <f aca="false">F44*F45</f>
        <v>460.115611010509</v>
      </c>
      <c r="G46" s="8" t="n">
        <f aca="false">G44*G45</f>
        <v>458.675630130688</v>
      </c>
      <c r="H46" s="8" t="n">
        <f aca="false">H44*H45</f>
        <v>457.241922452819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 t="s">
        <v>33</v>
      </c>
      <c r="B8" s="32" t="n">
        <f aca="false">B6/B7</f>
        <v>11.3</v>
      </c>
      <c r="D8" s="5"/>
    </row>
    <row r="9" customFormat="false" ht="12.75" hidden="false" customHeight="false" outlineLevel="0" collapsed="false">
      <c r="A9" s="2"/>
      <c r="B9" s="7"/>
    </row>
    <row r="15" customFormat="false" ht="12.75" hidden="false" customHeight="false" outlineLevel="0" collapsed="false">
      <c r="A15" s="0" t="s">
        <v>34</v>
      </c>
      <c r="C15" s="9" t="n">
        <v>0.0488</v>
      </c>
      <c r="D15" s="10" t="n">
        <f aca="false">DiscRate-0.0025</f>
        <v>0.0463</v>
      </c>
      <c r="E15" s="10" t="n">
        <f aca="false">DiscRate-0.005</f>
        <v>0.0438</v>
      </c>
      <c r="F15" s="10" t="n">
        <f aca="false">DiscRate+0.0025</f>
        <v>0.0513</v>
      </c>
      <c r="G15" s="10" t="n">
        <f aca="false">DiscRate+0.005</f>
        <v>0.0538</v>
      </c>
      <c r="H15" s="10" t="n">
        <f aca="false">DiscRate+0.0075</f>
        <v>0.0563</v>
      </c>
    </row>
    <row r="16" customFormat="false" ht="12.75" hidden="false" customHeight="false" outlineLevel="0" collapsed="false">
      <c r="A16" s="0" t="s">
        <v>35</v>
      </c>
      <c r="C16" s="33" t="n">
        <v>0.057</v>
      </c>
      <c r="D16" s="34" t="n">
        <f aca="false">discrate2+($C$16-DiscRate)</f>
        <v>0.0545</v>
      </c>
      <c r="E16" s="34" t="n">
        <f aca="false">DiscRate3+($C$16-DiscRate)</f>
        <v>0.052</v>
      </c>
      <c r="F16" s="34" t="n">
        <f aca="false">DiscRate4+($C$16-DiscRate)</f>
        <v>0.0595</v>
      </c>
      <c r="G16" s="34" t="n">
        <f aca="false">DiscRate5+($C$16-DiscRate)</f>
        <v>0.062</v>
      </c>
      <c r="H16" s="34" t="n">
        <f aca="false">DiscRate6+($C$16-DiscRate)</f>
        <v>0.0645</v>
      </c>
    </row>
    <row r="17" customFormat="false" ht="12.75" hidden="false" customHeight="false" outlineLevel="0" collapsed="false">
      <c r="C17" s="16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0.215406427835624</v>
      </c>
      <c r="D20" s="15" t="n">
        <f aca="false">D19/POWER(1+discrate2,21.5)</f>
        <v>0.226747447039821</v>
      </c>
      <c r="E20" s="15" t="n">
        <f aca="false">E19/POWER(1+DiscRate3,21.5)</f>
        <v>0.238714863592567</v>
      </c>
      <c r="F20" s="15" t="n">
        <f aca="false">F19/POWER(1+DiscRate4,21.5)</f>
        <v>0.204657641750197</v>
      </c>
      <c r="G20" s="15" t="n">
        <f aca="false">G19/POWER(1+DiscRate5,21.5)</f>
        <v>0.194468862674471</v>
      </c>
      <c r="H20" s="15" t="n">
        <f aca="false">H19/POWER(1+DiscRate6,21.5)</f>
        <v>0.184809688449121</v>
      </c>
    </row>
    <row r="21" customFormat="false" ht="12.75" hidden="false" customHeight="false" outlineLevel="0" collapsed="false">
      <c r="C21" s="15"/>
      <c r="D21" s="15"/>
      <c r="E21" s="15"/>
      <c r="F21" s="15"/>
      <c r="G21" s="15"/>
      <c r="H21" s="15"/>
    </row>
    <row r="22" customFormat="false" ht="12.75" hidden="false" customHeight="false" outlineLevel="0" collapsed="false">
      <c r="A22" s="0" t="s">
        <v>15</v>
      </c>
    </row>
    <row r="23" customFormat="false" ht="12.75" hidden="false" customHeight="false" outlineLevel="0" collapsed="false">
      <c r="B23" s="2" t="s">
        <v>16</v>
      </c>
      <c r="C23" s="16" t="n">
        <v>339</v>
      </c>
      <c r="D23" s="16"/>
      <c r="E23" s="16"/>
      <c r="F23" s="16"/>
      <c r="G23" s="16"/>
      <c r="H23" s="16"/>
      <c r="J23" s="5"/>
    </row>
    <row r="24" customFormat="false" ht="12.75" hidden="false" customHeight="false" outlineLevel="0" collapsed="false">
      <c r="A24" s="18"/>
      <c r="B24" s="19" t="s">
        <v>36</v>
      </c>
      <c r="C24" s="16" t="n">
        <f aca="false">-PV(DiscRate/12,$B$7,$B$6/$B$7,,0)</f>
        <v>318.528351536298</v>
      </c>
      <c r="D24" s="16" t="n">
        <f aca="false">-PV(discrate2/12,$B$7,$B$6/$B$7,,0)</f>
        <v>319.534881633226</v>
      </c>
      <c r="E24" s="16" t="n">
        <f aca="false">-PV(DiscRate3/12,$B$7,$B$6/$B$7,,0)</f>
        <v>320.54583590625</v>
      </c>
      <c r="F24" s="16" t="n">
        <f aca="false">-PV(DiscRate4/12,$B$7,$B$6/$B$7,,0)</f>
        <v>317.526223082538</v>
      </c>
      <c r="G24" s="16" t="n">
        <f aca="false">-PV(DiscRate5/12,$B$7,$B$6/$B$7,,0)</f>
        <v>316.528473865329</v>
      </c>
      <c r="H24" s="16" t="n">
        <f aca="false">-PV(DiscRate6/12,$B$7,$B$6/$B$7,,0)</f>
        <v>315.535081603604</v>
      </c>
      <c r="J24" s="5"/>
    </row>
    <row r="25" customFormat="false" ht="12.75" hidden="false" customHeight="false" outlineLevel="0" collapsed="false">
      <c r="A25" s="18"/>
      <c r="B25" s="19"/>
      <c r="C25" s="16"/>
      <c r="D25" s="16"/>
      <c r="E25" s="16"/>
      <c r="F25" s="16"/>
      <c r="G25" s="16"/>
      <c r="H25" s="16"/>
      <c r="J25" s="5"/>
    </row>
    <row r="26" customFormat="false" ht="12.75" hidden="false" customHeight="false" outlineLevel="0" collapsed="false">
      <c r="A26" s="35" t="s">
        <v>37</v>
      </c>
      <c r="B26" s="19"/>
      <c r="C26" s="16"/>
      <c r="D26" s="16"/>
      <c r="E26" s="16"/>
      <c r="F26" s="16"/>
      <c r="G26" s="16"/>
      <c r="H26" s="16"/>
      <c r="J26" s="5"/>
    </row>
    <row r="27" customFormat="false" ht="12.75" hidden="false" customHeight="false" outlineLevel="0" collapsed="false">
      <c r="A27" s="35" t="s">
        <v>38</v>
      </c>
      <c r="B27" s="19"/>
      <c r="C27" s="16" t="n">
        <f aca="false">'tax rev'!C23/1000000</f>
        <v>350.472549334452</v>
      </c>
      <c r="D27" s="16" t="n">
        <f aca="false">'tax rev'!D23/1000000</f>
        <v>358.008851154605</v>
      </c>
      <c r="E27" s="16" t="n">
        <f aca="false">'tax rev'!E23/1000000</f>
        <v>365.788328825356</v>
      </c>
      <c r="F27" s="16" t="n">
        <f aca="false">'tax rev'!F23/1000000</f>
        <v>343.170429281532</v>
      </c>
      <c r="G27" s="16" t="n">
        <f aca="false">'tax rev'!G23/1000000</f>
        <v>336.093868374683</v>
      </c>
      <c r="H27" s="16" t="n">
        <f aca="false">'tax rev'!H23/1000000</f>
        <v>329.234598777658</v>
      </c>
      <c r="J27" s="5"/>
    </row>
    <row r="28" customFormat="false" ht="12.75" hidden="false" customHeight="false" outlineLevel="0" collapsed="false">
      <c r="A28" s="0" t="s">
        <v>39</v>
      </c>
      <c r="B28" s="16"/>
      <c r="C28" s="16" t="n">
        <f aca="false">('tax rev'!C23/(C16/DiscRate*(1-POWER(1+DiscRate,-20))+POWER(1+DiscRate,-20)))/1000000</f>
        <v>317.676301817471</v>
      </c>
      <c r="D28" s="16" t="n">
        <f aca="false">('tax rev'!D23/(D16/discrate2*(1-POWER(1+discrate2,-20))+POWER(1+discrate2,-20)))/1000000</f>
        <v>323.851102761966</v>
      </c>
      <c r="E28" s="16" t="n">
        <f aca="false">('tax rev'!E23/(E16/DiscRate3*(1-POWER(1+DiscRate3,-20))+POWER(1+DiscRate3,-20)))/1000000</f>
        <v>330.198567753616</v>
      </c>
      <c r="F28" s="16" t="n">
        <f aca="false">('tax rev'!F23/(F16/DiscRate4*(1-POWER(1+DiscRate4,-20))+POWER(1+DiscRate4,-20)))/1000000</f>
        <v>311.669087583747</v>
      </c>
      <c r="G28" s="16" t="n">
        <f aca="false">('tax rev'!G23/(G16/DiscRate5*(1-POWER(1+DiscRate5,-20))+POWER(1+DiscRate5,-20)))/1000000</f>
        <v>305.82451845255</v>
      </c>
      <c r="H28" s="16" t="n">
        <f aca="false">('tax rev'!H23/(H16/DiscRate6*(1-POWER(1+DiscRate6,-20))+POWER(1+DiscRate6,-20)))/1000000</f>
        <v>300.13778682579</v>
      </c>
      <c r="J28" s="5"/>
    </row>
    <row r="29" customFormat="false" ht="12.75" hidden="false" customHeight="false" outlineLevel="0" collapsed="false">
      <c r="C29" s="15"/>
      <c r="J29" s="22"/>
    </row>
    <row r="30" customFormat="false" ht="12.75" hidden="false" customHeight="false" outlineLevel="0" collapsed="false">
      <c r="A30" s="0" t="s">
        <v>18</v>
      </c>
      <c r="J30" s="22"/>
    </row>
    <row r="31" customFormat="false" ht="12.75" hidden="false" customHeight="false" outlineLevel="0" collapsed="false">
      <c r="B31" s="0" t="s">
        <v>19</v>
      </c>
      <c r="C31" s="22"/>
      <c r="D31" s="23"/>
      <c r="E31" s="23"/>
      <c r="F31" s="23"/>
      <c r="G31" s="23"/>
      <c r="H31" s="23"/>
    </row>
    <row r="32" customFormat="false" ht="12.75" hidden="false" customHeight="false" outlineLevel="0" collapsed="false">
      <c r="B32" s="12" t="s">
        <v>40</v>
      </c>
      <c r="C32" s="23" t="n">
        <f aca="false">PV(DiscRate/2,40,-0.35)</f>
        <v>8.87541966826759</v>
      </c>
      <c r="D32" s="23" t="n">
        <f aca="false">PV(discrate2/2,40,-0.35)</f>
        <v>9.06615242160244</v>
      </c>
      <c r="E32" s="23" t="n">
        <f aca="false">PV(DiscRate3/2,40,-0.35)</f>
        <v>9.26299317600685</v>
      </c>
      <c r="F32" s="23" t="n">
        <f aca="false">PV(DiscRate4/2,40,-0.35)</f>
        <v>8.69057052758831</v>
      </c>
      <c r="G32" s="23" t="n">
        <f aca="false">PV(DiscRate5/2,40,-0.35)</f>
        <v>8.51138973013206</v>
      </c>
      <c r="H32" s="23" t="n">
        <f aca="false">PV(DiscRate6/2,40,-0.35)</f>
        <v>8.33767072778593</v>
      </c>
    </row>
    <row r="33" customFormat="false" ht="12.75" hidden="false" customHeight="false" outlineLevel="0" collapsed="false">
      <c r="A33" s="12"/>
      <c r="B33" s="12" t="s">
        <v>14</v>
      </c>
      <c r="C33" s="15" t="n">
        <f aca="false">C32/POWER(1+DiscRate,20/12)</f>
        <v>8.19787137122852</v>
      </c>
      <c r="D33" s="24" t="n">
        <f aca="false">D32/POWER(1+discrate2,20/12)</f>
        <v>8.40741800916472</v>
      </c>
      <c r="E33" s="24" t="n">
        <f aca="false">E32/POWER(1+DiscRate3,20/12)</f>
        <v>8.62427354927647</v>
      </c>
      <c r="F33" s="24" t="n">
        <f aca="false">F32/POWER(1+DiscRate4,20/12)</f>
        <v>7.99534449745462</v>
      </c>
      <c r="G33" s="24" t="n">
        <f aca="false">G32/POWER(1+DiscRate5,20/12)</f>
        <v>7.79956089659368</v>
      </c>
      <c r="H33" s="24" t="n">
        <f aca="false">H32/POWER(1+DiscRate6,20/12)</f>
        <v>7.61025613034592</v>
      </c>
    </row>
    <row r="34" customFormat="false" ht="12.75" hidden="false" customHeight="false" outlineLevel="0" collapsed="false">
      <c r="A34" s="12"/>
    </row>
    <row r="35" customFormat="false" ht="12.75" hidden="false" customHeight="false" outlineLevel="0" collapsed="false">
      <c r="A35" s="12" t="s">
        <v>21</v>
      </c>
      <c r="C35" s="15" t="n">
        <f aca="false">C20+C33+C28-C24</f>
        <v>7.56122808023719</v>
      </c>
      <c r="D35" s="15" t="n">
        <f aca="false">D20+D33+D28-D24</f>
        <v>12.9503865849439</v>
      </c>
      <c r="E35" s="15" t="n">
        <f aca="false">E20+E33+E28-E24</f>
        <v>18.5157202602344</v>
      </c>
      <c r="F35" s="15" t="n">
        <f aca="false">F20+F33+F28-F24</f>
        <v>2.34286664041446</v>
      </c>
      <c r="G35" s="15" t="n">
        <f aca="false">G20+G33+G28-G24</f>
        <v>-2.70992565351054</v>
      </c>
      <c r="H35" s="15" t="n">
        <f aca="false">H20+H33+H28-H24</f>
        <v>-7.60222895901876</v>
      </c>
    </row>
    <row r="36" customFormat="false" ht="12.75" hidden="false" customHeight="false" outlineLevel="0" collapsed="false">
      <c r="A3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31"/>
      <c r="B1" s="31"/>
      <c r="C1" s="36" t="s">
        <v>41</v>
      </c>
      <c r="D1" s="36" t="s">
        <v>41</v>
      </c>
      <c r="E1" s="36" t="s">
        <v>41</v>
      </c>
      <c r="F1" s="36" t="s">
        <v>41</v>
      </c>
      <c r="G1" s="36" t="s">
        <v>41</v>
      </c>
      <c r="H1" s="36" t="s">
        <v>41</v>
      </c>
    </row>
    <row r="2" customFormat="false" ht="12.75" hidden="false" customHeight="false" outlineLevel="0" collapsed="false">
      <c r="A2" s="37" t="s">
        <v>42</v>
      </c>
      <c r="B2" s="31"/>
      <c r="C2" s="38" t="n">
        <f aca="false">'facts premium'!C16</f>
        <v>0.057</v>
      </c>
      <c r="D2" s="38" t="n">
        <f aca="false">'facts premium'!D16</f>
        <v>0.0545</v>
      </c>
      <c r="E2" s="38" t="n">
        <f aca="false">'facts premium'!E16</f>
        <v>0.052</v>
      </c>
      <c r="F2" s="38" t="n">
        <f aca="false">'facts premium'!F16</f>
        <v>0.0595</v>
      </c>
      <c r="G2" s="38" t="n">
        <f aca="false">'facts premium'!G16</f>
        <v>0.062</v>
      </c>
      <c r="H2" s="38" t="n">
        <f aca="false">'facts premium'!H16</f>
        <v>0.0645</v>
      </c>
    </row>
    <row r="3" customFormat="false" ht="12.75" hidden="false" customHeight="false" outlineLevel="0" collapsed="false">
      <c r="A3" s="36" t="n">
        <v>1996</v>
      </c>
      <c r="B3" s="29" t="n">
        <v>4602104</v>
      </c>
      <c r="C3" s="29" t="n">
        <f aca="false">$B3/(POWER(1+'facts premium'!C$16,($A3-1996.5)))</f>
        <v>4731446.37682226</v>
      </c>
      <c r="D3" s="29" t="n">
        <f aca="false">$B3/(POWER(1+'facts premium'!D$16,($A3-1996.5)))</f>
        <v>4725847.69260262</v>
      </c>
      <c r="E3" s="29" t="n">
        <f aca="false">$B3/(POWER(1+'facts premium'!E$16,($A3-1996.5)))</f>
        <v>4720242.36778266</v>
      </c>
      <c r="F3" s="29" t="n">
        <f aca="false">$B3/(POWER(1+'facts premium'!F$16,($A3-1996.5)))</f>
        <v>4737038.44398708</v>
      </c>
      <c r="G3" s="29" t="n">
        <f aca="false">$B3/(POWER(1+'facts premium'!G$16,($A3-1996.5)))</f>
        <v>4742623.91750375</v>
      </c>
      <c r="H3" s="29" t="n">
        <f aca="false">$B3/(POWER(1+'facts premium'!H$16,($A3-1996.5)))</f>
        <v>4748202.82064126</v>
      </c>
    </row>
    <row r="4" customFormat="false" ht="12.75" hidden="false" customHeight="false" outlineLevel="0" collapsed="false">
      <c r="A4" s="36" t="n">
        <v>1997</v>
      </c>
      <c r="B4" s="29" t="n">
        <v>19893231</v>
      </c>
      <c r="C4" s="29" t="n">
        <f aca="false">$B4/(POWER(1+'facts premium'!C$16,($A4-1996.5)))</f>
        <v>19349414.6750769</v>
      </c>
      <c r="D4" s="29" t="n">
        <f aca="false">$B4/(POWER(1+'facts premium'!D$16,($A4-1996.5)))</f>
        <v>19372337.8138759</v>
      </c>
      <c r="E4" s="29" t="n">
        <f aca="false">$B4/(POWER(1+'facts premium'!E$16,($A4-1996.5)))</f>
        <v>19395342.6169153</v>
      </c>
      <c r="F4" s="29" t="n">
        <f aca="false">$B4/(POWER(1+'facts premium'!F$16,($A4-1996.5)))</f>
        <v>19326572.7184953</v>
      </c>
      <c r="G4" s="29" t="n">
        <f aca="false">$B4/(POWER(1+'facts premium'!G$16,($A4-1996.5)))</f>
        <v>19303811.4660821</v>
      </c>
      <c r="H4" s="29" t="n">
        <f aca="false">$B4/(POWER(1+'facts premium'!H$16,($A4-1996.5)))</f>
        <v>19281130.4437201</v>
      </c>
    </row>
    <row r="5" customFormat="false" ht="12.75" hidden="false" customHeight="false" outlineLevel="0" collapsed="false">
      <c r="A5" s="36" t="n">
        <v>1998</v>
      </c>
      <c r="B5" s="29" t="n">
        <v>20428789</v>
      </c>
      <c r="C5" s="29" t="n">
        <f aca="false">$B5/(POWER(1+'facts premium'!C$16,($A5-1996.5)))</f>
        <v>18798800.6232539</v>
      </c>
      <c r="D5" s="29" t="n">
        <f aca="false">$B5/(POWER(1+'facts premium'!D$16,($A5-1996.5)))</f>
        <v>18865692.2954992</v>
      </c>
      <c r="E5" s="29" t="n">
        <f aca="false">$B5/(POWER(1+'facts premium'!E$16,($A5-1996.5)))</f>
        <v>18932981.6114092</v>
      </c>
      <c r="F5" s="29" t="n">
        <f aca="false">$B5/(POWER(1+'facts premium'!F$16,($A5-1996.5)))</f>
        <v>18732303.3126276</v>
      </c>
      <c r="G5" s="29" t="n">
        <f aca="false">$B5/(POWER(1+'facts premium'!G$16,($A5-1996.5)))</f>
        <v>18666197.116322</v>
      </c>
      <c r="H5" s="29" t="n">
        <f aca="false">$B5/(POWER(1+'facts premium'!H$16,($A5-1996.5)))</f>
        <v>18600478.8213368</v>
      </c>
    </row>
    <row r="6" customFormat="false" ht="12.75" hidden="false" customHeight="false" outlineLevel="0" collapsed="false">
      <c r="A6" s="36" t="n">
        <v>1999</v>
      </c>
      <c r="B6" s="29" t="n">
        <v>24715328</v>
      </c>
      <c r="C6" s="29" t="n">
        <f aca="false">$B6/(POWER(1+'facts premium'!C$16,($A6-1996.5)))</f>
        <v>21516860.7934653</v>
      </c>
      <c r="D6" s="29" t="n">
        <f aca="false">$B6/(POWER(1+'facts premium'!D$16,($A6-1996.5)))</f>
        <v>21644617.6385632</v>
      </c>
      <c r="E6" s="29" t="n">
        <f aca="false">$B6/(POWER(1+'facts premium'!E$16,($A6-1996.5)))</f>
        <v>21773438.9939294</v>
      </c>
      <c r="F6" s="29" t="n">
        <f aca="false">$B6/(POWER(1+'facts premium'!F$16,($A6-1996.5)))</f>
        <v>21390157.175447</v>
      </c>
      <c r="G6" s="29" t="n">
        <f aca="false">$B6/(POWER(1+'facts premium'!G$16,($A6-1996.5)))</f>
        <v>21264495.6471477</v>
      </c>
      <c r="H6" s="29" t="n">
        <f aca="false">$B6/(POWER(1+'facts premium'!H$16,($A6-1996.5)))</f>
        <v>21139865.214813</v>
      </c>
    </row>
    <row r="7" customFormat="false" ht="12.75" hidden="false" customHeight="false" outlineLevel="0" collapsed="false">
      <c r="A7" s="36" t="n">
        <v>2000</v>
      </c>
      <c r="B7" s="29" t="n">
        <v>25091313</v>
      </c>
      <c r="C7" s="29" t="n">
        <f aca="false">$B7/(POWER(1+'facts premium'!C$16,($A7-1996.5)))</f>
        <v>20666214.4876328</v>
      </c>
      <c r="D7" s="29" t="n">
        <f aca="false">$B7/(POWER(1+'facts premium'!D$16,($A7-1996.5)))</f>
        <v>20838206.8045665</v>
      </c>
      <c r="E7" s="29" t="n">
        <f aca="false">$B7/(POWER(1+'facts premium'!E$16,($A7-1996.5)))</f>
        <v>21012043.8608995</v>
      </c>
      <c r="F7" s="29" t="n">
        <f aca="false">$B7/(POWER(1+'facts premium'!F$16,($A7-1996.5)))</f>
        <v>20496043.0399883</v>
      </c>
      <c r="G7" s="29" t="n">
        <f aca="false">$B7/(POWER(1+'facts premium'!G$16,($A7-1996.5)))</f>
        <v>20327668.9556929</v>
      </c>
      <c r="H7" s="29" t="n">
        <f aca="false">$B7/(POWER(1+'facts premium'!H$16,($A7-1996.5)))</f>
        <v>20161069.0865798</v>
      </c>
    </row>
    <row r="8" customFormat="false" ht="12.75" hidden="false" customHeight="false" outlineLevel="0" collapsed="false">
      <c r="A8" s="36" t="n">
        <v>2001</v>
      </c>
      <c r="B8" s="29" t="n">
        <v>25488810</v>
      </c>
      <c r="C8" s="29" t="n">
        <f aca="false">$B8/(POWER(1+'facts premium'!C$16,($A8-1996.5)))</f>
        <v>19861503.3141202</v>
      </c>
      <c r="D8" s="29" t="n">
        <f aca="false">$B8/(POWER(1+'facts premium'!D$16,($A8-1996.5)))</f>
        <v>20074277.8806248</v>
      </c>
      <c r="E8" s="29" t="n">
        <f aca="false">$B8/(POWER(1+'facts premium'!E$16,($A8-1996.5)))</f>
        <v>20289845.0674946</v>
      </c>
      <c r="F8" s="29" t="n">
        <f aca="false">$B8/(POWER(1+'facts premium'!F$16,($A8-1996.5)))</f>
        <v>19651478.7130365</v>
      </c>
      <c r="G8" s="29" t="n">
        <f aca="false">$B8/(POWER(1+'facts premium'!G$16,($A8-1996.5)))</f>
        <v>19444162.1724187</v>
      </c>
      <c r="H8" s="29" t="n">
        <f aca="false">$B8/(POWER(1+'facts premium'!H$16,($A8-1996.5)))</f>
        <v>19239512.5223899</v>
      </c>
    </row>
    <row r="9" customFormat="false" ht="12.75" hidden="false" customHeight="false" outlineLevel="0" collapsed="false">
      <c r="A9" s="36" t="n">
        <v>2002</v>
      </c>
      <c r="B9" s="29" t="n">
        <v>26244265</v>
      </c>
      <c r="C9" s="29" t="n">
        <f aca="false">$B9/(POWER(1+'facts premium'!C$16,($A9-1996.5)))</f>
        <v>19347372.09276</v>
      </c>
      <c r="D9" s="29" t="n">
        <f aca="false">$B9/(POWER(1+'facts premium'!D$16,($A9-1996.5)))</f>
        <v>19600998.7942016</v>
      </c>
      <c r="E9" s="29" t="n">
        <f aca="false">$B9/(POWER(1+'facts premium'!E$16,($A9-1996.5)))</f>
        <v>19858564.2061835</v>
      </c>
      <c r="F9" s="29" t="n">
        <f aca="false">$B9/(POWER(1+'facts premium'!F$16,($A9-1996.5)))</f>
        <v>19097614.7677295</v>
      </c>
      <c r="G9" s="29" t="n">
        <f aca="false">$B9/(POWER(1+'facts premium'!G$16,($A9-1996.5)))</f>
        <v>18851658.8649798</v>
      </c>
      <c r="H9" s="29" t="n">
        <f aca="false">$B9/(POWER(1+'facts premium'!H$16,($A9-1996.5)))</f>
        <v>18609437.7797526</v>
      </c>
    </row>
    <row r="10" customFormat="false" ht="12.75" hidden="false" customHeight="false" outlineLevel="0" collapsed="false">
      <c r="A10" s="36" t="n">
        <v>2003</v>
      </c>
      <c r="B10" s="29" t="n">
        <v>27316484</v>
      </c>
      <c r="C10" s="29" t="n">
        <f aca="false">$B10/(POWER(1+'facts premium'!C$16,($A10-1996.5)))</f>
        <v>19051860.0022999</v>
      </c>
      <c r="D10" s="29" t="n">
        <f aca="false">$B10/(POWER(1+'facts premium'!D$16,($A10-1996.5)))</f>
        <v>19347372.9114131</v>
      </c>
      <c r="E10" s="29" t="n">
        <f aca="false">$B10/(POWER(1+'facts premium'!E$16,($A10-1996.5)))</f>
        <v>19648187.3343463</v>
      </c>
      <c r="F10" s="29" t="n">
        <f aca="false">$B10/(POWER(1+'facts premium'!F$16,($A10-1996.5)))</f>
        <v>18761542.9645775</v>
      </c>
      <c r="G10" s="29" t="n">
        <f aca="false">$B10/(POWER(1+'facts premium'!G$16,($A10-1996.5)))</f>
        <v>18476318.503089</v>
      </c>
      <c r="H10" s="29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36" t="n">
        <v>2004</v>
      </c>
      <c r="B11" s="29" t="n">
        <v>28432512</v>
      </c>
      <c r="C11" s="29" t="n">
        <f aca="false">$B11/(POWER(1+'facts premium'!C$16,($A11-1996.5)))</f>
        <v>18760863.6156497</v>
      </c>
      <c r="D11" s="29" t="n">
        <f aca="false">$B11/(POWER(1+'facts premium'!D$16,($A11-1996.5)))</f>
        <v>19097030.8884702</v>
      </c>
      <c r="E11" s="29" t="n">
        <f aca="false">$B11/(POWER(1+'facts premium'!E$16,($A11-1996.5)))</f>
        <v>19440041.2659135</v>
      </c>
      <c r="F11" s="29" t="n">
        <f aca="false">$B11/(POWER(1+'facts premium'!F$16,($A11-1996.5)))</f>
        <v>18431387.2230199</v>
      </c>
      <c r="G11" s="29" t="n">
        <f aca="false">$B11/(POWER(1+'facts premium'!G$16,($A11-1996.5)))</f>
        <v>18108453.2200618</v>
      </c>
      <c r="H11" s="29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36" t="n">
        <v>2005</v>
      </c>
      <c r="B12" s="29" t="n">
        <v>29594139</v>
      </c>
      <c r="C12" s="29" t="n">
        <f aca="false">$B12/(POWER(1+'facts premium'!C$16,($A12-1996.5)))</f>
        <v>18474313.8435605</v>
      </c>
      <c r="D12" s="29" t="n">
        <f aca="false">$B12/(POWER(1+'facts premium'!D$16,($A12-1996.5)))</f>
        <v>18849930.1252799</v>
      </c>
      <c r="E12" s="29" t="n">
        <f aca="false">$B12/(POWER(1+'facts premium'!E$16,($A12-1996.5)))</f>
        <v>19234102.2673564</v>
      </c>
      <c r="F12" s="29" t="n">
        <f aca="false">$B12/(POWER(1+'facts premium'!F$16,($A12-1996.5)))</f>
        <v>18107043.3111988</v>
      </c>
      <c r="G12" s="29" t="n">
        <f aca="false">$B12/(POWER(1+'facts premium'!G$16,($A12-1996.5)))</f>
        <v>17747914.0552132</v>
      </c>
      <c r="H12" s="29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36" t="n">
        <v>2006</v>
      </c>
      <c r="B13" s="29" t="n">
        <v>30803229</v>
      </c>
      <c r="C13" s="29" t="n">
        <f aca="false">$B13/(POWER(1+'facts premium'!C$16,($A13-1996.5)))</f>
        <v>18192143.1661757</v>
      </c>
      <c r="D13" s="29" t="n">
        <f aca="false">$B13/(POWER(1+'facts premium'!D$16,($A13-1996.5)))</f>
        <v>18606029.0979804</v>
      </c>
      <c r="E13" s="29" t="n">
        <f aca="false">$B13/(POWER(1+'facts premium'!E$16,($A13-1996.5)))</f>
        <v>19030347.3928008</v>
      </c>
      <c r="F13" s="29" t="n">
        <f aca="false">$B13/(POWER(1+'facts premium'!F$16,($A13-1996.5)))</f>
        <v>17788409.3350376</v>
      </c>
      <c r="G13" s="29" t="n">
        <f aca="false">$B13/(POWER(1+'facts premium'!G$16,($A13-1996.5)))</f>
        <v>17394555.5069872</v>
      </c>
      <c r="H13" s="29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36" t="n">
        <v>2007</v>
      </c>
      <c r="B14" s="29" t="n">
        <v>32061720</v>
      </c>
      <c r="C14" s="29" t="n">
        <f aca="false">$B14/(POWER(1+'facts premium'!C$16,($A14-1996.5)))</f>
        <v>17914283.8096592</v>
      </c>
      <c r="D14" s="29" t="n">
        <f aca="false">$B14/(POWER(1+'facts premium'!D$16,($A14-1996.5)))</f>
        <v>18365285.5052951</v>
      </c>
      <c r="E14" s="29" t="n">
        <f aca="false">$B14/(POWER(1+'facts premium'!E$16,($A14-1996.5)))</f>
        <v>18828752.594637</v>
      </c>
      <c r="F14" s="29" t="n">
        <f aca="false">$B14/(POWER(1+'facts premium'!F$16,($A14-1996.5)))</f>
        <v>17475383.9370369</v>
      </c>
      <c r="G14" s="29" t="n">
        <f aca="false">$B14/(POWER(1+'facts premium'!G$16,($A14-1996.5)))</f>
        <v>17048233.7424007</v>
      </c>
      <c r="H14" s="29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36" t="n">
        <v>2008</v>
      </c>
      <c r="B15" s="29" t="n">
        <v>33371633</v>
      </c>
      <c r="C15" s="29" t="n">
        <f aca="false">$B15/(POWER(1+'facts premium'!C$16,($A15-1996.5)))</f>
        <v>17640671.1785069</v>
      </c>
      <c r="D15" s="29" t="n">
        <f aca="false">$B15/(POWER(1+'facts premium'!D$16,($A15-1996.5)))</f>
        <v>18127659.7891892</v>
      </c>
      <c r="E15" s="29" t="n">
        <f aca="false">$B15/(POWER(1+'facts premium'!E$16,($A15-1996.5)))</f>
        <v>18629296.3301364</v>
      </c>
      <c r="F15" s="29" t="n">
        <f aca="false">$B15/(POWER(1+'facts premium'!F$16,($A15-1996.5)))</f>
        <v>17167869.6352239</v>
      </c>
      <c r="G15" s="29" t="n">
        <f aca="false">$B15/(POWER(1+'facts premium'!G$16,($A15-1996.5)))</f>
        <v>16708809.8342332</v>
      </c>
      <c r="H15" s="29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36" t="n">
        <v>2009</v>
      </c>
      <c r="B16" s="29" t="n">
        <v>34735066</v>
      </c>
      <c r="C16" s="29" t="n">
        <f aca="false">$B16/(POWER(1+'facts premium'!C$16,($A16-1996.5)))</f>
        <v>17371238.6622038</v>
      </c>
      <c r="D16" s="29" t="n">
        <f aca="false">$B16/(POWER(1+'facts premium'!D$16,($A16-1996.5)))</f>
        <v>17893109.8208687</v>
      </c>
      <c r="E16" s="29" t="n">
        <f aca="false">$B16/(POWER(1+'facts premium'!E$16,($A16-1996.5)))</f>
        <v>18431954.118871</v>
      </c>
      <c r="F16" s="29" t="n">
        <f aca="false">$B16/(POWER(1+'facts premium'!F$16,($A16-1996.5)))</f>
        <v>16865767.7401433</v>
      </c>
      <c r="G16" s="29" t="n">
        <f aca="false">$B16/(POWER(1+'facts premium'!G$16,($A16-1996.5)))</f>
        <v>16376144.7749274</v>
      </c>
      <c r="H16" s="29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36" t="n">
        <v>2010</v>
      </c>
      <c r="B17" s="29" t="n">
        <v>36154209</v>
      </c>
      <c r="C17" s="29" t="n">
        <f aca="false">$B17/(POWER(1+'facts premium'!C$16,($A17-1996.5)))</f>
        <v>17105923.899244</v>
      </c>
      <c r="D17" s="29" t="n">
        <f aca="false">$B17/(POWER(1+'facts premium'!D$16,($A17-1996.5)))</f>
        <v>17661597.3404937</v>
      </c>
      <c r="E17" s="29" t="n">
        <f aca="false">$B17/(POWER(1+'facts premium'!E$16,($A17-1996.5)))</f>
        <v>18236705.1587539</v>
      </c>
      <c r="F17" s="29" t="n">
        <f aca="false">$B17/(POWER(1+'facts premium'!F$16,($A17-1996.5)))</f>
        <v>16568984.4412413</v>
      </c>
      <c r="G17" s="29" t="n">
        <f aca="false">$B17/(POWER(1+'facts premium'!G$16,($A17-1996.5)))</f>
        <v>16050105.3801489</v>
      </c>
      <c r="H17" s="29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36" t="n">
        <v>2011</v>
      </c>
      <c r="B18" s="29" t="n">
        <v>37631336</v>
      </c>
      <c r="C18" s="29" t="n">
        <f aca="false">$B18/(POWER(1+'facts premium'!C$16,($A18-1996.5)))</f>
        <v>16844662.7804012</v>
      </c>
      <c r="D18" s="29" t="n">
        <f aca="false">$B18/(POWER(1+'facts premium'!D$16,($A18-1996.5)))</f>
        <v>17433081.7996554</v>
      </c>
      <c r="E18" s="29" t="n">
        <f aca="false">$B18/(POWER(1+'facts premium'!E$16,($A18-1996.5)))</f>
        <v>18043525.9983125</v>
      </c>
      <c r="F18" s="29" t="n">
        <f aca="false">$B18/(POWER(1+'facts premium'!F$16,($A18-1996.5)))</f>
        <v>16277424.9593296</v>
      </c>
      <c r="G18" s="29" t="n">
        <f aca="false">$B18/(POWER(1+'facts premium'!G$16,($A18-1996.5)))</f>
        <v>15730558.5760221</v>
      </c>
      <c r="H18" s="29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36" t="n">
        <v>2012</v>
      </c>
      <c r="B19" s="29" t="n">
        <v>39168818</v>
      </c>
      <c r="C19" s="29" t="n">
        <f aca="false">$B19/(POWER(1+'facts premium'!C$16,($A19-1996.5)))</f>
        <v>16587394.0832343</v>
      </c>
      <c r="D19" s="29" t="n">
        <f aca="false">$B19/(POWER(1+'facts premium'!D$16,($A19-1996.5)))</f>
        <v>17207525.1446171</v>
      </c>
      <c r="E19" s="29" t="n">
        <f aca="false">$B19/(POWER(1+'facts premium'!E$16,($A19-1996.5)))</f>
        <v>17852395.4691974</v>
      </c>
      <c r="F19" s="29" t="n">
        <f aca="false">$B19/(POWER(1+'facts premium'!F$16,($A19-1996.5)))</f>
        <v>15990998.0304453</v>
      </c>
      <c r="G19" s="29" t="n">
        <f aca="false">$B19/(POWER(1+'facts premium'!G$16,($A19-1996.5)))</f>
        <v>15417375.727397</v>
      </c>
      <c r="H19" s="29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36" t="n">
        <v>2013</v>
      </c>
      <c r="B20" s="29" t="n">
        <v>40769121</v>
      </c>
      <c r="C20" s="29" t="n">
        <f aca="false">$B20/(POWER(1+'facts premium'!C$16,($A20-1996.5)))</f>
        <v>16334056.647038</v>
      </c>
      <c r="D20" s="29" t="n">
        <f aca="false">$B20/(POWER(1+'facts premium'!D$16,($A20-1996.5)))</f>
        <v>16984888.9109934</v>
      </c>
      <c r="E20" s="29" t="n">
        <f aca="false">$B20/(POWER(1+'facts premium'!E$16,($A20-1996.5)))</f>
        <v>17663291.6935854</v>
      </c>
      <c r="F20" s="29" t="n">
        <f aca="false">$B20/(POWER(1+'facts premium'!F$16,($A20-1996.5)))</f>
        <v>15709613.1519525</v>
      </c>
      <c r="G20" s="29" t="n">
        <f aca="false">$B20/(POWER(1+'facts premium'!G$16,($A20-1996.5)))</f>
        <v>15110429.9433022</v>
      </c>
      <c r="H20" s="29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36" t="n">
        <v>2014</v>
      </c>
      <c r="B21" s="29" t="n">
        <v>42434811</v>
      </c>
      <c r="C21" s="29" t="n">
        <f aca="false">$B21/(POWER(1+'facts premium'!C$16,($A21-1996.5)))</f>
        <v>16084589.971366</v>
      </c>
      <c r="D21" s="29" t="n">
        <f aca="false">$B21/(POWER(1+'facts premium'!D$16,($A21-1996.5)))</f>
        <v>16765134.8453065</v>
      </c>
      <c r="E21" s="29" t="n">
        <f aca="false">$B21/(POWER(1+'facts premium'!E$16,($A21-1996.5)))</f>
        <v>17476192.7251733</v>
      </c>
      <c r="F21" s="29" t="n">
        <f aca="false">$B21/(POWER(1+'facts premium'!F$16,($A21-1996.5)))</f>
        <v>15433181.1522839</v>
      </c>
      <c r="G21" s="29" t="n">
        <f aca="false">$B21/(POWER(1+'facts premium'!G$16,($A21-1996.5)))</f>
        <v>14809596.609467</v>
      </c>
      <c r="H21" s="29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36" t="n">
        <v>2015</v>
      </c>
      <c r="B22" s="39" t="n">
        <v>44168561</v>
      </c>
      <c r="C22" s="39" t="n">
        <f aca="false">$B22/(POWER(1+'facts premium'!C$16,($A22-1996.5)))</f>
        <v>15838935.3119817</v>
      </c>
      <c r="D22" s="39" t="n">
        <f aca="false">$B22/(POWER(1+'facts premium'!D$16,($A22-1996.5)))</f>
        <v>16548226.0551085</v>
      </c>
      <c r="E22" s="39" t="n">
        <f aca="false">$B22/(POWER(1+'facts premium'!E$16,($A22-1996.5)))</f>
        <v>17291077.7516582</v>
      </c>
      <c r="F22" s="39" t="n">
        <f aca="false">$B22/(POWER(1+'facts premium'!F$16,($A22-1996.5)))</f>
        <v>15161615.2287303</v>
      </c>
      <c r="G22" s="39" t="n">
        <f aca="false">$B22/(POWER(1+'facts premium'!G$16,($A22-1996.5)))</f>
        <v>14514754.3612864</v>
      </c>
      <c r="H22" s="39" t="n">
        <f aca="false">$B22/(POWER(1+'facts premium'!H$16,($A22-1996.5)))</f>
        <v>13896916.033178</v>
      </c>
    </row>
    <row r="23" customFormat="false" ht="12.75" hidden="false" customHeight="false" outlineLevel="0" collapsed="false">
      <c r="B23" s="29" t="n">
        <f aca="false">SUM(B3:B22)</f>
        <v>603105479</v>
      </c>
      <c r="C23" s="29" t="n">
        <f aca="false">SUM(C3:C22)</f>
        <v>350472549.334452</v>
      </c>
      <c r="D23" s="29" t="n">
        <f aca="false">SUM(D3:D22)</f>
        <v>358008851.154605</v>
      </c>
      <c r="E23" s="29" t="n">
        <f aca="false">SUM(E3:E22)</f>
        <v>365788328.825356</v>
      </c>
      <c r="F23" s="29" t="n">
        <f aca="false">SUM(F3:F22)</f>
        <v>343170429.281532</v>
      </c>
      <c r="G23" s="29" t="n">
        <f aca="false">SUM(G3:G22)</f>
        <v>336093868.374683</v>
      </c>
      <c r="H23" s="29" t="n">
        <f aca="false">SUM(H3:H22)</f>
        <v>329234598.777658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0" width="9.14"/>
    <col collapsed="false" customWidth="true" hidden="false" outlineLevel="0" max="5" min="5" style="0" width="9.85"/>
    <col collapsed="false" customWidth="true" hidden="false" outlineLevel="0" max="8" min="8" style="41" width="9.14"/>
    <col collapsed="false" customWidth="true" hidden="false" outlineLevel="0" max="10" min="10" style="42" width="9.14"/>
  </cols>
  <sheetData>
    <row r="1" customFormat="false" ht="12.75" hidden="false" customHeight="false" outlineLevel="0" collapsed="false">
      <c r="D1" s="43" t="n">
        <f aca="false">'facts premium'!DiscRate</f>
        <v>0.0488</v>
      </c>
      <c r="J1" s="44" t="s">
        <v>43</v>
      </c>
      <c r="K1" s="44"/>
    </row>
    <row r="2" customFormat="false" ht="12.75" hidden="false" customHeight="false" outlineLevel="0" collapsed="false">
      <c r="B2" s="31" t="s">
        <v>44</v>
      </c>
      <c r="C2" s="40" t="s">
        <v>45</v>
      </c>
      <c r="D2" s="45" t="s">
        <v>46</v>
      </c>
      <c r="E2" s="45" t="s">
        <v>47</v>
      </c>
      <c r="F2" s="45" t="s">
        <v>48</v>
      </c>
      <c r="G2" s="46" t="s">
        <v>49</v>
      </c>
      <c r="H2" s="46" t="s">
        <v>50</v>
      </c>
      <c r="I2" s="31" t="s">
        <v>51</v>
      </c>
      <c r="J2" s="47" t="s">
        <v>45</v>
      </c>
      <c r="K2" s="36" t="s">
        <v>51</v>
      </c>
      <c r="L2" s="36"/>
      <c r="M2" s="45"/>
      <c r="N2" s="36"/>
    </row>
    <row r="3" customFormat="false" ht="12.75" hidden="false" customHeight="false" outlineLevel="0" collapsed="false">
      <c r="A3" s="48" t="n">
        <v>35582</v>
      </c>
      <c r="B3" s="0" t="n">
        <v>1</v>
      </c>
      <c r="C3" s="49" t="n">
        <f aca="false">'facts premium'!C28</f>
        <v>317.676301817471</v>
      </c>
      <c r="D3" s="50" t="n">
        <f aca="false">C3*DiscRate/12</f>
        <v>1.50896243363299</v>
      </c>
      <c r="E3" s="50" t="n">
        <f aca="false">'tax rev'!C3/1000000</f>
        <v>4.73144637682226</v>
      </c>
      <c r="F3" s="50"/>
      <c r="G3" s="51" t="n">
        <f aca="false">facts!$B$6/facts!$B$7</f>
        <v>11.3</v>
      </c>
      <c r="H3" s="51"/>
      <c r="I3" s="16" t="n">
        <f aca="false">C3+D3+E3+F3-G3-H3</f>
        <v>312.616710627926</v>
      </c>
      <c r="J3" s="42" t="n">
        <v>360.32</v>
      </c>
      <c r="K3" s="16" t="n">
        <f aca="false">J3+D3+F3-G3-H3</f>
        <v>350.528962433633</v>
      </c>
    </row>
    <row r="4" customFormat="false" ht="12.75" hidden="false" customHeight="false" outlineLevel="0" collapsed="false">
      <c r="A4" s="48"/>
      <c r="B4" s="0" t="n">
        <v>2</v>
      </c>
      <c r="C4" s="49" t="n">
        <f aca="false">I3</f>
        <v>312.616710627926</v>
      </c>
      <c r="D4" s="50" t="n">
        <f aca="false">C4*DiscRate/12</f>
        <v>1.48492937548265</v>
      </c>
      <c r="E4" s="50"/>
      <c r="F4" s="50"/>
      <c r="G4" s="51" t="n">
        <f aca="false">facts!$B$6/facts!$B$7</f>
        <v>11.3</v>
      </c>
      <c r="H4" s="52"/>
      <c r="I4" s="16" t="n">
        <f aca="false">C4+D4+E4+F4-G4-H4</f>
        <v>302.801640003408</v>
      </c>
      <c r="J4" s="53" t="n">
        <f aca="false">K3</f>
        <v>350.528962433633</v>
      </c>
      <c r="K4" s="16" t="n">
        <f aca="false">J4+D4+F4-G4-H4</f>
        <v>340.713891809116</v>
      </c>
    </row>
    <row r="5" customFormat="false" ht="12.75" hidden="false" customHeight="false" outlineLevel="0" collapsed="false">
      <c r="A5" s="48"/>
      <c r="B5" s="0" t="n">
        <v>3</v>
      </c>
      <c r="C5" s="49" t="n">
        <f aca="false">I4</f>
        <v>302.801640003408</v>
      </c>
      <c r="D5" s="50" t="n">
        <f aca="false">C5*DiscRate/12</f>
        <v>1.43830779001619</v>
      </c>
      <c r="E5" s="50"/>
      <c r="F5" s="50"/>
      <c r="G5" s="51" t="n">
        <f aca="false">facts!$B$6/facts!$B$7</f>
        <v>11.3</v>
      </c>
      <c r="H5" s="52"/>
      <c r="I5" s="16" t="n">
        <f aca="false">C5+D5+E5+F5-G5-H5</f>
        <v>292.939947793425</v>
      </c>
      <c r="J5" s="53" t="n">
        <f aca="false">K4</f>
        <v>340.713891809116</v>
      </c>
      <c r="K5" s="16" t="n">
        <f aca="false">J5+D5+F5-G5-H5</f>
        <v>330.852199599132</v>
      </c>
    </row>
    <row r="6" customFormat="false" ht="12.75" hidden="false" customHeight="false" outlineLevel="0" collapsed="false">
      <c r="A6" s="48"/>
      <c r="B6" s="0" t="n">
        <v>4</v>
      </c>
      <c r="C6" s="49" t="n">
        <f aca="false">I5</f>
        <v>292.939947793425</v>
      </c>
      <c r="D6" s="50" t="n">
        <f aca="false">C6*DiscRate/12</f>
        <v>1.39146475201877</v>
      </c>
      <c r="E6" s="50"/>
      <c r="F6" s="50"/>
      <c r="G6" s="51" t="n">
        <f aca="false">facts!$B$6/facts!$B$7</f>
        <v>11.3</v>
      </c>
      <c r="H6" s="52"/>
      <c r="I6" s="16" t="n">
        <f aca="false">C6+D6+E6+F6-G6-H6</f>
        <v>283.031412545443</v>
      </c>
      <c r="J6" s="53" t="n">
        <f aca="false">K5</f>
        <v>330.852199599132</v>
      </c>
      <c r="K6" s="16" t="n">
        <f aca="false">J6+D6+F6-G6-H6</f>
        <v>320.943664351151</v>
      </c>
    </row>
    <row r="7" customFormat="false" ht="12.75" hidden="false" customHeight="false" outlineLevel="0" collapsed="false">
      <c r="A7" s="48"/>
      <c r="B7" s="0" t="n">
        <v>5</v>
      </c>
      <c r="C7" s="49" t="n">
        <f aca="false">I6</f>
        <v>283.031412545443</v>
      </c>
      <c r="D7" s="50" t="n">
        <f aca="false">C7*DiscRate/12</f>
        <v>1.34439920959086</v>
      </c>
      <c r="E7" s="50"/>
      <c r="F7" s="50"/>
      <c r="G7" s="51" t="n">
        <f aca="false">facts!$B$6/facts!$B$7</f>
        <v>11.3</v>
      </c>
      <c r="H7" s="52"/>
      <c r="I7" s="16" t="n">
        <f aca="false">C7+D7+E7+F7-G7-H7</f>
        <v>273.075811755034</v>
      </c>
      <c r="J7" s="53" t="n">
        <f aca="false">K6</f>
        <v>320.943664351151</v>
      </c>
      <c r="K7" s="16" t="n">
        <f aca="false">J7+D7+F7-G7-H7</f>
        <v>310.988063560741</v>
      </c>
    </row>
    <row r="8" customFormat="false" ht="12.75" hidden="false" customHeight="false" outlineLevel="0" collapsed="false">
      <c r="A8" s="48" t="n">
        <v>35765</v>
      </c>
      <c r="B8" s="0" t="n">
        <v>6</v>
      </c>
      <c r="C8" s="49" t="n">
        <f aca="false">I7</f>
        <v>273.075811755034</v>
      </c>
      <c r="D8" s="50" t="n">
        <f aca="false">C8*DiscRate/12</f>
        <v>1.29711010583641</v>
      </c>
      <c r="E8" s="50" t="n">
        <v>19.89</v>
      </c>
      <c r="F8" s="50"/>
      <c r="G8" s="51" t="n">
        <f aca="false">facts!$B$6/facts!$B$7</f>
        <v>11.3</v>
      </c>
      <c r="H8" s="51" t="n">
        <f aca="false">'facts premium'!$C$28*'facts premium'!$C$16/2</f>
        <v>9.05377460179791</v>
      </c>
      <c r="I8" s="16" t="n">
        <f aca="false">C8+D8+E8+F8-G8-H8</f>
        <v>273.909147259073</v>
      </c>
      <c r="J8" s="53" t="n">
        <f aca="false">K7</f>
        <v>310.988063560741</v>
      </c>
      <c r="K8" s="16" t="n">
        <f aca="false">J8+D8+F8-G8-H8</f>
        <v>291.93139906478</v>
      </c>
    </row>
    <row r="9" customFormat="false" ht="12.75" hidden="false" customHeight="false" outlineLevel="0" collapsed="false">
      <c r="A9" s="48"/>
      <c r="B9" s="0" t="n">
        <v>7</v>
      </c>
      <c r="C9" s="49" t="n">
        <f aca="false">I8</f>
        <v>273.909147259073</v>
      </c>
      <c r="D9" s="50" t="n">
        <f aca="false">C9*DiscRate/12</f>
        <v>1.3010684494806</v>
      </c>
      <c r="E9" s="50"/>
      <c r="F9" s="50"/>
      <c r="G9" s="51" t="n">
        <f aca="false">facts!$B$6/facts!$B$7</f>
        <v>11.3</v>
      </c>
      <c r="H9" s="52"/>
      <c r="I9" s="16" t="n">
        <f aca="false">C9+D9+E9+F9-G9-H9</f>
        <v>263.910215708553</v>
      </c>
      <c r="J9" s="53" t="n">
        <f aca="false">K8</f>
        <v>291.93139906478</v>
      </c>
      <c r="K9" s="16" t="n">
        <f aca="false">J9+D9+F9-G9-H9</f>
        <v>281.93246751426</v>
      </c>
    </row>
    <row r="10" customFormat="false" ht="12.75" hidden="false" customHeight="false" outlineLevel="0" collapsed="false">
      <c r="A10" s="48"/>
      <c r="B10" s="0" t="n">
        <v>8</v>
      </c>
      <c r="C10" s="49" t="n">
        <f aca="false">I9</f>
        <v>263.910215708553</v>
      </c>
      <c r="D10" s="50" t="n">
        <f aca="false">C10*DiscRate/12</f>
        <v>1.25357352461563</v>
      </c>
      <c r="E10" s="50"/>
      <c r="F10" s="50"/>
      <c r="G10" s="51" t="n">
        <f aca="false">facts!$B$6/facts!$B$7</f>
        <v>11.3</v>
      </c>
      <c r="H10" s="52"/>
      <c r="I10" s="16" t="n">
        <f aca="false">C10+D10+E10+F10-G10-H10</f>
        <v>253.863789233169</v>
      </c>
      <c r="J10" s="53" t="n">
        <f aca="false">K9</f>
        <v>281.93246751426</v>
      </c>
      <c r="K10" s="16" t="n">
        <f aca="false">J10+D10+F10-G10-H10</f>
        <v>271.886041038876</v>
      </c>
    </row>
    <row r="11" customFormat="false" ht="12.75" hidden="false" customHeight="false" outlineLevel="0" collapsed="false">
      <c r="A11" s="48"/>
      <c r="B11" s="0" t="n">
        <v>9</v>
      </c>
      <c r="C11" s="49" t="n">
        <f aca="false">I10</f>
        <v>253.863789233169</v>
      </c>
      <c r="D11" s="50" t="n">
        <f aca="false">C11*DiscRate/12</f>
        <v>1.20585299885755</v>
      </c>
      <c r="E11" s="50"/>
      <c r="F11" s="50"/>
      <c r="G11" s="51" t="n">
        <f aca="false">facts!$B$6/facts!$B$7</f>
        <v>11.3</v>
      </c>
      <c r="H11" s="52"/>
      <c r="I11" s="16" t="n">
        <f aca="false">C11+D11+E11+F11-G11-H11</f>
        <v>243.769642232026</v>
      </c>
      <c r="J11" s="53" t="n">
        <f aca="false">K10</f>
        <v>271.886041038876</v>
      </c>
      <c r="K11" s="16" t="n">
        <f aca="false">J11+D11+F11-G11-H11</f>
        <v>261.791894037734</v>
      </c>
    </row>
    <row r="12" customFormat="false" ht="12.75" hidden="false" customHeight="false" outlineLevel="0" collapsed="false">
      <c r="A12" s="48"/>
      <c r="B12" s="0" t="n">
        <v>10</v>
      </c>
      <c r="C12" s="49" t="n">
        <f aca="false">I11</f>
        <v>243.769642232026</v>
      </c>
      <c r="D12" s="50" t="n">
        <f aca="false">C12*DiscRate/12</f>
        <v>1.15790580060213</v>
      </c>
      <c r="E12" s="50"/>
      <c r="F12" s="50"/>
      <c r="G12" s="51" t="n">
        <f aca="false">facts!$B$6/facts!$B$7</f>
        <v>11.3</v>
      </c>
      <c r="H12" s="52"/>
      <c r="I12" s="16" t="n">
        <f aca="false">C12+D12+E12+F12-G12-H12</f>
        <v>233.627548032628</v>
      </c>
      <c r="J12" s="53" t="n">
        <f aca="false">K11</f>
        <v>261.791894037734</v>
      </c>
      <c r="K12" s="16" t="n">
        <f aca="false">J12+D12+F12-G12-H12</f>
        <v>251.649799838336</v>
      </c>
    </row>
    <row r="13" customFormat="false" ht="12.75" hidden="false" customHeight="false" outlineLevel="0" collapsed="false">
      <c r="A13" s="48"/>
      <c r="B13" s="0" t="n">
        <v>11</v>
      </c>
      <c r="C13" s="49" t="n">
        <f aca="false">I12</f>
        <v>233.627548032628</v>
      </c>
      <c r="D13" s="50" t="n">
        <f aca="false">C13*DiscRate/12</f>
        <v>1.10973085315499</v>
      </c>
      <c r="E13" s="50"/>
      <c r="F13" s="50"/>
      <c r="G13" s="51" t="n">
        <f aca="false">facts!$B$6/facts!$B$7</f>
        <v>11.3</v>
      </c>
      <c r="H13" s="52"/>
      <c r="I13" s="16" t="n">
        <f aca="false">C13+D13+E13+F13-G13-H13</f>
        <v>223.437278885783</v>
      </c>
      <c r="J13" s="53" t="n">
        <f aca="false">K12</f>
        <v>251.649799838336</v>
      </c>
      <c r="K13" s="16" t="n">
        <f aca="false">J13+D13+F13-G13-H13</f>
        <v>241.459530691491</v>
      </c>
    </row>
    <row r="14" customFormat="false" ht="12.75" hidden="false" customHeight="false" outlineLevel="0" collapsed="false">
      <c r="A14" s="48" t="n">
        <v>35947</v>
      </c>
      <c r="B14" s="0" t="n">
        <v>12</v>
      </c>
      <c r="C14" s="49" t="n">
        <f aca="false">I13</f>
        <v>223.437278885783</v>
      </c>
      <c r="D14" s="50" t="n">
        <f aca="false">C14*DiscRate/12</f>
        <v>1.06132707470747</v>
      </c>
      <c r="E14" s="50"/>
      <c r="F14" s="50"/>
      <c r="G14" s="51" t="n">
        <f aca="false">facts!$B$6/facts!$B$7</f>
        <v>11.3</v>
      </c>
      <c r="H14" s="51" t="n">
        <f aca="false">'facts premium'!$C$28*'facts premium'!$C$16/2</f>
        <v>9.05377460179791</v>
      </c>
      <c r="I14" s="16" t="n">
        <f aca="false">C14+D14+E14+F14-G14-H14</f>
        <v>204.144831358693</v>
      </c>
      <c r="J14" s="53" t="n">
        <f aca="false">K13</f>
        <v>241.459530691491</v>
      </c>
      <c r="K14" s="16" t="n">
        <f aca="false">J14+D14+F14-G14-H14</f>
        <v>222.1670831644</v>
      </c>
    </row>
    <row r="15" customFormat="false" ht="12.75" hidden="false" customHeight="false" outlineLevel="0" collapsed="false">
      <c r="B15" s="0" t="n">
        <v>13</v>
      </c>
      <c r="C15" s="49" t="n">
        <f aca="false">I14</f>
        <v>204.144831358693</v>
      </c>
      <c r="D15" s="50" t="n">
        <f aca="false">C15*DiscRate/12</f>
        <v>0.969687948953792</v>
      </c>
      <c r="E15" s="50"/>
      <c r="F15" s="50"/>
      <c r="G15" s="51" t="n">
        <f aca="false">facts!$B$6/facts!$B$7</f>
        <v>11.3</v>
      </c>
      <c r="H15" s="51"/>
      <c r="I15" s="16" t="n">
        <f aca="false">C15+D15+E15+F15-G15-H15</f>
        <v>193.814519307647</v>
      </c>
      <c r="J15" s="53" t="n">
        <f aca="false">K14</f>
        <v>222.1670831644</v>
      </c>
      <c r="K15" s="16" t="n">
        <f aca="false">J15+D15+F15-G15-H15</f>
        <v>211.836771113354</v>
      </c>
    </row>
    <row r="16" customFormat="false" ht="12.75" hidden="false" customHeight="false" outlineLevel="0" collapsed="false">
      <c r="A16" s="48"/>
      <c r="B16" s="0" t="n">
        <v>14</v>
      </c>
      <c r="C16" s="49" t="n">
        <f aca="false">I15</f>
        <v>193.814519307647</v>
      </c>
      <c r="D16" s="50" t="n">
        <f aca="false">C16*DiscRate/12</f>
        <v>0.920618966711322</v>
      </c>
      <c r="E16" s="50"/>
      <c r="F16" s="50"/>
      <c r="G16" s="51" t="n">
        <f aca="false">facts!$B$6/facts!$B$7</f>
        <v>11.3</v>
      </c>
      <c r="H16" s="52"/>
      <c r="I16" s="16" t="n">
        <f aca="false">C16+D16+E16+F16-G16-H16</f>
        <v>183.435138274358</v>
      </c>
      <c r="J16" s="53" t="n">
        <f aca="false">K15</f>
        <v>211.836771113354</v>
      </c>
      <c r="K16" s="16" t="n">
        <f aca="false">J16+D16+F16-G16-H16</f>
        <v>201.457390080065</v>
      </c>
    </row>
    <row r="17" customFormat="false" ht="12.75" hidden="false" customHeight="false" outlineLevel="0" collapsed="false">
      <c r="A17" s="48"/>
      <c r="B17" s="0" t="n">
        <v>15</v>
      </c>
      <c r="C17" s="49" t="n">
        <f aca="false">I16</f>
        <v>183.435138274358</v>
      </c>
      <c r="D17" s="50" t="n">
        <f aca="false">C17*DiscRate/12</f>
        <v>0.871316906803201</v>
      </c>
      <c r="E17" s="50"/>
      <c r="F17" s="50"/>
      <c r="G17" s="51" t="n">
        <f aca="false">facts!$B$6/facts!$B$7</f>
        <v>11.3</v>
      </c>
      <c r="H17" s="52"/>
      <c r="I17" s="16" t="n">
        <f aca="false">C17+D17+E17+F17-G17-H17</f>
        <v>173.006455181161</v>
      </c>
      <c r="J17" s="53" t="n">
        <f aca="false">K16</f>
        <v>201.457390080065</v>
      </c>
      <c r="K17" s="16" t="n">
        <f aca="false">J17+D17+F17-G17-H17</f>
        <v>191.028706986868</v>
      </c>
    </row>
    <row r="18" customFormat="false" ht="12.75" hidden="false" customHeight="false" outlineLevel="0" collapsed="false">
      <c r="A18" s="48"/>
      <c r="B18" s="0" t="n">
        <v>16</v>
      </c>
      <c r="C18" s="49" t="n">
        <f aca="false">I17</f>
        <v>173.006455181161</v>
      </c>
      <c r="D18" s="50" t="n">
        <f aca="false">C18*DiscRate/12</f>
        <v>0.821780662110516</v>
      </c>
      <c r="E18" s="50"/>
      <c r="F18" s="50"/>
      <c r="G18" s="51" t="n">
        <f aca="false">facts!$B$6/facts!$B$7</f>
        <v>11.3</v>
      </c>
      <c r="H18" s="52"/>
      <c r="I18" s="16" t="n">
        <f aca="false">C18+D18+E18+F18-G18-H18</f>
        <v>162.528235843272</v>
      </c>
      <c r="J18" s="53" t="n">
        <f aca="false">K17</f>
        <v>191.028706986868</v>
      </c>
      <c r="K18" s="16" t="n">
        <f aca="false">J18+D18+F18-G18-H18</f>
        <v>180.550487648979</v>
      </c>
    </row>
    <row r="19" customFormat="false" ht="12.75" hidden="false" customHeight="false" outlineLevel="0" collapsed="false">
      <c r="A19" s="48"/>
      <c r="B19" s="0" t="n">
        <v>17</v>
      </c>
      <c r="C19" s="49" t="n">
        <f aca="false">I18</f>
        <v>162.528235843272</v>
      </c>
      <c r="D19" s="50" t="n">
        <f aca="false">C19*DiscRate/12</f>
        <v>0.772009120255541</v>
      </c>
      <c r="E19" s="50"/>
      <c r="F19" s="50"/>
      <c r="G19" s="51" t="n">
        <f aca="false">facts!$B$6/facts!$B$7</f>
        <v>11.3</v>
      </c>
      <c r="H19" s="52"/>
      <c r="I19" s="16" t="n">
        <f aca="false">C19+D19+E19+F19-G19-H19</f>
        <v>152.000244963527</v>
      </c>
      <c r="J19" s="53" t="n">
        <f aca="false">K18</f>
        <v>180.550487648979</v>
      </c>
      <c r="K19" s="16" t="n">
        <f aca="false">J19+D19+F19-G19-H19</f>
        <v>170.022496769234</v>
      </c>
    </row>
    <row r="20" customFormat="false" ht="12.75" hidden="false" customHeight="false" outlineLevel="0" collapsed="false">
      <c r="A20" s="48" t="n">
        <v>36130</v>
      </c>
      <c r="B20" s="0" t="n">
        <v>18</v>
      </c>
      <c r="C20" s="49" t="n">
        <f aca="false">I19</f>
        <v>152.000244963527</v>
      </c>
      <c r="D20" s="50" t="n">
        <f aca="false">C20*DiscRate/12</f>
        <v>0.722001163576755</v>
      </c>
      <c r="E20" s="50" t="n">
        <v>20.43</v>
      </c>
      <c r="F20" s="50"/>
      <c r="G20" s="51" t="n">
        <f aca="false">facts!$B$6/facts!$B$7</f>
        <v>11.3</v>
      </c>
      <c r="H20" s="51" t="n">
        <f aca="false">'facts premium'!$C$28*'facts premium'!$C$16/2</f>
        <v>9.05377460179791</v>
      </c>
      <c r="I20" s="16" t="n">
        <f aca="false">C20+D20+E20+F20-G20-H20</f>
        <v>152.798471525306</v>
      </c>
      <c r="J20" s="53" t="n">
        <f aca="false">K19</f>
        <v>170.022496769234</v>
      </c>
      <c r="K20" s="16" t="n">
        <f aca="false">J20+D20+F20-G20-H20</f>
        <v>150.390723331013</v>
      </c>
    </row>
    <row r="21" customFormat="false" ht="12.75" hidden="false" customHeight="false" outlineLevel="0" collapsed="false">
      <c r="A21" s="48"/>
      <c r="B21" s="0" t="n">
        <v>19</v>
      </c>
      <c r="C21" s="49" t="n">
        <f aca="false">I20</f>
        <v>152.798471525306</v>
      </c>
      <c r="D21" s="50" t="n">
        <f aca="false">C21*DiscRate/12</f>
        <v>0.725792739745204</v>
      </c>
      <c r="E21" s="50"/>
      <c r="F21" s="50"/>
      <c r="G21" s="51" t="n">
        <f aca="false">facts!$B$6/facts!$B$7</f>
        <v>11.3</v>
      </c>
      <c r="H21" s="52"/>
      <c r="I21" s="16" t="n">
        <f aca="false">C21+D21+E21+F21-G21-H21</f>
        <v>142.224264265051</v>
      </c>
      <c r="J21" s="53" t="n">
        <f aca="false">K20</f>
        <v>150.390723331013</v>
      </c>
      <c r="K21" s="16" t="n">
        <f aca="false">J21+D21+F21-G21-H21</f>
        <v>139.816516070759</v>
      </c>
    </row>
    <row r="22" customFormat="false" ht="12.75" hidden="false" customHeight="false" outlineLevel="0" collapsed="false">
      <c r="A22" s="48"/>
      <c r="B22" s="0" t="n">
        <v>20</v>
      </c>
      <c r="C22" s="49" t="n">
        <f aca="false">I21</f>
        <v>142.224264265051</v>
      </c>
      <c r="D22" s="50" t="n">
        <f aca="false">C22*DiscRate/12</f>
        <v>0.675565255258994</v>
      </c>
      <c r="E22" s="50"/>
      <c r="F22" s="50"/>
      <c r="G22" s="51" t="n">
        <f aca="false">facts!$B$6/facts!$B$7</f>
        <v>11.3</v>
      </c>
      <c r="H22" s="52"/>
      <c r="I22" s="16" t="n">
        <f aca="false">C22+D22+E22+F22-G22-H22</f>
        <v>131.59982952031</v>
      </c>
      <c r="J22" s="53" t="n">
        <f aca="false">K21</f>
        <v>139.816516070759</v>
      </c>
      <c r="K22" s="16" t="n">
        <f aca="false">J22+D22+F22-G22-H22</f>
        <v>129.192081326017</v>
      </c>
    </row>
    <row r="23" customFormat="false" ht="12.75" hidden="false" customHeight="false" outlineLevel="0" collapsed="false">
      <c r="A23" s="48"/>
      <c r="B23" s="0" t="n">
        <v>21</v>
      </c>
      <c r="C23" s="49" t="n">
        <f aca="false">I22</f>
        <v>131.59982952031</v>
      </c>
      <c r="D23" s="50" t="n">
        <f aca="false">C23*DiscRate/12</f>
        <v>0.625099190221474</v>
      </c>
      <c r="E23" s="50"/>
      <c r="F23" s="50"/>
      <c r="G23" s="51" t="n">
        <f aca="false">facts!$B$6/facts!$B$7</f>
        <v>11.3</v>
      </c>
      <c r="H23" s="52"/>
      <c r="I23" s="16" t="n">
        <f aca="false">C23+D23+E23+F23-G23-H23</f>
        <v>120.924928710532</v>
      </c>
      <c r="J23" s="53" t="n">
        <f aca="false">K22</f>
        <v>129.192081326017</v>
      </c>
      <c r="K23" s="16" t="n">
        <f aca="false">J23+D23+F23-G23-H23</f>
        <v>118.517180516239</v>
      </c>
    </row>
    <row r="24" customFormat="false" ht="12.75" hidden="false" customHeight="false" outlineLevel="0" collapsed="false">
      <c r="A24" s="48"/>
      <c r="B24" s="0" t="n">
        <v>22</v>
      </c>
      <c r="C24" s="49" t="n">
        <f aca="false">I23</f>
        <v>120.924928710532</v>
      </c>
      <c r="D24" s="50" t="n">
        <f aca="false">C24*DiscRate/12</f>
        <v>0.574393411375026</v>
      </c>
      <c r="E24" s="50"/>
      <c r="F24" s="50"/>
      <c r="G24" s="51" t="n">
        <f aca="false">facts!$B$6/facts!$B$7</f>
        <v>11.3</v>
      </c>
      <c r="H24" s="52"/>
      <c r="I24" s="16" t="n">
        <f aca="false">C24+D24+E24+F24-G24-H24</f>
        <v>110.199322121907</v>
      </c>
      <c r="J24" s="53" t="n">
        <f aca="false">K23</f>
        <v>118.517180516239</v>
      </c>
      <c r="K24" s="16" t="n">
        <f aca="false">J24+D24+F24-G24-H24</f>
        <v>107.791573927614</v>
      </c>
    </row>
    <row r="25" customFormat="false" ht="12.75" hidden="false" customHeight="false" outlineLevel="0" collapsed="false">
      <c r="A25" s="48"/>
      <c r="B25" s="0" t="n">
        <v>23</v>
      </c>
      <c r="C25" s="49" t="n">
        <f aca="false">I24</f>
        <v>110.199322121907</v>
      </c>
      <c r="D25" s="50" t="n">
        <f aca="false">C25*DiscRate/12</f>
        <v>0.523446780079057</v>
      </c>
      <c r="E25" s="50"/>
      <c r="F25" s="50"/>
      <c r="G25" s="51" t="n">
        <f aca="false">facts!$B$6/facts!$B$7</f>
        <v>11.3</v>
      </c>
      <c r="H25" s="52"/>
      <c r="I25" s="16" t="n">
        <f aca="false">C25+D25+E25+F25-G25-H25</f>
        <v>99.4227689019859</v>
      </c>
      <c r="J25" s="53" t="n">
        <f aca="false">K24</f>
        <v>107.791573927614</v>
      </c>
      <c r="K25" s="16" t="n">
        <f aca="false">J25+D25+F25-G25-H25</f>
        <v>97.015020707693</v>
      </c>
    </row>
    <row r="26" customFormat="false" ht="12.75" hidden="false" customHeight="false" outlineLevel="0" collapsed="false">
      <c r="A26" s="48" t="n">
        <v>36312</v>
      </c>
      <c r="B26" s="0" t="n">
        <v>24</v>
      </c>
      <c r="C26" s="49" t="n">
        <f aca="false">I25</f>
        <v>99.4227689019859</v>
      </c>
      <c r="D26" s="50" t="n">
        <f aca="false">C26*DiscRate/12</f>
        <v>0.472258152284433</v>
      </c>
      <c r="E26" s="50"/>
      <c r="F26" s="50" t="n">
        <v>0.35</v>
      </c>
      <c r="G26" s="51" t="n">
        <f aca="false">facts!$B$6/facts!$B$7</f>
        <v>11.3</v>
      </c>
      <c r="H26" s="51" t="n">
        <f aca="false">'facts premium'!$C$28*'facts premium'!$C$16/2</f>
        <v>9.05377460179791</v>
      </c>
      <c r="I26" s="16" t="n">
        <f aca="false">C26+D26+E26+F26-G26-H26</f>
        <v>79.8912524524724</v>
      </c>
      <c r="J26" s="53" t="n">
        <f aca="false">K25</f>
        <v>97.015020707693</v>
      </c>
      <c r="K26" s="16" t="n">
        <f aca="false">J26+D26+F26-G26-H26</f>
        <v>77.4835042581796</v>
      </c>
    </row>
    <row r="27" customFormat="false" ht="12.75" hidden="false" customHeight="false" outlineLevel="0" collapsed="false">
      <c r="B27" s="0" t="n">
        <v>25</v>
      </c>
      <c r="C27" s="49" t="n">
        <f aca="false">I26</f>
        <v>79.8912524524724</v>
      </c>
      <c r="D27" s="50" t="n">
        <f aca="false">C27*DiscRate/12</f>
        <v>0.379483449149244</v>
      </c>
      <c r="E27" s="50"/>
      <c r="F27" s="50"/>
      <c r="G27" s="51" t="n">
        <f aca="false">facts!$B$6/facts!$B$7</f>
        <v>11.3</v>
      </c>
      <c r="H27" s="51"/>
      <c r="I27" s="16" t="n">
        <f aca="false">C27+D27+E27+F27-G27-H27</f>
        <v>68.9707359016216</v>
      </c>
      <c r="J27" s="53" t="n">
        <f aca="false">K26</f>
        <v>77.4835042581796</v>
      </c>
      <c r="K27" s="16" t="n">
        <f aca="false">J27+D27+F27-G27-H27</f>
        <v>66.5629877073288</v>
      </c>
    </row>
    <row r="28" customFormat="false" ht="12.75" hidden="false" customHeight="false" outlineLevel="0" collapsed="false">
      <c r="A28" s="48"/>
      <c r="B28" s="0" t="n">
        <v>26</v>
      </c>
      <c r="C28" s="49" t="n">
        <f aca="false">I27</f>
        <v>68.9707359016216</v>
      </c>
      <c r="D28" s="50" t="n">
        <f aca="false">C28*DiscRate/12</f>
        <v>0.327610995532703</v>
      </c>
      <c r="E28" s="50"/>
      <c r="F28" s="50"/>
      <c r="G28" s="51" t="n">
        <f aca="false">facts!$B$6/facts!$B$7</f>
        <v>11.3</v>
      </c>
      <c r="H28" s="52"/>
      <c r="I28" s="16" t="n">
        <f aca="false">C28+D28+E28+F28-G28-H28</f>
        <v>57.9983468971544</v>
      </c>
      <c r="J28" s="53" t="n">
        <f aca="false">K27</f>
        <v>66.5629877073288</v>
      </c>
      <c r="K28" s="16" t="n">
        <f aca="false">J28+D28+F28-G28-H28</f>
        <v>55.5905987028615</v>
      </c>
    </row>
    <row r="29" customFormat="false" ht="12.75" hidden="false" customHeight="false" outlineLevel="0" collapsed="false">
      <c r="A29" s="48"/>
      <c r="B29" s="0" t="n">
        <v>27</v>
      </c>
      <c r="C29" s="49" t="n">
        <f aca="false">I28</f>
        <v>57.9983468971544</v>
      </c>
      <c r="D29" s="50" t="n">
        <f aca="false">C29*DiscRate/12</f>
        <v>0.275492147761483</v>
      </c>
      <c r="E29" s="50"/>
      <c r="F29" s="50"/>
      <c r="G29" s="51" t="n">
        <f aca="false">facts!$B$6/facts!$B$7</f>
        <v>11.3</v>
      </c>
      <c r="H29" s="52"/>
      <c r="I29" s="16" t="n">
        <f aca="false">C29+D29+E29+F29-G29-H29</f>
        <v>46.9738390449158</v>
      </c>
      <c r="J29" s="53" t="n">
        <f aca="false">K28</f>
        <v>55.5905987028615</v>
      </c>
      <c r="K29" s="16" t="n">
        <f aca="false">J29+D29+F29-G29-H29</f>
        <v>44.566090850623</v>
      </c>
    </row>
    <row r="30" customFormat="false" ht="12.75" hidden="false" customHeight="false" outlineLevel="0" collapsed="false">
      <c r="A30" s="48"/>
      <c r="B30" s="0" t="n">
        <v>28</v>
      </c>
      <c r="C30" s="49" t="n">
        <f aca="false">I29</f>
        <v>46.9738390449158</v>
      </c>
      <c r="D30" s="50" t="n">
        <f aca="false">C30*DiscRate/12</f>
        <v>0.22312573546335</v>
      </c>
      <c r="E30" s="50"/>
      <c r="F30" s="50"/>
      <c r="G30" s="51" t="n">
        <f aca="false">facts!$B$6/facts!$B$7</f>
        <v>11.3</v>
      </c>
      <c r="H30" s="52"/>
      <c r="I30" s="16" t="n">
        <f aca="false">C30+D30+E30+F30-G30-H30</f>
        <v>35.8969647803792</v>
      </c>
      <c r="J30" s="53" t="n">
        <f aca="false">K29</f>
        <v>44.566090850623</v>
      </c>
      <c r="K30" s="16" t="n">
        <f aca="false">J30+D30+F30-G30-H30</f>
        <v>33.4892165860864</v>
      </c>
    </row>
    <row r="31" customFormat="false" ht="12.75" hidden="false" customHeight="false" outlineLevel="0" collapsed="false">
      <c r="A31" s="48"/>
      <c r="B31" s="0" t="n">
        <v>29</v>
      </c>
      <c r="C31" s="49" t="n">
        <f aca="false">I30</f>
        <v>35.8969647803792</v>
      </c>
      <c r="D31" s="50" t="n">
        <f aca="false">C31*DiscRate/12</f>
        <v>0.170510582706801</v>
      </c>
      <c r="E31" s="50"/>
      <c r="F31" s="50"/>
      <c r="G31" s="51" t="n">
        <f aca="false">facts!$B$6/facts!$B$7</f>
        <v>11.3</v>
      </c>
      <c r="H31" s="52"/>
      <c r="I31" s="16" t="n">
        <f aca="false">C31+D31+E31+F31-G31-H31</f>
        <v>24.767475363086</v>
      </c>
      <c r="J31" s="53" t="n">
        <f aca="false">K30</f>
        <v>33.4892165860864</v>
      </c>
      <c r="K31" s="16" t="n">
        <f aca="false">J31+D31+F31-G31-H31</f>
        <v>22.3597271687932</v>
      </c>
    </row>
    <row r="32" customFormat="false" ht="12.75" hidden="false" customHeight="false" outlineLevel="0" collapsed="false">
      <c r="A32" s="48" t="n">
        <v>36495</v>
      </c>
      <c r="B32" s="0" t="n">
        <v>30</v>
      </c>
      <c r="C32" s="49" t="n">
        <f aca="false">I31</f>
        <v>24.767475363086</v>
      </c>
      <c r="D32" s="50" t="n">
        <f aca="false">C32*DiscRate/12</f>
        <v>0.117645507974658</v>
      </c>
      <c r="E32" s="50" t="n">
        <v>24.715328</v>
      </c>
      <c r="F32" s="50" t="n">
        <v>0.35</v>
      </c>
      <c r="G32" s="51" t="n">
        <f aca="false">facts!$B$6/facts!$B$7</f>
        <v>11.3</v>
      </c>
      <c r="H32" s="51" t="n">
        <f aca="false">'facts premium'!$C$28*'facts premium'!$C$16/2</f>
        <v>9.05377460179791</v>
      </c>
      <c r="I32" s="16" t="n">
        <f aca="false">C32+D32+E32+F32-G32-H32</f>
        <v>29.5966742692627</v>
      </c>
      <c r="J32" s="53" t="n">
        <f aca="false">K31</f>
        <v>22.3597271687932</v>
      </c>
      <c r="K32" s="16" t="n">
        <f aca="false">J32+D32+F32-G32-H32</f>
        <v>2.47359807496991</v>
      </c>
    </row>
    <row r="33" customFormat="false" ht="12.75" hidden="false" customHeight="false" outlineLevel="0" collapsed="false">
      <c r="A33" s="48" t="n">
        <v>36678</v>
      </c>
      <c r="B33" s="0" t="n">
        <v>36</v>
      </c>
      <c r="C33" s="49" t="n">
        <f aca="false">I32</f>
        <v>29.5966742692627</v>
      </c>
      <c r="D33" s="50" t="n">
        <f aca="false">C33*DiscRate/2</f>
        <v>0.843505216673988</v>
      </c>
      <c r="E33" s="50"/>
      <c r="F33" s="50" t="n">
        <v>0.35</v>
      </c>
      <c r="G33" s="51"/>
      <c r="H33" s="51" t="n">
        <f aca="false">'facts premium'!$C$28*'facts premium'!$C$16/2</f>
        <v>9.05377460179791</v>
      </c>
      <c r="I33" s="16" t="n">
        <f aca="false">C33+D33+E33+F33-G33-H33</f>
        <v>21.7364048841388</v>
      </c>
      <c r="J33" s="53" t="n">
        <f aca="false">K32</f>
        <v>2.47359807496991</v>
      </c>
      <c r="K33" s="16" t="n">
        <f aca="false">J33+D33+F33-G33-H33</f>
        <v>-5.38667131015402</v>
      </c>
    </row>
    <row r="34" customFormat="false" ht="12.75" hidden="false" customHeight="false" outlineLevel="0" collapsed="false">
      <c r="A34" s="48" t="n">
        <v>36861</v>
      </c>
      <c r="B34" s="0" t="n">
        <v>42</v>
      </c>
      <c r="C34" s="49" t="n">
        <f aca="false">I33</f>
        <v>21.7364048841388</v>
      </c>
      <c r="D34" s="50" t="n">
        <f aca="false">C34*DiscRate/2</f>
        <v>0.619487539197956</v>
      </c>
      <c r="E34" s="50" t="n">
        <v>25.091313</v>
      </c>
      <c r="F34" s="50" t="n">
        <v>0.35</v>
      </c>
      <c r="G34" s="51"/>
      <c r="H34" s="51" t="n">
        <f aca="false">'facts premium'!$C$28*'facts premium'!$C$16/2</f>
        <v>9.05377460179791</v>
      </c>
      <c r="I34" s="16" t="n">
        <f aca="false">C34+D34+E34+F34-G34-H34</f>
        <v>38.7434308215388</v>
      </c>
      <c r="J34" s="53" t="n">
        <f aca="false">K33</f>
        <v>-5.38667131015402</v>
      </c>
      <c r="K34" s="16" t="n">
        <f aca="false">J34+D34+F34-G34-H34</f>
        <v>-13.470958372754</v>
      </c>
    </row>
    <row r="35" customFormat="false" ht="12.75" hidden="false" customHeight="false" outlineLevel="0" collapsed="false">
      <c r="A35" s="48" t="n">
        <f aca="false">A34+366/2</f>
        <v>37044</v>
      </c>
      <c r="B35" s="0" t="n">
        <v>48</v>
      </c>
      <c r="C35" s="49" t="n">
        <f aca="false">I34</f>
        <v>38.7434308215388</v>
      </c>
      <c r="D35" s="50" t="n">
        <f aca="false">C35*DiscRate/2</f>
        <v>1.10418777841386</v>
      </c>
      <c r="E35" s="50"/>
      <c r="F35" s="50" t="n">
        <v>0.35</v>
      </c>
      <c r="G35" s="51"/>
      <c r="H35" s="51" t="n">
        <f aca="false">'facts premium'!$C$28*'facts premium'!$C$16/2</f>
        <v>9.05377460179791</v>
      </c>
      <c r="I35" s="16" t="n">
        <f aca="false">C35+D35+E35+F35-G35-H35</f>
        <v>31.1438439981548</v>
      </c>
      <c r="J35" s="53" t="n">
        <f aca="false">K34</f>
        <v>-13.470958372754</v>
      </c>
      <c r="K35" s="16" t="n">
        <f aca="false">J35+D35+F35-G35-H35</f>
        <v>-21.070545196138</v>
      </c>
    </row>
    <row r="36" customFormat="false" ht="12.75" hidden="false" customHeight="false" outlineLevel="0" collapsed="false">
      <c r="A36" s="48" t="n">
        <f aca="false">A35+366/2</f>
        <v>37227</v>
      </c>
      <c r="B36" s="0" t="n">
        <v>54</v>
      </c>
      <c r="C36" s="49" t="n">
        <f aca="false">I35</f>
        <v>31.1438439981548</v>
      </c>
      <c r="D36" s="50" t="n">
        <f aca="false">C36*DiscRate/2</f>
        <v>0.887599553947412</v>
      </c>
      <c r="E36" s="50" t="n">
        <v>25.48881</v>
      </c>
      <c r="F36" s="50" t="n">
        <v>0.35</v>
      </c>
      <c r="G36" s="51"/>
      <c r="H36" s="51" t="n">
        <f aca="false">'facts premium'!$C$28*'facts premium'!$C$16/2</f>
        <v>9.05377460179791</v>
      </c>
      <c r="I36" s="16" t="n">
        <f aca="false">C36+D36+E36+F36-G36-H36</f>
        <v>48.8164789503043</v>
      </c>
      <c r="J36" s="53" t="n">
        <f aca="false">K35</f>
        <v>-21.070545196138</v>
      </c>
      <c r="K36" s="16" t="n">
        <f aca="false">J36+D36+F36-G36-H36</f>
        <v>-28.8867202439885</v>
      </c>
    </row>
    <row r="37" customFormat="false" ht="12.75" hidden="false" customHeight="false" outlineLevel="0" collapsed="false">
      <c r="A37" s="48" t="n">
        <f aca="false">A36+366/2</f>
        <v>37410</v>
      </c>
      <c r="B37" s="0" t="n">
        <v>60</v>
      </c>
      <c r="C37" s="49" t="n">
        <f aca="false">I36</f>
        <v>48.8164789503043</v>
      </c>
      <c r="D37" s="50" t="n">
        <f aca="false">C37*DiscRate/2</f>
        <v>1.39126965008367</v>
      </c>
      <c r="E37" s="50"/>
      <c r="F37" s="50" t="n">
        <v>0.35</v>
      </c>
      <c r="G37" s="51"/>
      <c r="H37" s="51" t="n">
        <f aca="false">'facts premium'!$C$28*'facts premium'!$C$16/2</f>
        <v>9.05377460179791</v>
      </c>
      <c r="I37" s="16" t="n">
        <f aca="false">C37+D37+E37+F37-G37-H37</f>
        <v>41.5039739985901</v>
      </c>
      <c r="J37" s="53" t="n">
        <f aca="false">K36</f>
        <v>-28.8867202439885</v>
      </c>
      <c r="K37" s="16" t="n">
        <f aca="false">J37+D37+F37-G37-H37</f>
        <v>-36.1992251957028</v>
      </c>
    </row>
    <row r="38" customFormat="false" ht="12.75" hidden="false" customHeight="false" outlineLevel="0" collapsed="false">
      <c r="A38" s="48" t="n">
        <f aca="false">A37+366/2</f>
        <v>37593</v>
      </c>
      <c r="B38" s="0" t="n">
        <v>66</v>
      </c>
      <c r="C38" s="49" t="n">
        <f aca="false">I37</f>
        <v>41.5039739985901</v>
      </c>
      <c r="D38" s="50" t="n">
        <f aca="false">C38*DiscRate/2</f>
        <v>1.18286325895982</v>
      </c>
      <c r="E38" s="50" t="n">
        <v>26.244265</v>
      </c>
      <c r="F38" s="50" t="n">
        <v>0.35</v>
      </c>
      <c r="G38" s="51"/>
      <c r="H38" s="51" t="n">
        <f aca="false">'facts premium'!$C$28*'facts premium'!$C$16/2</f>
        <v>9.05377460179791</v>
      </c>
      <c r="I38" s="16" t="n">
        <f aca="false">C38+D38+E38+F38-G38-H38</f>
        <v>60.227327655752</v>
      </c>
      <c r="J38" s="53" t="n">
        <f aca="false">K37</f>
        <v>-36.1992251957028</v>
      </c>
      <c r="K38" s="16" t="n">
        <f aca="false">J38+D38+F38-G38-H38</f>
        <v>-43.7201365385409</v>
      </c>
    </row>
    <row r="39" customFormat="false" ht="12.75" hidden="false" customHeight="false" outlineLevel="0" collapsed="false">
      <c r="A39" s="48" t="n">
        <f aca="false">A38+366/2</f>
        <v>37776</v>
      </c>
      <c r="B39" s="0" t="n">
        <v>72</v>
      </c>
      <c r="C39" s="49" t="n">
        <f aca="false">I38</f>
        <v>60.227327655752</v>
      </c>
      <c r="D39" s="50" t="n">
        <f aca="false">C39*DiscRate/2</f>
        <v>1.71647883818893</v>
      </c>
      <c r="E39" s="50"/>
      <c r="F39" s="50" t="n">
        <v>0.35</v>
      </c>
      <c r="G39" s="51"/>
      <c r="H39" s="51" t="n">
        <f aca="false">'facts premium'!$C$28*'facts premium'!$C$16/2</f>
        <v>9.05377460179791</v>
      </c>
      <c r="I39" s="16" t="n">
        <f aca="false">C39+D39+E39+F39-G39-H39</f>
        <v>53.240031892143</v>
      </c>
      <c r="J39" s="53" t="n">
        <f aca="false">K38</f>
        <v>-43.7201365385409</v>
      </c>
      <c r="K39" s="16" t="n">
        <f aca="false">J39+D39+F39-G39-H39</f>
        <v>-50.7074323021498</v>
      </c>
    </row>
    <row r="40" customFormat="false" ht="12.75" hidden="false" customHeight="false" outlineLevel="0" collapsed="false">
      <c r="A40" s="48" t="n">
        <f aca="false">A39+366/2</f>
        <v>37959</v>
      </c>
      <c r="B40" s="0" t="n">
        <v>78</v>
      </c>
      <c r="C40" s="49" t="n">
        <f aca="false">I39</f>
        <v>53.240031892143</v>
      </c>
      <c r="D40" s="50" t="n">
        <f aca="false">C40*DiscRate/2</f>
        <v>1.51734090892607</v>
      </c>
      <c r="E40" s="50" t="n">
        <v>27.316484</v>
      </c>
      <c r="F40" s="50" t="n">
        <v>0.35</v>
      </c>
      <c r="G40" s="51"/>
      <c r="H40" s="51" t="n">
        <f aca="false">'facts premium'!$C$28*'facts premium'!$C$16/2</f>
        <v>9.05377460179791</v>
      </c>
      <c r="I40" s="16" t="n">
        <f aca="false">C40+D40+E40+F40-G40-H40</f>
        <v>73.3700821992711</v>
      </c>
      <c r="J40" s="53" t="n">
        <f aca="false">K39</f>
        <v>-50.7074323021498</v>
      </c>
      <c r="K40" s="16" t="n">
        <f aca="false">J40+D40+F40-G40-H40</f>
        <v>-57.8938659950217</v>
      </c>
    </row>
    <row r="41" customFormat="false" ht="12.75" hidden="false" customHeight="false" outlineLevel="0" collapsed="false">
      <c r="A41" s="48" t="n">
        <f aca="false">A40+366/2</f>
        <v>38142</v>
      </c>
      <c r="B41" s="0" t="n">
        <v>84</v>
      </c>
      <c r="C41" s="49" t="n">
        <f aca="false">I40</f>
        <v>73.3700821992711</v>
      </c>
      <c r="D41" s="50" t="n">
        <f aca="false">C41*DiscRate/2</f>
        <v>2.09104734267923</v>
      </c>
      <c r="E41" s="50"/>
      <c r="F41" s="50" t="n">
        <v>0.35</v>
      </c>
      <c r="G41" s="51"/>
      <c r="H41" s="51" t="n">
        <f aca="false">'facts premium'!$C$28*'facts premium'!$C$16/2</f>
        <v>9.05377460179791</v>
      </c>
      <c r="I41" s="16" t="n">
        <f aca="false">C41+D41+E41+F41-G41-H41</f>
        <v>66.7573549401524</v>
      </c>
      <c r="J41" s="53" t="n">
        <f aca="false">K40</f>
        <v>-57.8938659950217</v>
      </c>
      <c r="K41" s="16" t="n">
        <f aca="false">J41+D41+F41-G41-H41</f>
        <v>-64.5065932541404</v>
      </c>
    </row>
    <row r="42" customFormat="false" ht="12.75" hidden="false" customHeight="false" outlineLevel="0" collapsed="false">
      <c r="A42" s="48" t="n">
        <f aca="false">A41+366/2</f>
        <v>38325</v>
      </c>
      <c r="B42" s="0" t="n">
        <v>90</v>
      </c>
      <c r="C42" s="49" t="n">
        <f aca="false">I41</f>
        <v>66.7573549401524</v>
      </c>
      <c r="D42" s="50" t="n">
        <f aca="false">C42*DiscRate/2</f>
        <v>1.90258461579434</v>
      </c>
      <c r="E42" s="50" t="n">
        <v>28.432512</v>
      </c>
      <c r="F42" s="50" t="n">
        <v>0.35</v>
      </c>
      <c r="G42" s="51"/>
      <c r="H42" s="51" t="n">
        <f aca="false">'facts premium'!$C$28*'facts premium'!$C$16/2</f>
        <v>9.05377460179791</v>
      </c>
      <c r="I42" s="16" t="n">
        <f aca="false">C42+D42+E42+F42-G42-H42</f>
        <v>88.3886769541489</v>
      </c>
      <c r="J42" s="53" t="n">
        <f aca="false">K41</f>
        <v>-64.5065932541404</v>
      </c>
      <c r="K42" s="16" t="n">
        <f aca="false">J42+D42+F42-G42-H42</f>
        <v>-71.3077832401439</v>
      </c>
    </row>
    <row r="43" customFormat="false" ht="12.75" hidden="false" customHeight="false" outlineLevel="0" collapsed="false">
      <c r="A43" s="48" t="n">
        <f aca="false">A42+366/2</f>
        <v>38508</v>
      </c>
      <c r="B43" s="0" t="n">
        <v>96</v>
      </c>
      <c r="C43" s="49" t="n">
        <f aca="false">I42</f>
        <v>88.3886769541489</v>
      </c>
      <c r="D43" s="50" t="n">
        <f aca="false">C43*DiscRate/2</f>
        <v>2.51907729319324</v>
      </c>
      <c r="E43" s="50"/>
      <c r="F43" s="50" t="n">
        <v>0.35</v>
      </c>
      <c r="G43" s="51"/>
      <c r="H43" s="51" t="n">
        <f aca="false">'facts premium'!$C$28*'facts premium'!$C$16/2</f>
        <v>9.05377460179791</v>
      </c>
      <c r="I43" s="16" t="n">
        <f aca="false">C43+D43+E43+F43-G43-H43</f>
        <v>82.2039796455442</v>
      </c>
      <c r="J43" s="53" t="n">
        <f aca="false">K42</f>
        <v>-71.3077832401439</v>
      </c>
      <c r="K43" s="16" t="n">
        <f aca="false">J43+D43+F43-G43-H43</f>
        <v>-77.4924805487486</v>
      </c>
    </row>
    <row r="44" customFormat="false" ht="12.75" hidden="false" customHeight="false" outlineLevel="0" collapsed="false">
      <c r="A44" s="48" t="n">
        <f aca="false">A43+366/2</f>
        <v>38691</v>
      </c>
      <c r="B44" s="0" t="n">
        <v>102</v>
      </c>
      <c r="C44" s="49" t="n">
        <f aca="false">I43</f>
        <v>82.2039796455442</v>
      </c>
      <c r="D44" s="50" t="n">
        <f aca="false">C44*DiscRate/2</f>
        <v>2.34281341989801</v>
      </c>
      <c r="E44" s="50" t="n">
        <v>29.594139</v>
      </c>
      <c r="F44" s="50" t="n">
        <v>0.35</v>
      </c>
      <c r="G44" s="51"/>
      <c r="H44" s="51" t="n">
        <f aca="false">'facts premium'!$C$28*'facts premium'!$C$16/2</f>
        <v>9.05377460179791</v>
      </c>
      <c r="I44" s="16" t="n">
        <f aca="false">C44+D44+E44+F44-G44-H44</f>
        <v>105.437157463644</v>
      </c>
      <c r="J44" s="53" t="n">
        <f aca="false">K43</f>
        <v>-77.4924805487486</v>
      </c>
      <c r="K44" s="16" t="n">
        <f aca="false">J44+D44+F44-G44-H44</f>
        <v>-83.8534417306485</v>
      </c>
    </row>
    <row r="45" customFormat="false" ht="12.75" hidden="false" customHeight="false" outlineLevel="0" collapsed="false">
      <c r="A45" s="48" t="n">
        <f aca="false">A44+366/2</f>
        <v>38874</v>
      </c>
      <c r="B45" s="0" t="n">
        <v>108</v>
      </c>
      <c r="C45" s="49" t="n">
        <f aca="false">I44</f>
        <v>105.437157463644</v>
      </c>
      <c r="D45" s="50" t="n">
        <f aca="false">C45*DiscRate/2</f>
        <v>3.00495898771386</v>
      </c>
      <c r="E45" s="50"/>
      <c r="F45" s="50" t="n">
        <v>0.35</v>
      </c>
      <c r="G45" s="51"/>
      <c r="H45" s="51" t="n">
        <f aca="false">'facts premium'!$C$28*'facts premium'!$C$16/2</f>
        <v>9.05377460179791</v>
      </c>
      <c r="I45" s="16" t="n">
        <f aca="false">C45+D45+E45+F45-G45-H45</f>
        <v>99.7383418495602</v>
      </c>
      <c r="J45" s="53" t="n">
        <f aca="false">K44</f>
        <v>-83.8534417306485</v>
      </c>
      <c r="K45" s="16" t="n">
        <f aca="false">J45+D45+F45-G45-H45</f>
        <v>-89.5522573447326</v>
      </c>
    </row>
    <row r="46" customFormat="false" ht="12.75" hidden="false" customHeight="false" outlineLevel="0" collapsed="false">
      <c r="A46" s="48" t="n">
        <f aca="false">A45+366/2</f>
        <v>39057</v>
      </c>
      <c r="B46" s="0" t="n">
        <v>114</v>
      </c>
      <c r="C46" s="49" t="n">
        <f aca="false">I45</f>
        <v>99.7383418495602</v>
      </c>
      <c r="D46" s="50" t="n">
        <f aca="false">C46*DiscRate/2</f>
        <v>2.84254274271247</v>
      </c>
      <c r="E46" s="50" t="n">
        <v>30.803229</v>
      </c>
      <c r="F46" s="50" t="n">
        <v>0.35</v>
      </c>
      <c r="G46" s="51"/>
      <c r="H46" s="51" t="n">
        <f aca="false">'facts premium'!$C$28*'facts premium'!$C$16/2</f>
        <v>9.05377460179791</v>
      </c>
      <c r="I46" s="16" t="n">
        <f aca="false">C46+D46+E46+F46-G46-H46</f>
        <v>124.680338990475</v>
      </c>
      <c r="J46" s="53" t="n">
        <f aca="false">K45</f>
        <v>-89.5522573447326</v>
      </c>
      <c r="K46" s="16" t="n">
        <f aca="false">J46+D46+F46-G46-H46</f>
        <v>-95.413489203818</v>
      </c>
    </row>
    <row r="47" customFormat="false" ht="12.75" hidden="false" customHeight="false" outlineLevel="0" collapsed="false">
      <c r="A47" s="48" t="n">
        <f aca="false">A46+366/2</f>
        <v>39240</v>
      </c>
      <c r="B47" s="0" t="n">
        <v>120</v>
      </c>
      <c r="C47" s="49" t="n">
        <f aca="false">I46</f>
        <v>124.680338990475</v>
      </c>
      <c r="D47" s="50" t="n">
        <f aca="false">C47*DiscRate/2</f>
        <v>3.55338966122853</v>
      </c>
      <c r="E47" s="50"/>
      <c r="F47" s="50" t="n">
        <v>0.35</v>
      </c>
      <c r="G47" s="51"/>
      <c r="H47" s="51" t="n">
        <f aca="false">'facts premium'!$C$28*'facts premium'!$C$16/2</f>
        <v>9.05377460179791</v>
      </c>
      <c r="I47" s="16" t="n">
        <f aca="false">C47+D47+E47+F47-G47-H47</f>
        <v>119.529954049905</v>
      </c>
      <c r="J47" s="53" t="n">
        <f aca="false">K46</f>
        <v>-95.413489203818</v>
      </c>
      <c r="K47" s="16" t="n">
        <f aca="false">J47+D47+F47-G47-H47</f>
        <v>-100.563874144387</v>
      </c>
    </row>
    <row r="48" customFormat="false" ht="12.75" hidden="false" customHeight="false" outlineLevel="0" collapsed="false">
      <c r="A48" s="48" t="n">
        <f aca="false">A47+366/2</f>
        <v>39423</v>
      </c>
      <c r="B48" s="0" t="n">
        <v>126</v>
      </c>
      <c r="C48" s="49" t="n">
        <f aca="false">I47</f>
        <v>119.529954049905</v>
      </c>
      <c r="D48" s="50" t="n">
        <f aca="false">C48*DiscRate/2</f>
        <v>3.4066036904223</v>
      </c>
      <c r="E48" s="50" t="n">
        <v>32.06172</v>
      </c>
      <c r="F48" s="50" t="n">
        <v>0.35</v>
      </c>
      <c r="G48" s="51"/>
      <c r="H48" s="51" t="n">
        <f aca="false">'facts premium'!$C$28*'facts premium'!$C$16/2</f>
        <v>9.05377460179791</v>
      </c>
      <c r="I48" s="16" t="n">
        <f aca="false">C48+D48+E48+F48-G48-H48</f>
        <v>146.29450313853</v>
      </c>
      <c r="J48" s="53" t="n">
        <f aca="false">K47</f>
        <v>-100.563874144387</v>
      </c>
      <c r="K48" s="16" t="n">
        <f aca="false">J48+D48+F48-G48-H48</f>
        <v>-105.861045055763</v>
      </c>
    </row>
    <row r="49" customFormat="false" ht="12.75" hidden="false" customHeight="false" outlineLevel="0" collapsed="false">
      <c r="A49" s="48" t="n">
        <f aca="false">A48+366/2</f>
        <v>39606</v>
      </c>
      <c r="B49" s="0" t="n">
        <v>132</v>
      </c>
      <c r="C49" s="49" t="n">
        <f aca="false">I48</f>
        <v>146.29450313853</v>
      </c>
      <c r="D49" s="50" t="n">
        <f aca="false">C49*DiscRate/2</f>
        <v>4.1693933394481</v>
      </c>
      <c r="E49" s="50"/>
      <c r="F49" s="50" t="n">
        <v>0.35</v>
      </c>
      <c r="G49" s="51"/>
      <c r="H49" s="51" t="n">
        <f aca="false">'facts premium'!$C$28*'facts premium'!$C$16/2</f>
        <v>9.05377460179791</v>
      </c>
      <c r="I49" s="16" t="n">
        <f aca="false">C49+D49+E49+F49-G49-H49</f>
        <v>141.76012187618</v>
      </c>
      <c r="J49" s="53" t="n">
        <f aca="false">K48</f>
        <v>-105.861045055763</v>
      </c>
      <c r="K49" s="16" t="n">
        <f aca="false">J49+D49+F49-G49-H49</f>
        <v>-110.395426318113</v>
      </c>
    </row>
    <row r="50" customFormat="false" ht="12.75" hidden="false" customHeight="false" outlineLevel="0" collapsed="false">
      <c r="A50" s="48" t="n">
        <f aca="false">A49+366/2</f>
        <v>39789</v>
      </c>
      <c r="B50" s="0" t="n">
        <v>138</v>
      </c>
      <c r="C50" s="49" t="n">
        <f aca="false">I49</f>
        <v>141.76012187618</v>
      </c>
      <c r="D50" s="50" t="n">
        <f aca="false">C50*DiscRate/2</f>
        <v>4.04016347347113</v>
      </c>
      <c r="E50" s="50" t="n">
        <v>33.371633</v>
      </c>
      <c r="F50" s="50" t="n">
        <v>0.35</v>
      </c>
      <c r="G50" s="51"/>
      <c r="H50" s="51" t="n">
        <f aca="false">'facts premium'!$C$28*'facts premium'!$C$16/2</f>
        <v>9.05377460179791</v>
      </c>
      <c r="I50" s="16" t="n">
        <f aca="false">C50+D50+E50+F50-G50-H50</f>
        <v>170.468143747853</v>
      </c>
      <c r="J50" s="53" t="n">
        <f aca="false">K49</f>
        <v>-110.395426318113</v>
      </c>
      <c r="K50" s="16" t="n">
        <f aca="false">J50+D50+F50-G50-H50</f>
        <v>-115.05903744644</v>
      </c>
    </row>
    <row r="51" customFormat="false" ht="12.75" hidden="false" customHeight="false" outlineLevel="0" collapsed="false">
      <c r="A51" s="48" t="n">
        <f aca="false">A50+366/2</f>
        <v>39972</v>
      </c>
      <c r="B51" s="0" t="n">
        <v>144</v>
      </c>
      <c r="C51" s="49" t="n">
        <f aca="false">I50</f>
        <v>170.468143747853</v>
      </c>
      <c r="D51" s="50" t="n">
        <f aca="false">C51*DiscRate/2</f>
        <v>4.85834209681382</v>
      </c>
      <c r="E51" s="50"/>
      <c r="F51" s="50" t="n">
        <v>0.35</v>
      </c>
      <c r="G51" s="51"/>
      <c r="H51" s="51" t="n">
        <f aca="false">'facts premium'!$C$28*'facts premium'!$C$16/2</f>
        <v>9.05377460179791</v>
      </c>
      <c r="I51" s="16" t="n">
        <f aca="false">C51+D51+E51+F51-G51-H51</f>
        <v>166.622711242869</v>
      </c>
      <c r="J51" s="53" t="n">
        <f aca="false">K50</f>
        <v>-115.05903744644</v>
      </c>
      <c r="K51" s="16" t="n">
        <f aca="false">J51+D51+F51-G51-H51</f>
        <v>-118.904469951424</v>
      </c>
    </row>
    <row r="52" customFormat="false" ht="12.75" hidden="false" customHeight="false" outlineLevel="0" collapsed="false">
      <c r="A52" s="48" t="n">
        <f aca="false">A51+366/2</f>
        <v>40155</v>
      </c>
      <c r="B52" s="0" t="n">
        <v>150</v>
      </c>
      <c r="C52" s="49" t="n">
        <f aca="false">I51</f>
        <v>166.622711242869</v>
      </c>
      <c r="D52" s="50" t="n">
        <f aca="false">C52*DiscRate/2</f>
        <v>4.74874727042177</v>
      </c>
      <c r="E52" s="50" t="n">
        <v>34.735066</v>
      </c>
      <c r="F52" s="50" t="n">
        <v>0.35</v>
      </c>
      <c r="G52" s="51"/>
      <c r="H52" s="51" t="n">
        <f aca="false">'facts premium'!$C$28*'facts premium'!$C$16/2</f>
        <v>9.05377460179791</v>
      </c>
      <c r="I52" s="16" t="n">
        <f aca="false">C52+D52+E52+F52-G52-H52</f>
        <v>197.402749911493</v>
      </c>
      <c r="J52" s="53" t="n">
        <f aca="false">K51</f>
        <v>-118.904469951424</v>
      </c>
      <c r="K52" s="16" t="n">
        <f aca="false">J52+D52+F52-G52-H52</f>
        <v>-122.8594972828</v>
      </c>
    </row>
    <row r="53" customFormat="false" ht="12.75" hidden="false" customHeight="false" outlineLevel="0" collapsed="false">
      <c r="A53" s="48" t="n">
        <f aca="false">A52+366/2</f>
        <v>40338</v>
      </c>
      <c r="B53" s="0" t="n">
        <v>156</v>
      </c>
      <c r="C53" s="49" t="n">
        <f aca="false">I52</f>
        <v>197.402749911493</v>
      </c>
      <c r="D53" s="50" t="n">
        <f aca="false">C53*DiscRate/2</f>
        <v>5.62597837247755</v>
      </c>
      <c r="E53" s="50"/>
      <c r="F53" s="50" t="n">
        <v>0.35</v>
      </c>
      <c r="G53" s="51"/>
      <c r="H53" s="51" t="n">
        <f aca="false">'facts premium'!$C$28*'facts premium'!$C$16/2</f>
        <v>9.05377460179791</v>
      </c>
      <c r="I53" s="16" t="n">
        <f aca="false">C53+D53+E53+F53-G53-H53</f>
        <v>194.324953682173</v>
      </c>
      <c r="J53" s="53" t="n">
        <f aca="false">K52</f>
        <v>-122.8594972828</v>
      </c>
      <c r="K53" s="16" t="n">
        <f aca="false">J53+D53+F53-G53-H53</f>
        <v>-125.93729351212</v>
      </c>
    </row>
    <row r="54" customFormat="false" ht="12.75" hidden="false" customHeight="false" outlineLevel="0" collapsed="false">
      <c r="A54" s="48" t="n">
        <f aca="false">A53+366/2</f>
        <v>40521</v>
      </c>
      <c r="B54" s="0" t="n">
        <v>162</v>
      </c>
      <c r="C54" s="49" t="n">
        <f aca="false">I53</f>
        <v>194.324953682173</v>
      </c>
      <c r="D54" s="50" t="n">
        <f aca="false">C54*DiscRate/2</f>
        <v>5.53826117994192</v>
      </c>
      <c r="E54" s="50" t="n">
        <v>36.154209</v>
      </c>
      <c r="F54" s="50" t="n">
        <v>0.35</v>
      </c>
      <c r="G54" s="51"/>
      <c r="H54" s="51" t="n">
        <f aca="false">'facts premium'!$C$28*'facts premium'!$C$16/2</f>
        <v>9.05377460179791</v>
      </c>
      <c r="I54" s="16" t="n">
        <f aca="false">C54+D54+E54+F54-G54-H54</f>
        <v>227.313649260317</v>
      </c>
      <c r="J54" s="53" t="n">
        <f aca="false">K53</f>
        <v>-125.93729351212</v>
      </c>
      <c r="K54" s="16" t="n">
        <f aca="false">J54+D54+F54-G54-H54</f>
        <v>-129.102806933976</v>
      </c>
    </row>
    <row r="55" customFormat="false" ht="12.75" hidden="false" customHeight="false" outlineLevel="0" collapsed="false">
      <c r="A55" s="48" t="n">
        <f aca="false">A54+366/2</f>
        <v>40704</v>
      </c>
      <c r="B55" s="0" t="n">
        <v>168</v>
      </c>
      <c r="C55" s="49" t="n">
        <f aca="false">I54</f>
        <v>227.313649260317</v>
      </c>
      <c r="D55" s="50" t="n">
        <f aca="false">C55*DiscRate/2</f>
        <v>6.47843900391902</v>
      </c>
      <c r="E55" s="50"/>
      <c r="F55" s="50" t="n">
        <v>0.35</v>
      </c>
      <c r="G55" s="51"/>
      <c r="H55" s="51" t="n">
        <f aca="false">'facts premium'!$C$28*'facts premium'!$C$16/2</f>
        <v>9.05377460179791</v>
      </c>
      <c r="I55" s="16" t="n">
        <f aca="false">C55+D55+E55+F55-G55-H55</f>
        <v>225.088313662438</v>
      </c>
      <c r="J55" s="53" t="n">
        <f aca="false">K54</f>
        <v>-129.102806933976</v>
      </c>
      <c r="K55" s="16" t="n">
        <f aca="false">J55+D55+F55-G55-H55</f>
        <v>-131.328142531855</v>
      </c>
    </row>
    <row r="56" customFormat="false" ht="12.75" hidden="false" customHeight="false" outlineLevel="0" collapsed="false">
      <c r="A56" s="48" t="n">
        <f aca="false">A55+366/2</f>
        <v>40887</v>
      </c>
      <c r="B56" s="0" t="n">
        <v>174</v>
      </c>
      <c r="C56" s="49" t="n">
        <f aca="false">I55</f>
        <v>225.088313662438</v>
      </c>
      <c r="D56" s="50" t="n">
        <f aca="false">C56*DiscRate/2</f>
        <v>6.41501693937947</v>
      </c>
      <c r="E56" s="50" t="n">
        <v>37.631336</v>
      </c>
      <c r="F56" s="50" t="n">
        <v>0.35</v>
      </c>
      <c r="G56" s="51"/>
      <c r="H56" s="51" t="n">
        <f aca="false">'facts premium'!$C$28*'facts premium'!$C$16/2</f>
        <v>9.05377460179791</v>
      </c>
      <c r="I56" s="16" t="n">
        <f aca="false">C56+D56+E56+F56-G56-H56</f>
        <v>260.430892000019</v>
      </c>
      <c r="J56" s="53" t="n">
        <f aca="false">K55</f>
        <v>-131.328142531855</v>
      </c>
      <c r="K56" s="16" t="n">
        <f aca="false">J56+D56+F56-G56-H56</f>
        <v>-133.616900194274</v>
      </c>
    </row>
    <row r="57" customFormat="false" ht="12.75" hidden="false" customHeight="false" outlineLevel="0" collapsed="false">
      <c r="A57" s="48" t="n">
        <f aca="false">A56+366/2</f>
        <v>41070</v>
      </c>
      <c r="B57" s="0" t="n">
        <v>180</v>
      </c>
      <c r="C57" s="49" t="n">
        <f aca="false">I56</f>
        <v>260.430892000019</v>
      </c>
      <c r="D57" s="50" t="n">
        <f aca="false">C57*DiscRate/2</f>
        <v>7.42228042200055</v>
      </c>
      <c r="E57" s="50"/>
      <c r="F57" s="50" t="n">
        <v>0.35</v>
      </c>
      <c r="G57" s="51"/>
      <c r="H57" s="51" t="n">
        <f aca="false">'facts premium'!$C$28*'facts premium'!$C$16/2</f>
        <v>9.05377460179791</v>
      </c>
      <c r="I57" s="16" t="n">
        <f aca="false">C57+D57+E57+F57-G57-H57</f>
        <v>259.149397820222</v>
      </c>
      <c r="J57" s="53" t="n">
        <f aca="false">K56</f>
        <v>-133.616900194274</v>
      </c>
      <c r="K57" s="16" t="n">
        <f aca="false">J57+D57+F57-G57-H57</f>
        <v>-134.898394374071</v>
      </c>
    </row>
    <row r="58" customFormat="false" ht="12.75" hidden="false" customHeight="false" outlineLevel="0" collapsed="false">
      <c r="A58" s="48" t="n">
        <f aca="false">A57+366/2</f>
        <v>41253</v>
      </c>
      <c r="B58" s="0" t="n">
        <v>186</v>
      </c>
      <c r="C58" s="49" t="n">
        <f aca="false">I57</f>
        <v>259.149397820222</v>
      </c>
      <c r="D58" s="50" t="n">
        <f aca="false">C58*DiscRate/2</f>
        <v>7.38575783787633</v>
      </c>
      <c r="E58" s="50" t="n">
        <v>39.168818</v>
      </c>
      <c r="F58" s="50" t="n">
        <v>0.35</v>
      </c>
      <c r="G58" s="51"/>
      <c r="H58" s="51" t="n">
        <f aca="false">'facts premium'!$C$28*'facts premium'!$C$16/2</f>
        <v>9.05377460179791</v>
      </c>
      <c r="I58" s="16" t="n">
        <f aca="false">C58+D58+E58+F58-G58-H58</f>
        <v>297.0001990563</v>
      </c>
      <c r="J58" s="53" t="n">
        <f aca="false">K57</f>
        <v>-134.898394374071</v>
      </c>
      <c r="K58" s="16" t="n">
        <f aca="false">J58+D58+F58-G58-H58</f>
        <v>-136.216411137993</v>
      </c>
    </row>
    <row r="59" customFormat="false" ht="12.75" hidden="false" customHeight="false" outlineLevel="0" collapsed="false">
      <c r="A59" s="48" t="n">
        <f aca="false">A58+366/2</f>
        <v>41436</v>
      </c>
      <c r="B59" s="0" t="n">
        <v>192</v>
      </c>
      <c r="C59" s="49" t="n">
        <f aca="false">I58</f>
        <v>297.0001990563</v>
      </c>
      <c r="D59" s="50" t="n">
        <f aca="false">C59*DiscRate/2</f>
        <v>8.46450567310456</v>
      </c>
      <c r="E59" s="50"/>
      <c r="F59" s="50" t="n">
        <v>0.35</v>
      </c>
      <c r="G59" s="51"/>
      <c r="H59" s="51" t="n">
        <f aca="false">'facts premium'!$C$28*'facts premium'!$C$16/2</f>
        <v>9.05377460179791</v>
      </c>
      <c r="I59" s="16" t="n">
        <f aca="false">C59+D59+E59+F59-G59-H59</f>
        <v>296.760930127607</v>
      </c>
      <c r="J59" s="53" t="n">
        <f aca="false">K58</f>
        <v>-136.216411137993</v>
      </c>
      <c r="K59" s="16" t="n">
        <f aca="false">J59+D59+F59-G59-H59</f>
        <v>-136.455680066686</v>
      </c>
    </row>
    <row r="60" customFormat="false" ht="12.75" hidden="false" customHeight="false" outlineLevel="0" collapsed="false">
      <c r="A60" s="48" t="n">
        <f aca="false">A59+366/2</f>
        <v>41619</v>
      </c>
      <c r="B60" s="0" t="n">
        <v>198</v>
      </c>
      <c r="C60" s="49" t="n">
        <f aca="false">I59</f>
        <v>296.760930127607</v>
      </c>
      <c r="D60" s="50" t="n">
        <f aca="false">C60*DiscRate/2</f>
        <v>8.4576865086368</v>
      </c>
      <c r="E60" s="50" t="n">
        <v>40.769121</v>
      </c>
      <c r="F60" s="50" t="n">
        <v>0.35</v>
      </c>
      <c r="G60" s="51"/>
      <c r="H60" s="51" t="n">
        <f aca="false">'facts premium'!$C$28*'facts premium'!$C$16/2</f>
        <v>9.05377460179791</v>
      </c>
      <c r="I60" s="16" t="n">
        <f aca="false">C60+D60+E60+F60-G60-H60</f>
        <v>337.283963034446</v>
      </c>
      <c r="J60" s="53" t="n">
        <f aca="false">K59</f>
        <v>-136.455680066686</v>
      </c>
      <c r="K60" s="16" t="n">
        <f aca="false">J60+D60+F60-G60-H60</f>
        <v>-136.701768159847</v>
      </c>
    </row>
    <row r="61" customFormat="false" ht="12.75" hidden="false" customHeight="false" outlineLevel="0" collapsed="false">
      <c r="A61" s="48" t="n">
        <f aca="false">A60+366/2</f>
        <v>41802</v>
      </c>
      <c r="B61" s="0" t="n">
        <v>204</v>
      </c>
      <c r="C61" s="49" t="n">
        <f aca="false">I60</f>
        <v>337.283963034446</v>
      </c>
      <c r="D61" s="50" t="n">
        <f aca="false">C61*DiscRate/2</f>
        <v>9.61259294648171</v>
      </c>
      <c r="E61" s="50"/>
      <c r="F61" s="50" t="n">
        <v>0.35</v>
      </c>
      <c r="G61" s="51"/>
      <c r="H61" s="51" t="n">
        <f aca="false">'facts premium'!$C$28*'facts premium'!$C$16/2</f>
        <v>9.05377460179791</v>
      </c>
      <c r="I61" s="16" t="n">
        <f aca="false">C61+D61+E61+F61-G61-H61</f>
        <v>338.19278137913</v>
      </c>
      <c r="J61" s="53" t="n">
        <f aca="false">K60</f>
        <v>-136.701768159847</v>
      </c>
      <c r="K61" s="16" t="n">
        <f aca="false">J61+D61+F61-G61-H61</f>
        <v>-135.792949815163</v>
      </c>
    </row>
    <row r="62" customFormat="false" ht="12.75" hidden="false" customHeight="false" outlineLevel="0" collapsed="false">
      <c r="A62" s="48" t="n">
        <f aca="false">A61+366/2</f>
        <v>41985</v>
      </c>
      <c r="B62" s="0" t="n">
        <v>210</v>
      </c>
      <c r="C62" s="49" t="n">
        <f aca="false">I61</f>
        <v>338.19278137913</v>
      </c>
      <c r="D62" s="50" t="n">
        <f aca="false">C62*DiscRate/2</f>
        <v>9.6384942693052</v>
      </c>
      <c r="E62" s="50" t="n">
        <v>42.434811</v>
      </c>
      <c r="F62" s="50" t="n">
        <v>0.35</v>
      </c>
      <c r="G62" s="51"/>
      <c r="H62" s="51" t="n">
        <f aca="false">'facts premium'!$C$28*'facts premium'!$C$16/2</f>
        <v>9.05377460179791</v>
      </c>
      <c r="I62" s="16" t="n">
        <f aca="false">C62+D62+E62+F62-G62-H62</f>
        <v>381.562312046637</v>
      </c>
      <c r="J62" s="53" t="n">
        <f aca="false">K61</f>
        <v>-135.792949815163</v>
      </c>
      <c r="K62" s="16" t="n">
        <f aca="false">J62+D62+F62-G62-H62</f>
        <v>-134.858230147656</v>
      </c>
    </row>
    <row r="63" customFormat="false" ht="12.75" hidden="false" customHeight="false" outlineLevel="0" collapsed="false">
      <c r="A63" s="48" t="n">
        <f aca="false">A62+366/2</f>
        <v>42168</v>
      </c>
      <c r="B63" s="0" t="n">
        <v>216</v>
      </c>
      <c r="C63" s="49" t="n">
        <f aca="false">I62</f>
        <v>381.562312046637</v>
      </c>
      <c r="D63" s="50" t="n">
        <f aca="false">C63*DiscRate/2</f>
        <v>10.8745258933292</v>
      </c>
      <c r="E63" s="50"/>
      <c r="F63" s="50" t="n">
        <v>0.35</v>
      </c>
      <c r="G63" s="51"/>
      <c r="H63" s="51" t="n">
        <f aca="false">'facts premium'!$C$28*'facts premium'!$C$16/2</f>
        <v>9.05377460179791</v>
      </c>
      <c r="I63" s="16" t="n">
        <f aca="false">C63+D63+E63+F63-G63-H63</f>
        <v>383.733063338168</v>
      </c>
      <c r="J63" s="53" t="n">
        <f aca="false">K62</f>
        <v>-134.858230147656</v>
      </c>
      <c r="K63" s="16" t="n">
        <f aca="false">J63+D63+F63-G63-H63</f>
        <v>-132.687478856125</v>
      </c>
    </row>
    <row r="64" customFormat="false" ht="12.75" hidden="false" customHeight="false" outlineLevel="0" collapsed="false">
      <c r="A64" s="48" t="n">
        <f aca="false">A63+366/2</f>
        <v>42351</v>
      </c>
      <c r="B64" s="0" t="n">
        <v>222</v>
      </c>
      <c r="C64" s="49" t="n">
        <f aca="false">I63</f>
        <v>383.733063338168</v>
      </c>
      <c r="D64" s="50" t="n">
        <f aca="false">C64*DiscRate/2</f>
        <v>10.9363923051378</v>
      </c>
      <c r="E64" s="50" t="n">
        <v>44.168561</v>
      </c>
      <c r="F64" s="50" t="n">
        <v>0.35</v>
      </c>
      <c r="G64" s="51"/>
      <c r="H64" s="51" t="n">
        <f aca="false">'facts premium'!$C$28*'facts premium'!$C$16/2</f>
        <v>9.05377460179791</v>
      </c>
      <c r="I64" s="16" t="n">
        <f aca="false">C64+D64+E64+F64-G64-H64</f>
        <v>430.134242041508</v>
      </c>
      <c r="J64" s="53" t="n">
        <f aca="false">K63</f>
        <v>-132.687478856125</v>
      </c>
      <c r="K64" s="16" t="n">
        <f aca="false">J64+D64+F64-G64-H64</f>
        <v>-130.454861152785</v>
      </c>
    </row>
    <row r="65" customFormat="false" ht="12.75" hidden="false" customHeight="false" outlineLevel="0" collapsed="false">
      <c r="A65" s="48" t="n">
        <f aca="false">A64+366/2</f>
        <v>42534</v>
      </c>
      <c r="B65" s="0" t="n">
        <v>228</v>
      </c>
      <c r="C65" s="49" t="n">
        <f aca="false">I64</f>
        <v>430.134242041508</v>
      </c>
      <c r="D65" s="50" t="n">
        <f aca="false">C65*DiscRate/2</f>
        <v>12.258825898183</v>
      </c>
      <c r="E65" s="50"/>
      <c r="F65" s="50" t="n">
        <v>0.35</v>
      </c>
      <c r="G65" s="51"/>
      <c r="H65" s="51" t="n">
        <f aca="false">'facts premium'!$C$28*'facts premium'!$C$16/2</f>
        <v>9.05377460179791</v>
      </c>
      <c r="I65" s="16" t="n">
        <f aca="false">C65+D65+E65+F65-G65-H65</f>
        <v>433.689293337893</v>
      </c>
      <c r="J65" s="53" t="n">
        <f aca="false">K64</f>
        <v>-130.454861152785</v>
      </c>
      <c r="K65" s="16" t="n">
        <f aca="false">J65+D65+F65-G65-H65</f>
        <v>-126.8998098564</v>
      </c>
    </row>
    <row r="66" customFormat="false" ht="12.75" hidden="false" customHeight="false" outlineLevel="0" collapsed="false">
      <c r="A66" s="48" t="n">
        <f aca="false">A65+366/2</f>
        <v>42717</v>
      </c>
      <c r="B66" s="0" t="n">
        <v>234</v>
      </c>
      <c r="C66" s="49" t="n">
        <f aca="false">I65</f>
        <v>433.689293337893</v>
      </c>
      <c r="D66" s="50" t="n">
        <f aca="false">C66*DiscRate/2</f>
        <v>12.36014486013</v>
      </c>
      <c r="E66" s="50"/>
      <c r="F66" s="50" t="n">
        <v>0.35</v>
      </c>
      <c r="G66" s="50"/>
      <c r="H66" s="51" t="n">
        <v>9.31</v>
      </c>
      <c r="I66" s="16" t="n">
        <f aca="false">C66+D66+E66+F66-G66-H66</f>
        <v>437.089438198023</v>
      </c>
      <c r="J66" s="53" t="n">
        <f aca="false">K65</f>
        <v>-126.8998098564</v>
      </c>
      <c r="K66" s="16" t="n">
        <f aca="false">J66+D66+F66-G66-H66</f>
        <v>-123.49966499627</v>
      </c>
    </row>
    <row r="67" customFormat="false" ht="12.75" hidden="false" customHeight="false" outlineLevel="0" collapsed="false">
      <c r="A67" s="48" t="n">
        <f aca="false">A66+366/2</f>
        <v>42900</v>
      </c>
      <c r="B67" s="0" t="n">
        <v>240</v>
      </c>
      <c r="C67" s="49" t="n">
        <f aca="false">I66</f>
        <v>437.089438198023</v>
      </c>
      <c r="D67" s="50" t="n">
        <f aca="false">C67*DiscRate/2</f>
        <v>12.4570489886437</v>
      </c>
      <c r="E67" s="50"/>
      <c r="F67" s="50" t="n">
        <v>0.35</v>
      </c>
      <c r="G67" s="51"/>
      <c r="H67" s="51" t="n">
        <f aca="false">9.31+'facts premium'!C28</f>
        <v>326.986301817471</v>
      </c>
      <c r="I67" s="16" t="n">
        <f aca="false">C67+D67+E67+F67-G67-H67</f>
        <v>122.910185369197</v>
      </c>
      <c r="J67" s="53" t="n">
        <f aca="false">K66</f>
        <v>-123.49966499627</v>
      </c>
      <c r="K67" s="16" t="n">
        <f aca="false">J67+D67+F67-G67-H67</f>
        <v>-437.678917825097</v>
      </c>
    </row>
    <row r="68" customFormat="false" ht="12.75" hidden="false" customHeight="false" outlineLevel="0" collapsed="false">
      <c r="A68" s="48" t="n">
        <f aca="false">A67+366/2</f>
        <v>43083</v>
      </c>
      <c r="B68" s="0" t="n">
        <v>246</v>
      </c>
      <c r="C68" s="49" t="n">
        <f aca="false">I67</f>
        <v>122.910185369197</v>
      </c>
      <c r="D68" s="50" t="n">
        <f aca="false">C68*DiscRate/2</f>
        <v>3.5029402830221</v>
      </c>
      <c r="E68" s="50"/>
      <c r="F68" s="50" t="n">
        <v>0.35</v>
      </c>
      <c r="G68" s="51"/>
      <c r="H68" s="52"/>
      <c r="I68" s="16" t="n">
        <f aca="false">C68+D68+E68+F68-G68-H68</f>
        <v>126.763125652219</v>
      </c>
      <c r="J68" s="53" t="n">
        <f aca="false">K67</f>
        <v>-437.678917825097</v>
      </c>
      <c r="K68" s="16" t="n">
        <f aca="false">J68+D68+F68-G68-H68</f>
        <v>-433.825977542075</v>
      </c>
    </row>
    <row r="69" customFormat="false" ht="12.75" hidden="false" customHeight="false" outlineLevel="0" collapsed="false">
      <c r="A69" s="48" t="n">
        <f aca="false">A68+366/2</f>
        <v>43266</v>
      </c>
      <c r="B69" s="0" t="n">
        <v>252</v>
      </c>
      <c r="C69" s="49" t="n">
        <f aca="false">I68</f>
        <v>126.763125652219</v>
      </c>
      <c r="D69" s="50" t="n">
        <f aca="false">C69*DiscRate/2</f>
        <v>3.61274908108823</v>
      </c>
      <c r="E69" s="50"/>
      <c r="F69" s="50" t="n">
        <v>0.35</v>
      </c>
      <c r="G69" s="51"/>
      <c r="H69" s="52"/>
      <c r="I69" s="16" t="n">
        <f aca="false">C69+D69+E69+F69-G69-H69</f>
        <v>130.725874733307</v>
      </c>
      <c r="J69" s="53" t="n">
        <f aca="false">K68</f>
        <v>-433.825977542075</v>
      </c>
      <c r="K69" s="16" t="n">
        <f aca="false">J69+D69+F69-G69-H69</f>
        <v>-429.863228460986</v>
      </c>
    </row>
    <row r="70" customFormat="false" ht="12.75" hidden="false" customHeight="false" outlineLevel="0" collapsed="false">
      <c r="A70" s="48" t="n">
        <f aca="false">A69+366/2</f>
        <v>43449</v>
      </c>
      <c r="B70" s="0" t="n">
        <v>258</v>
      </c>
      <c r="C70" s="49" t="n">
        <f aca="false">I69</f>
        <v>130.725874733307</v>
      </c>
      <c r="D70" s="50" t="n">
        <f aca="false">C70*DiscRate/2</f>
        <v>3.72568742989925</v>
      </c>
      <c r="E70" s="50"/>
      <c r="F70" s="50" t="n">
        <v>0.35</v>
      </c>
      <c r="G70" s="51"/>
      <c r="H70" s="52"/>
      <c r="I70" s="16" t="n">
        <f aca="false">C70+D70+E70+F70-G70-H70</f>
        <v>134.801562163206</v>
      </c>
      <c r="J70" s="53" t="n">
        <f aca="false">K69</f>
        <v>-429.863228460986</v>
      </c>
      <c r="K70" s="16" t="n">
        <f aca="false">J70+D70+F70-G70-H70</f>
        <v>-425.787541031087</v>
      </c>
    </row>
    <row r="71" customFormat="false" ht="12.75" hidden="false" customHeight="false" outlineLevel="0" collapsed="false">
      <c r="A71" s="48"/>
      <c r="C71" s="49"/>
      <c r="D71" s="50"/>
      <c r="E71" s="50"/>
      <c r="F71" s="50"/>
      <c r="G71" s="51"/>
      <c r="H71" s="52"/>
      <c r="I71" s="16"/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409722222222222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0" width="9.14"/>
    <col collapsed="false" customWidth="true" hidden="false" outlineLevel="0" max="8" min="8" style="41" width="9.14"/>
    <col collapsed="false" customWidth="true" hidden="false" outlineLevel="0" max="10" min="10" style="42" width="9.14"/>
  </cols>
  <sheetData>
    <row r="1" customFormat="false" ht="12.75" hidden="false" customHeight="false" outlineLevel="0" collapsed="false">
      <c r="D1" s="43" t="n">
        <f aca="false">'facts premium'!DiscRate6</f>
        <v>0.0563</v>
      </c>
      <c r="J1" s="44" t="s">
        <v>43</v>
      </c>
      <c r="K1" s="44"/>
    </row>
    <row r="2" customFormat="false" ht="12.75" hidden="false" customHeight="false" outlineLevel="0" collapsed="false">
      <c r="B2" s="31" t="s">
        <v>44</v>
      </c>
      <c r="C2" s="40" t="s">
        <v>45</v>
      </c>
      <c r="D2" s="45" t="s">
        <v>46</v>
      </c>
      <c r="E2" s="45" t="s">
        <v>47</v>
      </c>
      <c r="F2" s="45" t="s">
        <v>48</v>
      </c>
      <c r="G2" s="46" t="s">
        <v>49</v>
      </c>
      <c r="H2" s="46" t="s">
        <v>50</v>
      </c>
      <c r="I2" s="31" t="s">
        <v>51</v>
      </c>
      <c r="J2" s="47" t="s">
        <v>45</v>
      </c>
      <c r="K2" s="36" t="s">
        <v>51</v>
      </c>
      <c r="L2" s="36"/>
      <c r="M2" s="45"/>
      <c r="N2" s="36"/>
    </row>
    <row r="3" customFormat="false" ht="12.75" hidden="false" customHeight="false" outlineLevel="0" collapsed="false">
      <c r="A3" s="48" t="n">
        <v>35582</v>
      </c>
      <c r="B3" s="0" t="n">
        <v>1</v>
      </c>
      <c r="C3" s="49" t="n">
        <f aca="false">'facts premium'!H28</f>
        <v>300.13778682579</v>
      </c>
      <c r="D3" s="50" t="n">
        <f aca="false">C3*DiscRate6/12</f>
        <v>1.61324060418862</v>
      </c>
      <c r="E3" s="50" t="n">
        <f aca="false">'tax rev'!C3/1000000</f>
        <v>4.73144637682226</v>
      </c>
      <c r="F3" s="50"/>
      <c r="G3" s="51" t="n">
        <f aca="false">facts!$B$6/facts!$B$7</f>
        <v>11.3</v>
      </c>
      <c r="H3" s="51"/>
      <c r="I3" s="16" t="n">
        <f aca="false">C3+D3+E3+F3-G3-H3</f>
        <v>295.182473806801</v>
      </c>
      <c r="J3" s="42" t="n">
        <v>360.32</v>
      </c>
      <c r="K3" s="16" t="n">
        <f aca="false">J3+D3+F3-G3-H3</f>
        <v>350.633240604189</v>
      </c>
    </row>
    <row r="4" customFormat="false" ht="12.75" hidden="false" customHeight="false" outlineLevel="0" collapsed="false">
      <c r="A4" s="48"/>
      <c r="B4" s="0" t="n">
        <v>2</v>
      </c>
      <c r="C4" s="49" t="n">
        <f aca="false">I3</f>
        <v>295.182473806801</v>
      </c>
      <c r="D4" s="50" t="n">
        <f aca="false">C4*DiscRate/12</f>
        <v>1.4021167505823</v>
      </c>
      <c r="E4" s="50"/>
      <c r="F4" s="50"/>
      <c r="G4" s="51" t="n">
        <f aca="false">facts!$B$6/facts!$B$7</f>
        <v>11.3</v>
      </c>
      <c r="H4" s="52"/>
      <c r="I4" s="16" t="n">
        <f aca="false">C4+D4+E4+F4-G4-H4</f>
        <v>285.284590557383</v>
      </c>
      <c r="J4" s="53" t="n">
        <f aca="false">K3</f>
        <v>350.633240604189</v>
      </c>
      <c r="K4" s="16" t="n">
        <f aca="false">J4+D4+F4-G4-H4</f>
        <v>340.735357354771</v>
      </c>
    </row>
    <row r="5" customFormat="false" ht="12.75" hidden="false" customHeight="false" outlineLevel="0" collapsed="false">
      <c r="A5" s="48"/>
      <c r="B5" s="0" t="n">
        <v>3</v>
      </c>
      <c r="C5" s="49" t="n">
        <f aca="false">I4</f>
        <v>285.284590557383</v>
      </c>
      <c r="D5" s="50" t="n">
        <f aca="false">C5*DiscRate/12</f>
        <v>1.35510180514757</v>
      </c>
      <c r="E5" s="50"/>
      <c r="F5" s="50"/>
      <c r="G5" s="51" t="n">
        <f aca="false">facts!$B$6/facts!$B$7</f>
        <v>11.3</v>
      </c>
      <c r="H5" s="52"/>
      <c r="I5" s="16" t="n">
        <f aca="false">C5+D5+E5+F5-G5-H5</f>
        <v>275.339692362531</v>
      </c>
      <c r="J5" s="53" t="n">
        <f aca="false">K4</f>
        <v>340.735357354771</v>
      </c>
      <c r="K5" s="16" t="n">
        <f aca="false">J5+D5+F5-G5-H5</f>
        <v>330.790459159918</v>
      </c>
    </row>
    <row r="6" customFormat="false" ht="12.75" hidden="false" customHeight="false" outlineLevel="0" collapsed="false">
      <c r="A6" s="48"/>
      <c r="B6" s="0" t="n">
        <v>4</v>
      </c>
      <c r="C6" s="49" t="n">
        <f aca="false">I5</f>
        <v>275.339692362531</v>
      </c>
      <c r="D6" s="50" t="n">
        <f aca="false">C6*DiscRate/12</f>
        <v>1.30786353872202</v>
      </c>
      <c r="E6" s="50"/>
      <c r="F6" s="50"/>
      <c r="G6" s="51" t="n">
        <f aca="false">facts!$B$6/facts!$B$7</f>
        <v>11.3</v>
      </c>
      <c r="H6" s="52"/>
      <c r="I6" s="16" t="n">
        <f aca="false">C6+D6+E6+F6-G6-H6</f>
        <v>265.347555901253</v>
      </c>
      <c r="J6" s="53" t="n">
        <f aca="false">K5</f>
        <v>330.790459159918</v>
      </c>
      <c r="K6" s="16" t="n">
        <f aca="false">J6+D6+F6-G6-H6</f>
        <v>320.79832269864</v>
      </c>
    </row>
    <row r="7" customFormat="false" ht="12.75" hidden="false" customHeight="false" outlineLevel="0" collapsed="false">
      <c r="A7" s="48"/>
      <c r="B7" s="0" t="n">
        <v>5</v>
      </c>
      <c r="C7" s="49" t="n">
        <f aca="false">I6</f>
        <v>265.347555901253</v>
      </c>
      <c r="D7" s="50" t="n">
        <f aca="false">C7*DiscRate/12</f>
        <v>1.26040089053095</v>
      </c>
      <c r="E7" s="50"/>
      <c r="F7" s="50"/>
      <c r="G7" s="51" t="n">
        <f aca="false">facts!$B$6/facts!$B$7</f>
        <v>11.3</v>
      </c>
      <c r="H7" s="52"/>
      <c r="I7" s="16" t="n">
        <f aca="false">C7+D7+E7+F7-G7-H7</f>
        <v>255.307956791784</v>
      </c>
      <c r="J7" s="53" t="n">
        <f aca="false">K6</f>
        <v>320.79832269864</v>
      </c>
      <c r="K7" s="16" t="n">
        <f aca="false">J7+D7+F7-G7-H7</f>
        <v>310.758723589171</v>
      </c>
    </row>
    <row r="8" customFormat="false" ht="12.75" hidden="false" customHeight="false" outlineLevel="0" collapsed="false">
      <c r="A8" s="48" t="n">
        <v>35765</v>
      </c>
      <c r="B8" s="0" t="n">
        <v>6</v>
      </c>
      <c r="C8" s="49" t="n">
        <f aca="false">I7</f>
        <v>255.307956791784</v>
      </c>
      <c r="D8" s="50" t="n">
        <f aca="false">C8*DiscRate/12</f>
        <v>1.21271279476097</v>
      </c>
      <c r="E8" s="50" t="n">
        <v>19.89</v>
      </c>
      <c r="F8" s="50"/>
      <c r="G8" s="51" t="n">
        <f aca="false">facts!$B$6/facts!$B$7</f>
        <v>11.3</v>
      </c>
      <c r="H8" s="51" t="n">
        <f aca="false">'facts premium'!$C$28*'facts premium'!$H$16/2</f>
        <v>10.2450607336134</v>
      </c>
      <c r="I8" s="16" t="n">
        <f aca="false">C8+D8+E8+F8-G8-H8</f>
        <v>254.865608852931</v>
      </c>
      <c r="J8" s="53" t="n">
        <f aca="false">K7</f>
        <v>310.758723589171</v>
      </c>
      <c r="K8" s="16" t="n">
        <f aca="false">J8+D8+F8-G8-H8</f>
        <v>290.426375650319</v>
      </c>
    </row>
    <row r="9" customFormat="false" ht="12.75" hidden="false" customHeight="false" outlineLevel="0" collapsed="false">
      <c r="A9" s="48"/>
      <c r="B9" s="0" t="n">
        <v>7</v>
      </c>
      <c r="C9" s="49" t="n">
        <f aca="false">I8</f>
        <v>254.865608852931</v>
      </c>
      <c r="D9" s="50" t="n">
        <f aca="false">C9*DiscRate/12</f>
        <v>1.21061164205142</v>
      </c>
      <c r="E9" s="50"/>
      <c r="F9" s="50"/>
      <c r="G9" s="51" t="n">
        <f aca="false">facts!$B$6/facts!$B$7</f>
        <v>11.3</v>
      </c>
      <c r="H9" s="52"/>
      <c r="I9" s="16" t="n">
        <f aca="false">C9+D9+E9+F9-G9-H9</f>
        <v>244.776220494982</v>
      </c>
      <c r="J9" s="53" t="n">
        <f aca="false">K8</f>
        <v>290.426375650319</v>
      </c>
      <c r="K9" s="16" t="n">
        <f aca="false">J9+D9+F9-G9-H9</f>
        <v>280.33698729237</v>
      </c>
    </row>
    <row r="10" customFormat="false" ht="12.75" hidden="false" customHeight="false" outlineLevel="0" collapsed="false">
      <c r="A10" s="48"/>
      <c r="B10" s="0" t="n">
        <v>8</v>
      </c>
      <c r="C10" s="49" t="n">
        <f aca="false">I9</f>
        <v>244.776220494982</v>
      </c>
      <c r="D10" s="50" t="n">
        <f aca="false">C10*DiscRate/12</f>
        <v>1.16268704735117</v>
      </c>
      <c r="E10" s="50"/>
      <c r="F10" s="50"/>
      <c r="G10" s="51" t="n">
        <f aca="false">facts!$B$6/facts!$B$7</f>
        <v>11.3</v>
      </c>
      <c r="H10" s="52"/>
      <c r="I10" s="16" t="n">
        <f aca="false">C10+D10+E10+F10-G10-H10</f>
        <v>234.638907542334</v>
      </c>
      <c r="J10" s="53" t="n">
        <f aca="false">K9</f>
        <v>280.33698729237</v>
      </c>
      <c r="K10" s="16" t="n">
        <f aca="false">J10+D10+F10-G10-H10</f>
        <v>270.199674339722</v>
      </c>
    </row>
    <row r="11" customFormat="false" ht="12.75" hidden="false" customHeight="false" outlineLevel="0" collapsed="false">
      <c r="A11" s="48"/>
      <c r="B11" s="0" t="n">
        <v>9</v>
      </c>
      <c r="C11" s="49" t="n">
        <f aca="false">I10</f>
        <v>234.638907542334</v>
      </c>
      <c r="D11" s="50" t="n">
        <f aca="false">C11*DiscRate/12</f>
        <v>1.11453481082608</v>
      </c>
      <c r="E11" s="50"/>
      <c r="F11" s="50"/>
      <c r="G11" s="51" t="n">
        <f aca="false">facts!$B$6/facts!$B$7</f>
        <v>11.3</v>
      </c>
      <c r="H11" s="52"/>
      <c r="I11" s="16" t="n">
        <f aca="false">C11+D11+E11+F11-G11-H11</f>
        <v>224.45344235316</v>
      </c>
      <c r="J11" s="53" t="n">
        <f aca="false">K10</f>
        <v>270.199674339722</v>
      </c>
      <c r="K11" s="16" t="n">
        <f aca="false">J11+D11+F11-G11-H11</f>
        <v>260.014209150548</v>
      </c>
    </row>
    <row r="12" customFormat="false" ht="12.75" hidden="false" customHeight="false" outlineLevel="0" collapsed="false">
      <c r="A12" s="48"/>
      <c r="B12" s="0" t="n">
        <v>10</v>
      </c>
      <c r="C12" s="49" t="n">
        <f aca="false">I11</f>
        <v>224.45344235316</v>
      </c>
      <c r="D12" s="50" t="n">
        <f aca="false">C12*DiscRate/12</f>
        <v>1.06615385117751</v>
      </c>
      <c r="E12" s="50"/>
      <c r="F12" s="50"/>
      <c r="G12" s="51" t="n">
        <f aca="false">facts!$B$6/facts!$B$7</f>
        <v>11.3</v>
      </c>
      <c r="H12" s="52"/>
      <c r="I12" s="16" t="n">
        <f aca="false">C12+D12+E12+F12-G12-H12</f>
        <v>214.219596204337</v>
      </c>
      <c r="J12" s="53" t="n">
        <f aca="false">K11</f>
        <v>260.014209150548</v>
      </c>
      <c r="K12" s="16" t="n">
        <f aca="false">J12+D12+F12-G12-H12</f>
        <v>249.780363001725</v>
      </c>
    </row>
    <row r="13" customFormat="false" ht="12.75" hidden="false" customHeight="false" outlineLevel="0" collapsed="false">
      <c r="A13" s="48"/>
      <c r="B13" s="0" t="n">
        <v>11</v>
      </c>
      <c r="C13" s="49" t="n">
        <f aca="false">I12</f>
        <v>214.219596204337</v>
      </c>
      <c r="D13" s="50" t="n">
        <f aca="false">C13*DiscRate/12</f>
        <v>1.0175430819706</v>
      </c>
      <c r="E13" s="50"/>
      <c r="F13" s="50"/>
      <c r="G13" s="51" t="n">
        <f aca="false">facts!$B$6/facts!$B$7</f>
        <v>11.3</v>
      </c>
      <c r="H13" s="52"/>
      <c r="I13" s="16" t="n">
        <f aca="false">C13+D13+E13+F13-G13-H13</f>
        <v>203.937139286308</v>
      </c>
      <c r="J13" s="53" t="n">
        <f aca="false">K12</f>
        <v>249.780363001725</v>
      </c>
      <c r="K13" s="16" t="n">
        <f aca="false">J13+D13+F13-G13-H13</f>
        <v>239.497906083696</v>
      </c>
    </row>
    <row r="14" customFormat="false" ht="12.75" hidden="false" customHeight="false" outlineLevel="0" collapsed="false">
      <c r="A14" s="48" t="n">
        <v>35947</v>
      </c>
      <c r="B14" s="0" t="n">
        <v>12</v>
      </c>
      <c r="C14" s="49" t="n">
        <f aca="false">I13</f>
        <v>203.937139286308</v>
      </c>
      <c r="D14" s="50" t="n">
        <f aca="false">C14*DiscRate/12</f>
        <v>0.968701411609962</v>
      </c>
      <c r="E14" s="50"/>
      <c r="F14" s="50"/>
      <c r="G14" s="51" t="n">
        <f aca="false">facts!$B$6/facts!$B$7</f>
        <v>11.3</v>
      </c>
      <c r="H14" s="51" t="n">
        <f aca="false">'facts premium'!$C$28*'facts premium'!$H$16/2</f>
        <v>10.2450607336134</v>
      </c>
      <c r="I14" s="16" t="n">
        <f aca="false">C14+D14+E14+F14-G14-H14</f>
        <v>183.360779964304</v>
      </c>
      <c r="J14" s="53" t="n">
        <f aca="false">K13</f>
        <v>239.497906083696</v>
      </c>
      <c r="K14" s="16" t="n">
        <f aca="false">J14+D14+F14-G14-H14</f>
        <v>218.921546761692</v>
      </c>
    </row>
    <row r="15" customFormat="false" ht="12.75" hidden="false" customHeight="false" outlineLevel="0" collapsed="false">
      <c r="B15" s="0" t="n">
        <v>13</v>
      </c>
      <c r="C15" s="49" t="n">
        <f aca="false">I14</f>
        <v>183.360779964304</v>
      </c>
      <c r="D15" s="50" t="n">
        <f aca="false">C15*DiscRate/12</f>
        <v>0.870963704830446</v>
      </c>
      <c r="E15" s="50"/>
      <c r="F15" s="50"/>
      <c r="G15" s="51" t="n">
        <f aca="false">facts!$B$6/facts!$B$7</f>
        <v>11.3</v>
      </c>
      <c r="H15" s="51"/>
      <c r="I15" s="16" t="n">
        <f aca="false">C15+D15+E15+F15-G15-H15</f>
        <v>172.931743669135</v>
      </c>
      <c r="J15" s="53" t="n">
        <f aca="false">K14</f>
        <v>218.921546761692</v>
      </c>
      <c r="K15" s="16" t="n">
        <f aca="false">J15+D15+F15-G15-H15</f>
        <v>208.492510466523</v>
      </c>
    </row>
    <row r="16" customFormat="false" ht="12.75" hidden="false" customHeight="false" outlineLevel="0" collapsed="false">
      <c r="A16" s="48"/>
      <c r="B16" s="0" t="n">
        <v>14</v>
      </c>
      <c r="C16" s="49" t="n">
        <f aca="false">I15</f>
        <v>172.931743669135</v>
      </c>
      <c r="D16" s="50" t="n">
        <f aca="false">C16*DiscRate/12</f>
        <v>0.82142578242839</v>
      </c>
      <c r="E16" s="50"/>
      <c r="F16" s="50"/>
      <c r="G16" s="51" t="n">
        <f aca="false">facts!$B$6/facts!$B$7</f>
        <v>11.3</v>
      </c>
      <c r="H16" s="52"/>
      <c r="I16" s="16" t="n">
        <f aca="false">C16+D16+E16+F16-G16-H16</f>
        <v>162.453169451563</v>
      </c>
      <c r="J16" s="53" t="n">
        <f aca="false">K15</f>
        <v>208.492510466523</v>
      </c>
      <c r="K16" s="16" t="n">
        <f aca="false">J16+D16+F16-G16-H16</f>
        <v>198.013936248951</v>
      </c>
    </row>
    <row r="17" customFormat="false" ht="12.75" hidden="false" customHeight="false" outlineLevel="0" collapsed="false">
      <c r="A17" s="48"/>
      <c r="B17" s="0" t="n">
        <v>15</v>
      </c>
      <c r="C17" s="49" t="n">
        <f aca="false">I16</f>
        <v>162.453169451563</v>
      </c>
      <c r="D17" s="50" t="n">
        <f aca="false">C17*DiscRate/12</f>
        <v>0.771652554894925</v>
      </c>
      <c r="E17" s="50"/>
      <c r="F17" s="50"/>
      <c r="G17" s="51" t="n">
        <f aca="false">facts!$B$6/facts!$B$7</f>
        <v>11.3</v>
      </c>
      <c r="H17" s="52"/>
      <c r="I17" s="16" t="n">
        <f aca="false">C17+D17+E17+F17-G17-H17</f>
        <v>151.924822006458</v>
      </c>
      <c r="J17" s="53" t="n">
        <f aca="false">K16</f>
        <v>198.013936248951</v>
      </c>
      <c r="K17" s="16" t="n">
        <f aca="false">J17+D17+F17-G17-H17</f>
        <v>187.485588803846</v>
      </c>
    </row>
    <row r="18" customFormat="false" ht="12.75" hidden="false" customHeight="false" outlineLevel="0" collapsed="false">
      <c r="A18" s="48"/>
      <c r="B18" s="0" t="n">
        <v>16</v>
      </c>
      <c r="C18" s="49" t="n">
        <f aca="false">I17</f>
        <v>151.924822006458</v>
      </c>
      <c r="D18" s="50" t="n">
        <f aca="false">C18*DiscRate/12</f>
        <v>0.721642904530676</v>
      </c>
      <c r="E18" s="50"/>
      <c r="F18" s="50"/>
      <c r="G18" s="51" t="n">
        <f aca="false">facts!$B$6/facts!$B$7</f>
        <v>11.3</v>
      </c>
      <c r="H18" s="52"/>
      <c r="I18" s="16" t="n">
        <f aca="false">C18+D18+E18+F18-G18-H18</f>
        <v>141.346464910989</v>
      </c>
      <c r="J18" s="53" t="n">
        <f aca="false">K17</f>
        <v>187.485588803846</v>
      </c>
      <c r="K18" s="16" t="n">
        <f aca="false">J18+D18+F18-G18-H18</f>
        <v>176.907231708377</v>
      </c>
    </row>
    <row r="19" customFormat="false" ht="12.75" hidden="false" customHeight="false" outlineLevel="0" collapsed="false">
      <c r="A19" s="48"/>
      <c r="B19" s="0" t="n">
        <v>17</v>
      </c>
      <c r="C19" s="49" t="n">
        <f aca="false">I18</f>
        <v>141.346464910989</v>
      </c>
      <c r="D19" s="50" t="n">
        <f aca="false">C19*DiscRate/12</f>
        <v>0.671395708327196</v>
      </c>
      <c r="E19" s="50"/>
      <c r="F19" s="50"/>
      <c r="G19" s="51" t="n">
        <f aca="false">facts!$B$6/facts!$B$7</f>
        <v>11.3</v>
      </c>
      <c r="H19" s="52"/>
      <c r="I19" s="16" t="n">
        <f aca="false">C19+D19+E19+F19-G19-H19</f>
        <v>130.717860619316</v>
      </c>
      <c r="J19" s="53" t="n">
        <f aca="false">K18</f>
        <v>176.907231708377</v>
      </c>
      <c r="K19" s="16" t="n">
        <f aca="false">J19+D19+F19-G19-H19</f>
        <v>166.278627416704</v>
      </c>
    </row>
    <row r="20" customFormat="false" ht="12.75" hidden="false" customHeight="false" outlineLevel="0" collapsed="false">
      <c r="A20" s="48" t="n">
        <v>36130</v>
      </c>
      <c r="B20" s="0" t="n">
        <v>18</v>
      </c>
      <c r="C20" s="49" t="n">
        <f aca="false">I19</f>
        <v>130.717860619316</v>
      </c>
      <c r="D20" s="50" t="n">
        <f aca="false">C20*DiscRate/12</f>
        <v>0.620909837941751</v>
      </c>
      <c r="E20" s="50" t="n">
        <v>20.43</v>
      </c>
      <c r="F20" s="50"/>
      <c r="G20" s="51" t="n">
        <f aca="false">facts!$B$6/facts!$B$7</f>
        <v>11.3</v>
      </c>
      <c r="H20" s="51" t="n">
        <f aca="false">'facts premium'!$C$28*'facts premium'!$H$16/2</f>
        <v>10.2450607336134</v>
      </c>
      <c r="I20" s="16" t="n">
        <f aca="false">C20+D20+E20+F20-G20-H20</f>
        <v>130.223709723644</v>
      </c>
      <c r="J20" s="53" t="n">
        <f aca="false">K19</f>
        <v>166.278627416704</v>
      </c>
      <c r="K20" s="16" t="n">
        <f aca="false">J20+D20+F20-G20-H20</f>
        <v>145.354476521032</v>
      </c>
    </row>
    <row r="21" customFormat="false" ht="12.75" hidden="false" customHeight="false" outlineLevel="0" collapsed="false">
      <c r="A21" s="48"/>
      <c r="B21" s="0" t="n">
        <v>19</v>
      </c>
      <c r="C21" s="49" t="n">
        <f aca="false">I20</f>
        <v>130.223709723644</v>
      </c>
      <c r="D21" s="50" t="n">
        <f aca="false">C21*DiscRate/12</f>
        <v>0.61856262118731</v>
      </c>
      <c r="E21" s="50"/>
      <c r="F21" s="50"/>
      <c r="G21" s="51" t="n">
        <f aca="false">facts!$B$6/facts!$B$7</f>
        <v>11.3</v>
      </c>
      <c r="H21" s="52"/>
      <c r="I21" s="16" t="n">
        <f aca="false">C21+D21+E21+F21-G21-H21</f>
        <v>119.542272344832</v>
      </c>
      <c r="J21" s="53" t="n">
        <f aca="false">K20</f>
        <v>145.354476521032</v>
      </c>
      <c r="K21" s="16" t="n">
        <f aca="false">J21+D21+F21-G21-H21</f>
        <v>134.673039142219</v>
      </c>
    </row>
    <row r="22" customFormat="false" ht="12.75" hidden="false" customHeight="false" outlineLevel="0" collapsed="false">
      <c r="A22" s="48"/>
      <c r="B22" s="0" t="n">
        <v>20</v>
      </c>
      <c r="C22" s="49" t="n">
        <f aca="false">I21</f>
        <v>119.542272344832</v>
      </c>
      <c r="D22" s="50" t="n">
        <f aca="false">C22*DiscRate/12</f>
        <v>0.56782579363795</v>
      </c>
      <c r="E22" s="50"/>
      <c r="F22" s="50"/>
      <c r="G22" s="51" t="n">
        <f aca="false">facts!$B$6/facts!$B$7</f>
        <v>11.3</v>
      </c>
      <c r="H22" s="52"/>
      <c r="I22" s="16" t="n">
        <f aca="false">C22+D22+E22+F22-G22-H22</f>
        <v>108.81009813847</v>
      </c>
      <c r="J22" s="53" t="n">
        <f aca="false">K21</f>
        <v>134.673039142219</v>
      </c>
      <c r="K22" s="16" t="n">
        <f aca="false">J22+D22+F22-G22-H22</f>
        <v>123.940864935857</v>
      </c>
    </row>
    <row r="23" customFormat="false" ht="12.75" hidden="false" customHeight="false" outlineLevel="0" collapsed="false">
      <c r="A23" s="48"/>
      <c r="B23" s="0" t="n">
        <v>21</v>
      </c>
      <c r="C23" s="49" t="n">
        <f aca="false">I22</f>
        <v>108.81009813847</v>
      </c>
      <c r="D23" s="50" t="n">
        <f aca="false">C23*DiscRate/12</f>
        <v>0.51684796615773</v>
      </c>
      <c r="E23" s="50"/>
      <c r="F23" s="50"/>
      <c r="G23" s="51" t="n">
        <f aca="false">facts!$B$6/facts!$B$7</f>
        <v>11.3</v>
      </c>
      <c r="H23" s="52"/>
      <c r="I23" s="16" t="n">
        <f aca="false">C23+D23+E23+F23-G23-H23</f>
        <v>98.0269461046272</v>
      </c>
      <c r="J23" s="53" t="n">
        <f aca="false">K22</f>
        <v>123.940864935857</v>
      </c>
      <c r="K23" s="16" t="n">
        <f aca="false">J23+D23+F23-G23-H23</f>
        <v>113.157712902015</v>
      </c>
    </row>
    <row r="24" customFormat="false" ht="12.75" hidden="false" customHeight="false" outlineLevel="0" collapsed="false">
      <c r="A24" s="48"/>
      <c r="B24" s="0" t="n">
        <v>22</v>
      </c>
      <c r="C24" s="49" t="n">
        <f aca="false">I23</f>
        <v>98.0269461046272</v>
      </c>
      <c r="D24" s="50" t="n">
        <f aca="false">C24*DiscRate/12</f>
        <v>0.465627993996979</v>
      </c>
      <c r="E24" s="50"/>
      <c r="F24" s="50"/>
      <c r="G24" s="51" t="n">
        <f aca="false">facts!$B$6/facts!$B$7</f>
        <v>11.3</v>
      </c>
      <c r="H24" s="52"/>
      <c r="I24" s="16" t="n">
        <f aca="false">C24+D24+E24+F24-G24-H24</f>
        <v>87.1925740986242</v>
      </c>
      <c r="J24" s="53" t="n">
        <f aca="false">K23</f>
        <v>113.157712902015</v>
      </c>
      <c r="K24" s="16" t="n">
        <f aca="false">J24+D24+F24-G24-H24</f>
        <v>102.323340896012</v>
      </c>
    </row>
    <row r="25" customFormat="false" ht="12.75" hidden="false" customHeight="false" outlineLevel="0" collapsed="false">
      <c r="A25" s="48"/>
      <c r="B25" s="0" t="n">
        <v>23</v>
      </c>
      <c r="C25" s="49" t="n">
        <f aca="false">I24</f>
        <v>87.1925740986242</v>
      </c>
      <c r="D25" s="50" t="n">
        <f aca="false">C25*DiscRate/12</f>
        <v>0.414164726968465</v>
      </c>
      <c r="E25" s="50"/>
      <c r="F25" s="50"/>
      <c r="G25" s="51" t="n">
        <f aca="false">facts!$B$6/facts!$B$7</f>
        <v>11.3</v>
      </c>
      <c r="H25" s="52"/>
      <c r="I25" s="16" t="n">
        <f aca="false">C25+D25+E25+F25-G25-H25</f>
        <v>76.3067388255927</v>
      </c>
      <c r="J25" s="53" t="n">
        <f aca="false">K24</f>
        <v>102.323340896012</v>
      </c>
      <c r="K25" s="16" t="n">
        <f aca="false">J25+D25+F25-G25-H25</f>
        <v>91.4375056229805</v>
      </c>
    </row>
    <row r="26" customFormat="false" ht="12.75" hidden="false" customHeight="false" outlineLevel="0" collapsed="false">
      <c r="A26" s="48" t="n">
        <v>36312</v>
      </c>
      <c r="B26" s="0" t="n">
        <v>24</v>
      </c>
      <c r="C26" s="49" t="n">
        <f aca="false">I25</f>
        <v>76.3067388255927</v>
      </c>
      <c r="D26" s="50" t="n">
        <f aca="false">C26*DiscRate/12</f>
        <v>0.362457009421565</v>
      </c>
      <c r="E26" s="50"/>
      <c r="F26" s="50" t="n">
        <v>0.35</v>
      </c>
      <c r="G26" s="51" t="n">
        <f aca="false">facts!$B$6/facts!$B$7</f>
        <v>11.3</v>
      </c>
      <c r="H26" s="51" t="n">
        <f aca="false">'facts premium'!$C$28*'facts premium'!$H$16/2</f>
        <v>10.2450607336134</v>
      </c>
      <c r="I26" s="16" t="n">
        <f aca="false">C26+D26+E26+F26-G26-H26</f>
        <v>55.4741351014008</v>
      </c>
      <c r="J26" s="53" t="n">
        <f aca="false">K25</f>
        <v>91.4375056229805</v>
      </c>
      <c r="K26" s="16" t="n">
        <f aca="false">J26+D26+F26-G26-H26</f>
        <v>70.6049018987886</v>
      </c>
    </row>
    <row r="27" customFormat="false" ht="12.75" hidden="false" customHeight="false" outlineLevel="0" collapsed="false">
      <c r="B27" s="0" t="n">
        <v>25</v>
      </c>
      <c r="C27" s="49" t="n">
        <f aca="false">I26</f>
        <v>55.4741351014008</v>
      </c>
      <c r="D27" s="50" t="n">
        <f aca="false">C27*DiscRate/12</f>
        <v>0.263502141731654</v>
      </c>
      <c r="E27" s="50"/>
      <c r="F27" s="50"/>
      <c r="G27" s="51" t="n">
        <f aca="false">facts!$B$6/facts!$B$7</f>
        <v>11.3</v>
      </c>
      <c r="H27" s="51"/>
      <c r="I27" s="16" t="n">
        <f aca="false">C27+D27+E27+F27-G27-H27</f>
        <v>44.4376372431325</v>
      </c>
      <c r="J27" s="53" t="n">
        <f aca="false">K26</f>
        <v>70.6049018987886</v>
      </c>
      <c r="K27" s="16" t="n">
        <f aca="false">J27+D27+F27-G27-H27</f>
        <v>59.5684040405203</v>
      </c>
    </row>
    <row r="28" customFormat="false" ht="12.75" hidden="false" customHeight="false" outlineLevel="0" collapsed="false">
      <c r="A28" s="48"/>
      <c r="B28" s="0" t="n">
        <v>26</v>
      </c>
      <c r="C28" s="49" t="n">
        <f aca="false">I27</f>
        <v>44.4376372431325</v>
      </c>
      <c r="D28" s="50" t="n">
        <f aca="false">C28*DiscRate/12</f>
        <v>0.211078776904879</v>
      </c>
      <c r="E28" s="50"/>
      <c r="F28" s="50"/>
      <c r="G28" s="51" t="n">
        <f aca="false">facts!$B$6/facts!$B$7</f>
        <v>11.3</v>
      </c>
      <c r="H28" s="52"/>
      <c r="I28" s="16" t="n">
        <f aca="false">C28+D28+E28+F28-G28-H28</f>
        <v>33.3487160200373</v>
      </c>
      <c r="J28" s="53" t="n">
        <f aca="false">K27</f>
        <v>59.5684040405203</v>
      </c>
      <c r="K28" s="16" t="n">
        <f aca="false">J28+D28+F28-G28-H28</f>
        <v>48.4794828174252</v>
      </c>
    </row>
    <row r="29" customFormat="false" ht="12.75" hidden="false" customHeight="false" outlineLevel="0" collapsed="false">
      <c r="A29" s="48"/>
      <c r="B29" s="0" t="n">
        <v>27</v>
      </c>
      <c r="C29" s="49" t="n">
        <f aca="false">I28</f>
        <v>33.3487160200373</v>
      </c>
      <c r="D29" s="50" t="n">
        <f aca="false">C29*DiscRate/12</f>
        <v>0.158406401095177</v>
      </c>
      <c r="E29" s="50"/>
      <c r="F29" s="50"/>
      <c r="G29" s="51" t="n">
        <f aca="false">facts!$B$6/facts!$B$7</f>
        <v>11.3</v>
      </c>
      <c r="H29" s="52"/>
      <c r="I29" s="16" t="n">
        <f aca="false">C29+D29+E29+F29-G29-H29</f>
        <v>22.2071224211325</v>
      </c>
      <c r="J29" s="53" t="n">
        <f aca="false">K28</f>
        <v>48.4794828174252</v>
      </c>
      <c r="K29" s="16" t="n">
        <f aca="false">J29+D29+F29-G29-H29</f>
        <v>37.3378892185203</v>
      </c>
    </row>
    <row r="30" customFormat="false" ht="12.75" hidden="false" customHeight="false" outlineLevel="0" collapsed="false">
      <c r="A30" s="48"/>
      <c r="B30" s="0" t="n">
        <v>28</v>
      </c>
      <c r="C30" s="49" t="n">
        <f aca="false">I29</f>
        <v>22.2071224211325</v>
      </c>
      <c r="D30" s="50" t="n">
        <f aca="false">C30*DiscRate/12</f>
        <v>0.105483831500379</v>
      </c>
      <c r="E30" s="50"/>
      <c r="F30" s="50"/>
      <c r="G30" s="51" t="n">
        <f aca="false">facts!$B$6/facts!$B$7</f>
        <v>11.3</v>
      </c>
      <c r="H30" s="52"/>
      <c r="I30" s="16" t="n">
        <f aca="false">C30+D30+E30+F30-G30-H30</f>
        <v>11.0126062526329</v>
      </c>
      <c r="J30" s="53" t="n">
        <f aca="false">K29</f>
        <v>37.3378892185203</v>
      </c>
      <c r="K30" s="16" t="n">
        <f aca="false">J30+D30+F30-G30-H30</f>
        <v>26.1433730500207</v>
      </c>
    </row>
    <row r="31" customFormat="false" ht="12.75" hidden="false" customHeight="false" outlineLevel="0" collapsed="false">
      <c r="A31" s="48"/>
      <c r="B31" s="0" t="n">
        <v>29</v>
      </c>
      <c r="C31" s="49" t="n">
        <f aca="false">I30</f>
        <v>11.0126062526329</v>
      </c>
      <c r="D31" s="50" t="n">
        <f aca="false">C31*DiscRate/12</f>
        <v>0.0523098797000062</v>
      </c>
      <c r="E31" s="50"/>
      <c r="F31" s="50"/>
      <c r="G31" s="51" t="n">
        <f aca="false">facts!$B$6/facts!$B$7</f>
        <v>11.3</v>
      </c>
      <c r="H31" s="52"/>
      <c r="I31" s="16" t="n">
        <f aca="false">C31+D31+E31+F31-G31-H31</f>
        <v>-0.235083867667109</v>
      </c>
      <c r="J31" s="53" t="n">
        <f aca="false">K30</f>
        <v>26.1433730500207</v>
      </c>
      <c r="K31" s="16" t="n">
        <f aca="false">J31+D31+F31-G31-H31</f>
        <v>14.8956829297207</v>
      </c>
    </row>
    <row r="32" customFormat="false" ht="12.75" hidden="false" customHeight="false" outlineLevel="0" collapsed="false">
      <c r="A32" s="48" t="n">
        <v>36495</v>
      </c>
      <c r="B32" s="0" t="n">
        <v>30</v>
      </c>
      <c r="C32" s="49" t="n">
        <f aca="false">I31</f>
        <v>-0.235083867667109</v>
      </c>
      <c r="D32" s="50" t="n">
        <f aca="false">C32*DiscRate/12</f>
        <v>-0.00111664837141877</v>
      </c>
      <c r="E32" s="50" t="n">
        <v>24.715328</v>
      </c>
      <c r="F32" s="50" t="n">
        <v>0.35</v>
      </c>
      <c r="G32" s="51" t="n">
        <f aca="false">facts!$B$6/facts!$B$7</f>
        <v>11.3</v>
      </c>
      <c r="H32" s="51" t="n">
        <f aca="false">'facts premium'!$C$28*'facts premium'!$H$16/2</f>
        <v>10.2450607336134</v>
      </c>
      <c r="I32" s="16" t="n">
        <f aca="false">C32+D32+E32+F32-G32-H32</f>
        <v>3.28406675034804</v>
      </c>
      <c r="J32" s="53" t="n">
        <f aca="false">K31</f>
        <v>14.8956829297207</v>
      </c>
      <c r="K32" s="16" t="n">
        <f aca="false">J32+D32+F32-G32-H32</f>
        <v>-6.30049445226412</v>
      </c>
    </row>
    <row r="33" customFormat="false" ht="12.75" hidden="false" customHeight="false" outlineLevel="0" collapsed="false">
      <c r="A33" s="48" t="n">
        <v>36678</v>
      </c>
      <c r="B33" s="0" t="n">
        <v>36</v>
      </c>
      <c r="C33" s="49" t="n">
        <f aca="false">I32</f>
        <v>3.28406675034804</v>
      </c>
      <c r="D33" s="50" t="n">
        <f aca="false">C33*DiscRate/2</f>
        <v>0.0935959023849193</v>
      </c>
      <c r="E33" s="50"/>
      <c r="F33" s="50" t="n">
        <v>0.35</v>
      </c>
      <c r="G33" s="51"/>
      <c r="H33" s="51" t="n">
        <f aca="false">'facts premium'!$C$28*'facts premium'!$H$16/2</f>
        <v>10.2450607336134</v>
      </c>
      <c r="I33" s="16" t="n">
        <f aca="false">C33+D33+E33+F33-G33-H33</f>
        <v>-6.51739808088046</v>
      </c>
      <c r="J33" s="53" t="n">
        <f aca="false">K32</f>
        <v>-6.30049445226412</v>
      </c>
      <c r="K33" s="16" t="n">
        <f aca="false">J33+D33+F33-G33-H33</f>
        <v>-16.1019592834926</v>
      </c>
    </row>
    <row r="34" customFormat="false" ht="12.75" hidden="false" customHeight="false" outlineLevel="0" collapsed="false">
      <c r="A34" s="48" t="n">
        <v>36861</v>
      </c>
      <c r="B34" s="0" t="n">
        <v>42</v>
      </c>
      <c r="C34" s="49" t="n">
        <f aca="false">I33</f>
        <v>-6.51739808088046</v>
      </c>
      <c r="D34" s="50" t="n">
        <f aca="false">C34*DiscRate/2</f>
        <v>-0.185745845305093</v>
      </c>
      <c r="E34" s="50" t="n">
        <v>25.091313</v>
      </c>
      <c r="F34" s="50" t="n">
        <v>0.35</v>
      </c>
      <c r="G34" s="51"/>
      <c r="H34" s="51" t="n">
        <f aca="false">'facts premium'!$C$28*'facts premium'!$H$16/2</f>
        <v>10.2450607336134</v>
      </c>
      <c r="I34" s="16" t="n">
        <f aca="false">C34+D34+E34+F34-G34-H34</f>
        <v>8.49310834020102</v>
      </c>
      <c r="J34" s="53" t="n">
        <f aca="false">K33</f>
        <v>-16.1019592834926</v>
      </c>
      <c r="K34" s="16" t="n">
        <f aca="false">J34+D34+F34-G34-H34</f>
        <v>-26.1827658624111</v>
      </c>
    </row>
    <row r="35" customFormat="false" ht="12.75" hidden="false" customHeight="false" outlineLevel="0" collapsed="false">
      <c r="A35" s="48" t="n">
        <f aca="false">A34+366/2</f>
        <v>37044</v>
      </c>
      <c r="B35" s="0" t="n">
        <v>48</v>
      </c>
      <c r="C35" s="49" t="n">
        <f aca="false">I34</f>
        <v>8.49310834020102</v>
      </c>
      <c r="D35" s="50" t="n">
        <f aca="false">C35*DiscRate/2</f>
        <v>0.242053587695729</v>
      </c>
      <c r="E35" s="50"/>
      <c r="F35" s="50" t="n">
        <v>0.35</v>
      </c>
      <c r="G35" s="51"/>
      <c r="H35" s="51" t="n">
        <f aca="false">'facts premium'!$C$28*'facts premium'!$H$16/2</f>
        <v>10.2450607336134</v>
      </c>
      <c r="I35" s="16" t="n">
        <f aca="false">C35+D35+E35+F35-G35-H35</f>
        <v>-1.15989880571668</v>
      </c>
      <c r="J35" s="53" t="n">
        <f aca="false">K34</f>
        <v>-26.1827658624111</v>
      </c>
      <c r="K35" s="16" t="n">
        <f aca="false">J35+D35+F35-G35-H35</f>
        <v>-35.8357730083288</v>
      </c>
    </row>
    <row r="36" customFormat="false" ht="12.75" hidden="false" customHeight="false" outlineLevel="0" collapsed="false">
      <c r="A36" s="48" t="n">
        <f aca="false">A35+366/2</f>
        <v>37227</v>
      </c>
      <c r="B36" s="0" t="n">
        <v>54</v>
      </c>
      <c r="C36" s="49" t="n">
        <f aca="false">I35</f>
        <v>-1.15989880571668</v>
      </c>
      <c r="D36" s="50" t="n">
        <f aca="false">C36*DiscRate/2</f>
        <v>-0.0330571159629254</v>
      </c>
      <c r="E36" s="50" t="n">
        <v>25.48881</v>
      </c>
      <c r="F36" s="50" t="n">
        <v>0.35</v>
      </c>
      <c r="G36" s="51"/>
      <c r="H36" s="51" t="n">
        <f aca="false">'facts premium'!$C$28*'facts premium'!$H$16/2</f>
        <v>10.2450607336134</v>
      </c>
      <c r="I36" s="16" t="n">
        <f aca="false">C36+D36+E36+F36-G36-H36</f>
        <v>14.400793344707</v>
      </c>
      <c r="J36" s="53" t="n">
        <f aca="false">K35</f>
        <v>-35.8357730083288</v>
      </c>
      <c r="K36" s="16" t="n">
        <f aca="false">J36+D36+F36-G36-H36</f>
        <v>-45.7638908579052</v>
      </c>
    </row>
    <row r="37" customFormat="false" ht="12.75" hidden="false" customHeight="false" outlineLevel="0" collapsed="false">
      <c r="A37" s="48" t="n">
        <f aca="false">A36+366/2</f>
        <v>37410</v>
      </c>
      <c r="B37" s="0" t="n">
        <v>60</v>
      </c>
      <c r="C37" s="49" t="n">
        <f aca="false">I36</f>
        <v>14.400793344707</v>
      </c>
      <c r="D37" s="50" t="n">
        <f aca="false">C37*DiscRate/2</f>
        <v>0.410422610324149</v>
      </c>
      <c r="E37" s="50"/>
      <c r="F37" s="50" t="n">
        <v>0.35</v>
      </c>
      <c r="G37" s="51"/>
      <c r="H37" s="51" t="n">
        <f aca="false">'facts premium'!$C$28*'facts premium'!$H$16/2</f>
        <v>10.2450607336134</v>
      </c>
      <c r="I37" s="16" t="n">
        <f aca="false">C37+D37+E37+F37-G37-H37</f>
        <v>4.91615522141769</v>
      </c>
      <c r="J37" s="53" t="n">
        <f aca="false">K36</f>
        <v>-45.7638908579052</v>
      </c>
      <c r="K37" s="16" t="n">
        <f aca="false">J37+D37+F37-G37-H37</f>
        <v>-55.2485289811945</v>
      </c>
    </row>
    <row r="38" customFormat="false" ht="12.75" hidden="false" customHeight="false" outlineLevel="0" collapsed="false">
      <c r="A38" s="48" t="n">
        <f aca="false">A37+366/2</f>
        <v>37593</v>
      </c>
      <c r="B38" s="0" t="n">
        <v>66</v>
      </c>
      <c r="C38" s="49" t="n">
        <f aca="false">I37</f>
        <v>4.91615522141769</v>
      </c>
      <c r="D38" s="50" t="n">
        <f aca="false">C38*DiscRate/2</f>
        <v>0.140110423810404</v>
      </c>
      <c r="E38" s="50" t="n">
        <v>26.244265</v>
      </c>
      <c r="F38" s="50" t="n">
        <v>0.35</v>
      </c>
      <c r="G38" s="51"/>
      <c r="H38" s="51" t="n">
        <f aca="false">'facts premium'!$C$28*'facts premium'!$H$16/2</f>
        <v>10.2450607336134</v>
      </c>
      <c r="I38" s="16" t="n">
        <f aca="false">C38+D38+E38+F38-G38-H38</f>
        <v>21.4054699116147</v>
      </c>
      <c r="J38" s="53" t="n">
        <f aca="false">K37</f>
        <v>-55.2485289811945</v>
      </c>
      <c r="K38" s="16" t="n">
        <f aca="false">J38+D38+F38-G38-H38</f>
        <v>-65.0034792909975</v>
      </c>
    </row>
    <row r="39" customFormat="false" ht="12.75" hidden="false" customHeight="false" outlineLevel="0" collapsed="false">
      <c r="A39" s="48" t="n">
        <f aca="false">A38+366/2</f>
        <v>37776</v>
      </c>
      <c r="B39" s="0" t="n">
        <v>72</v>
      </c>
      <c r="C39" s="49" t="n">
        <f aca="false">I38</f>
        <v>21.4054699116147</v>
      </c>
      <c r="D39" s="50" t="n">
        <f aca="false">C39*DiscRate/2</f>
        <v>0.610055892481018</v>
      </c>
      <c r="E39" s="50"/>
      <c r="F39" s="50" t="n">
        <v>0.35</v>
      </c>
      <c r="G39" s="51"/>
      <c r="H39" s="51" t="n">
        <f aca="false">'facts premium'!$C$28*'facts premium'!$H$16/2</f>
        <v>10.2450607336134</v>
      </c>
      <c r="I39" s="16" t="n">
        <f aca="false">C39+D39+E39+F39-G39-H39</f>
        <v>12.1204650704823</v>
      </c>
      <c r="J39" s="53" t="n">
        <f aca="false">K38</f>
        <v>-65.0034792909975</v>
      </c>
      <c r="K39" s="16" t="n">
        <f aca="false">J39+D39+F39-G39-H39</f>
        <v>-74.2884841321299</v>
      </c>
    </row>
    <row r="40" customFormat="false" ht="12.75" hidden="false" customHeight="false" outlineLevel="0" collapsed="false">
      <c r="A40" s="48" t="n">
        <f aca="false">A39+366/2</f>
        <v>37959</v>
      </c>
      <c r="B40" s="0" t="n">
        <v>78</v>
      </c>
      <c r="C40" s="49" t="n">
        <f aca="false">I39</f>
        <v>12.1204650704823</v>
      </c>
      <c r="D40" s="50" t="n">
        <f aca="false">C40*DiscRate/2</f>
        <v>0.345433254508745</v>
      </c>
      <c r="E40" s="50" t="n">
        <v>27.316484</v>
      </c>
      <c r="F40" s="50" t="n">
        <v>0.35</v>
      </c>
      <c r="G40" s="51"/>
      <c r="H40" s="51" t="n">
        <f aca="false">'facts premium'!$C$28*'facts premium'!$H$16/2</f>
        <v>10.2450607336134</v>
      </c>
      <c r="I40" s="16" t="n">
        <f aca="false">C40+D40+E40+F40-G40-H40</f>
        <v>29.8873215913776</v>
      </c>
      <c r="J40" s="53" t="n">
        <f aca="false">K39</f>
        <v>-74.2884841321299</v>
      </c>
      <c r="K40" s="16" t="n">
        <f aca="false">J40+D40+F40-G40-H40</f>
        <v>-83.8381116112346</v>
      </c>
    </row>
    <row r="41" customFormat="false" ht="12.75" hidden="false" customHeight="false" outlineLevel="0" collapsed="false">
      <c r="A41" s="48" t="n">
        <f aca="false">A40+366/2</f>
        <v>38142</v>
      </c>
      <c r="B41" s="0" t="n">
        <v>84</v>
      </c>
      <c r="C41" s="49" t="n">
        <f aca="false">I40</f>
        <v>29.8873215913776</v>
      </c>
      <c r="D41" s="50" t="n">
        <f aca="false">C41*DiscRate/2</f>
        <v>0.851788665354261</v>
      </c>
      <c r="E41" s="50"/>
      <c r="F41" s="50" t="n">
        <v>0.35</v>
      </c>
      <c r="G41" s="51"/>
      <c r="H41" s="51" t="n">
        <f aca="false">'facts premium'!$C$28*'facts premium'!$H$16/2</f>
        <v>10.2450607336134</v>
      </c>
      <c r="I41" s="16" t="n">
        <f aca="false">C41+D41+E41+F41-G41-H41</f>
        <v>20.8440495231184</v>
      </c>
      <c r="J41" s="53" t="n">
        <f aca="false">K40</f>
        <v>-83.8381116112346</v>
      </c>
      <c r="K41" s="16" t="n">
        <f aca="false">J41+D41+F41-G41-H41</f>
        <v>-92.8813836794938</v>
      </c>
    </row>
    <row r="42" customFormat="false" ht="12.75" hidden="false" customHeight="false" outlineLevel="0" collapsed="false">
      <c r="A42" s="48" t="n">
        <f aca="false">A41+366/2</f>
        <v>38325</v>
      </c>
      <c r="B42" s="0" t="n">
        <v>90</v>
      </c>
      <c r="C42" s="49" t="n">
        <f aca="false">I41</f>
        <v>20.8440495231184</v>
      </c>
      <c r="D42" s="50" t="n">
        <f aca="false">C42*DiscRate/2</f>
        <v>0.594055411408875</v>
      </c>
      <c r="E42" s="50" t="n">
        <v>28.432512</v>
      </c>
      <c r="F42" s="50" t="n">
        <v>0.35</v>
      </c>
      <c r="G42" s="51"/>
      <c r="H42" s="51" t="n">
        <f aca="false">'facts premium'!$C$28*'facts premium'!$H$16/2</f>
        <v>10.2450607336134</v>
      </c>
      <c r="I42" s="16" t="n">
        <f aca="false">C42+D42+E42+F42-G42-H42</f>
        <v>39.9755562009139</v>
      </c>
      <c r="J42" s="53" t="n">
        <f aca="false">K41</f>
        <v>-92.8813836794938</v>
      </c>
      <c r="K42" s="16" t="n">
        <f aca="false">J42+D42+F42-G42-H42</f>
        <v>-102.182389001698</v>
      </c>
    </row>
    <row r="43" customFormat="false" ht="12.75" hidden="false" customHeight="false" outlineLevel="0" collapsed="false">
      <c r="A43" s="48" t="n">
        <f aca="false">A42+366/2</f>
        <v>38508</v>
      </c>
      <c r="B43" s="0" t="n">
        <v>96</v>
      </c>
      <c r="C43" s="49" t="n">
        <f aca="false">I42</f>
        <v>39.9755562009139</v>
      </c>
      <c r="D43" s="50" t="n">
        <f aca="false">C43*DiscRate/2</f>
        <v>1.13930335172605</v>
      </c>
      <c r="E43" s="50"/>
      <c r="F43" s="50" t="n">
        <v>0.35</v>
      </c>
      <c r="G43" s="51"/>
      <c r="H43" s="51" t="n">
        <f aca="false">'facts premium'!$C$28*'facts premium'!$H$16/2</f>
        <v>10.2450607336134</v>
      </c>
      <c r="I43" s="16" t="n">
        <f aca="false">C43+D43+E43+F43-G43-H43</f>
        <v>31.2197988190265</v>
      </c>
      <c r="J43" s="53" t="n">
        <f aca="false">K42</f>
        <v>-102.182389001698</v>
      </c>
      <c r="K43" s="16" t="n">
        <f aca="false">J43+D43+F43-G43-H43</f>
        <v>-110.938146383586</v>
      </c>
    </row>
    <row r="44" customFormat="false" ht="12.75" hidden="false" customHeight="false" outlineLevel="0" collapsed="false">
      <c r="A44" s="48" t="n">
        <f aca="false">A43+366/2</f>
        <v>38691</v>
      </c>
      <c r="B44" s="0" t="n">
        <v>102</v>
      </c>
      <c r="C44" s="49" t="n">
        <f aca="false">I43</f>
        <v>31.2197988190265</v>
      </c>
      <c r="D44" s="50" t="n">
        <f aca="false">C44*DiscRate/2</f>
        <v>0.889764266342255</v>
      </c>
      <c r="E44" s="50" t="n">
        <v>29.594139</v>
      </c>
      <c r="F44" s="50" t="n">
        <v>0.35</v>
      </c>
      <c r="G44" s="51"/>
      <c r="H44" s="51" t="n">
        <f aca="false">'facts premium'!$C$28*'facts premium'!$H$16/2</f>
        <v>10.2450607336134</v>
      </c>
      <c r="I44" s="16" t="n">
        <f aca="false">C44+D44+E44+F44-G44-H44</f>
        <v>51.8086413517553</v>
      </c>
      <c r="J44" s="53" t="n">
        <f aca="false">K43</f>
        <v>-110.938146383586</v>
      </c>
      <c r="K44" s="16" t="n">
        <f aca="false">J44+D44+F44-G44-H44</f>
        <v>-119.943442850857</v>
      </c>
    </row>
    <row r="45" customFormat="false" ht="12.75" hidden="false" customHeight="false" outlineLevel="0" collapsed="false">
      <c r="A45" s="48" t="n">
        <f aca="false">A44+366/2</f>
        <v>38874</v>
      </c>
      <c r="B45" s="0" t="n">
        <v>108</v>
      </c>
      <c r="C45" s="49" t="n">
        <f aca="false">I44</f>
        <v>51.8086413517553</v>
      </c>
      <c r="D45" s="50" t="n">
        <f aca="false">C45*DiscRate/2</f>
        <v>1.47654627852503</v>
      </c>
      <c r="E45" s="50"/>
      <c r="F45" s="50" t="n">
        <v>0.35</v>
      </c>
      <c r="G45" s="51"/>
      <c r="H45" s="51" t="n">
        <f aca="false">'facts premium'!$C$28*'facts premium'!$H$16/2</f>
        <v>10.2450607336134</v>
      </c>
      <c r="I45" s="16" t="n">
        <f aca="false">C45+D45+E45+F45-G45-H45</f>
        <v>43.3901268966669</v>
      </c>
      <c r="J45" s="53" t="n">
        <f aca="false">K44</f>
        <v>-119.943442850857</v>
      </c>
      <c r="K45" s="16" t="n">
        <f aca="false">J45+D45+F45-G45-H45</f>
        <v>-128.361957305945</v>
      </c>
    </row>
    <row r="46" customFormat="false" ht="12.75" hidden="false" customHeight="false" outlineLevel="0" collapsed="false">
      <c r="A46" s="48" t="n">
        <f aca="false">A45+366/2</f>
        <v>39057</v>
      </c>
      <c r="B46" s="0" t="n">
        <v>114</v>
      </c>
      <c r="C46" s="49" t="n">
        <f aca="false">I45</f>
        <v>43.3901268966669</v>
      </c>
      <c r="D46" s="50" t="n">
        <f aca="false">C46*DiscRate/2</f>
        <v>1.23661861655501</v>
      </c>
      <c r="E46" s="50" t="n">
        <v>30.803229</v>
      </c>
      <c r="F46" s="50" t="n">
        <v>0.35</v>
      </c>
      <c r="G46" s="51"/>
      <c r="H46" s="51" t="n">
        <f aca="false">'facts premium'!$C$28*'facts premium'!$H$16/2</f>
        <v>10.2450607336134</v>
      </c>
      <c r="I46" s="16" t="n">
        <f aca="false">C46+D46+E46+F46-G46-H46</f>
        <v>65.5349137796085</v>
      </c>
      <c r="J46" s="53" t="n">
        <f aca="false">K45</f>
        <v>-128.361957305945</v>
      </c>
      <c r="K46" s="16" t="n">
        <f aca="false">J46+D46+F46-G46-H46</f>
        <v>-137.020399423004</v>
      </c>
    </row>
    <row r="47" customFormat="false" ht="12.75" hidden="false" customHeight="false" outlineLevel="0" collapsed="false">
      <c r="A47" s="48" t="n">
        <f aca="false">A46+366/2</f>
        <v>39240</v>
      </c>
      <c r="B47" s="0" t="n">
        <v>120</v>
      </c>
      <c r="C47" s="49" t="n">
        <f aca="false">I46</f>
        <v>65.5349137796085</v>
      </c>
      <c r="D47" s="50" t="n">
        <f aca="false">C47*DiscRate/2</f>
        <v>1.86774504271884</v>
      </c>
      <c r="E47" s="50"/>
      <c r="F47" s="50" t="n">
        <v>0.35</v>
      </c>
      <c r="G47" s="51"/>
      <c r="H47" s="51" t="n">
        <f aca="false">'facts premium'!$C$28*'facts premium'!$H$16/2</f>
        <v>10.2450607336134</v>
      </c>
      <c r="I47" s="16" t="n">
        <f aca="false">C47+D47+E47+F47-G47-H47</f>
        <v>57.5075980887139</v>
      </c>
      <c r="J47" s="53" t="n">
        <f aca="false">K46</f>
        <v>-137.020399423004</v>
      </c>
      <c r="K47" s="16" t="n">
        <f aca="false">J47+D47+F47-G47-H47</f>
        <v>-145.047715113898</v>
      </c>
    </row>
    <row r="48" customFormat="false" ht="12.75" hidden="false" customHeight="false" outlineLevel="0" collapsed="false">
      <c r="A48" s="48" t="n">
        <f aca="false">A47+366/2</f>
        <v>39423</v>
      </c>
      <c r="B48" s="0" t="n">
        <v>126</v>
      </c>
      <c r="C48" s="49" t="n">
        <f aca="false">I47</f>
        <v>57.5075980887139</v>
      </c>
      <c r="D48" s="50" t="n">
        <f aca="false">C48*DiscRate/2</f>
        <v>1.63896654552835</v>
      </c>
      <c r="E48" s="50" t="n">
        <v>32.06172</v>
      </c>
      <c r="F48" s="50" t="n">
        <v>0.35</v>
      </c>
      <c r="G48" s="51"/>
      <c r="H48" s="51" t="n">
        <f aca="false">'facts premium'!$C$28*'facts premium'!$H$16/2</f>
        <v>10.2450607336134</v>
      </c>
      <c r="I48" s="16" t="n">
        <f aca="false">C48+D48+E48+F48-G48-H48</f>
        <v>81.3132239006288</v>
      </c>
      <c r="J48" s="53" t="n">
        <f aca="false">K47</f>
        <v>-145.047715113898</v>
      </c>
      <c r="K48" s="16" t="n">
        <f aca="false">J48+D48+F48-G48-H48</f>
        <v>-153.303809301983</v>
      </c>
    </row>
    <row r="49" customFormat="false" ht="12.75" hidden="false" customHeight="false" outlineLevel="0" collapsed="false">
      <c r="A49" s="48" t="n">
        <f aca="false">A48+366/2</f>
        <v>39606</v>
      </c>
      <c r="B49" s="0" t="n">
        <v>132</v>
      </c>
      <c r="C49" s="49" t="n">
        <f aca="false">I48</f>
        <v>81.3132239006288</v>
      </c>
      <c r="D49" s="50" t="n">
        <f aca="false">C49*DiscRate/2</f>
        <v>2.31742688116792</v>
      </c>
      <c r="E49" s="50"/>
      <c r="F49" s="50" t="n">
        <v>0.35</v>
      </c>
      <c r="G49" s="51"/>
      <c r="H49" s="51" t="n">
        <f aca="false">'facts premium'!$C$28*'facts premium'!$H$16/2</f>
        <v>10.2450607336134</v>
      </c>
      <c r="I49" s="16" t="n">
        <f aca="false">C49+D49+E49+F49-G49-H49</f>
        <v>73.7355900481833</v>
      </c>
      <c r="J49" s="53" t="n">
        <f aca="false">K48</f>
        <v>-153.303809301983</v>
      </c>
      <c r="K49" s="16" t="n">
        <f aca="false">J49+D49+F49-G49-H49</f>
        <v>-160.881443154429</v>
      </c>
    </row>
    <row r="50" customFormat="false" ht="12.75" hidden="false" customHeight="false" outlineLevel="0" collapsed="false">
      <c r="A50" s="48" t="n">
        <f aca="false">A49+366/2</f>
        <v>39789</v>
      </c>
      <c r="B50" s="0" t="n">
        <v>138</v>
      </c>
      <c r="C50" s="49" t="n">
        <f aca="false">I49</f>
        <v>73.7355900481833</v>
      </c>
      <c r="D50" s="50" t="n">
        <f aca="false">C50*DiscRate/2</f>
        <v>2.10146431637322</v>
      </c>
      <c r="E50" s="50" t="n">
        <v>33.371633</v>
      </c>
      <c r="F50" s="50" t="n">
        <v>0.35</v>
      </c>
      <c r="G50" s="51"/>
      <c r="H50" s="51" t="n">
        <f aca="false">'facts premium'!$C$28*'facts premium'!$H$16/2</f>
        <v>10.2450607336134</v>
      </c>
      <c r="I50" s="16" t="n">
        <f aca="false">C50+D50+E50+F50-G50-H50</f>
        <v>99.3136266309431</v>
      </c>
      <c r="J50" s="53" t="n">
        <f aca="false">K49</f>
        <v>-160.881443154429</v>
      </c>
      <c r="K50" s="16" t="n">
        <f aca="false">J50+D50+F50-G50-H50</f>
        <v>-168.675039571669</v>
      </c>
    </row>
    <row r="51" customFormat="false" ht="12.75" hidden="false" customHeight="false" outlineLevel="0" collapsed="false">
      <c r="A51" s="48" t="n">
        <f aca="false">A50+366/2</f>
        <v>39972</v>
      </c>
      <c r="B51" s="0" t="n">
        <v>144</v>
      </c>
      <c r="C51" s="49" t="n">
        <f aca="false">I50</f>
        <v>99.3136266309431</v>
      </c>
      <c r="D51" s="50" t="n">
        <f aca="false">C51*DiscRate/2</f>
        <v>2.83043835898188</v>
      </c>
      <c r="E51" s="50"/>
      <c r="F51" s="50" t="n">
        <v>0.35</v>
      </c>
      <c r="G51" s="51"/>
      <c r="H51" s="51" t="n">
        <f aca="false">'facts premium'!$C$28*'facts premium'!$H$16/2</f>
        <v>10.2450607336134</v>
      </c>
      <c r="I51" s="16" t="n">
        <f aca="false">C51+D51+E51+F51-G51-H51</f>
        <v>92.2490042563115</v>
      </c>
      <c r="J51" s="53" t="n">
        <f aca="false">K50</f>
        <v>-168.675039571669</v>
      </c>
      <c r="K51" s="16" t="n">
        <f aca="false">J51+D51+F51-G51-H51</f>
        <v>-175.739661946301</v>
      </c>
    </row>
    <row r="52" customFormat="false" ht="12.75" hidden="false" customHeight="false" outlineLevel="0" collapsed="false">
      <c r="A52" s="48" t="n">
        <f aca="false">A51+366/2</f>
        <v>40155</v>
      </c>
      <c r="B52" s="0" t="n">
        <v>150</v>
      </c>
      <c r="C52" s="49" t="n">
        <f aca="false">I51</f>
        <v>92.2490042563115</v>
      </c>
      <c r="D52" s="50" t="n">
        <f aca="false">C52*DiscRate/2</f>
        <v>2.62909662130488</v>
      </c>
      <c r="E52" s="50" t="n">
        <v>34.735066</v>
      </c>
      <c r="F52" s="50" t="n">
        <v>0.35</v>
      </c>
      <c r="G52" s="51"/>
      <c r="H52" s="51" t="n">
        <f aca="false">'facts premium'!$C$28*'facts premium'!$H$16/2</f>
        <v>10.2450607336134</v>
      </c>
      <c r="I52" s="16" t="n">
        <f aca="false">C52+D52+E52+F52-G52-H52</f>
        <v>119.718106144003</v>
      </c>
      <c r="J52" s="53" t="n">
        <f aca="false">K51</f>
        <v>-175.739661946301</v>
      </c>
      <c r="K52" s="16" t="n">
        <f aca="false">J52+D52+F52-G52-H52</f>
        <v>-183.005626058609</v>
      </c>
    </row>
    <row r="53" customFormat="false" ht="12.75" hidden="false" customHeight="false" outlineLevel="0" collapsed="false">
      <c r="A53" s="48" t="n">
        <f aca="false">A52+366/2</f>
        <v>40338</v>
      </c>
      <c r="B53" s="0" t="n">
        <v>156</v>
      </c>
      <c r="C53" s="49" t="n">
        <f aca="false">I52</f>
        <v>119.718106144003</v>
      </c>
      <c r="D53" s="50" t="n">
        <f aca="false">C53*DiscRate/2</f>
        <v>3.41196602510409</v>
      </c>
      <c r="E53" s="50"/>
      <c r="F53" s="50" t="n">
        <v>0.35</v>
      </c>
      <c r="G53" s="51"/>
      <c r="H53" s="51" t="n">
        <f aca="false">'facts premium'!$C$28*'facts premium'!$H$16/2</f>
        <v>10.2450607336134</v>
      </c>
      <c r="I53" s="16" t="n">
        <f aca="false">C53+D53+E53+F53-G53-H53</f>
        <v>113.235011435494</v>
      </c>
      <c r="J53" s="53" t="n">
        <f aca="false">K52</f>
        <v>-183.005626058609</v>
      </c>
      <c r="K53" s="16" t="n">
        <f aca="false">J53+D53+F53-G53-H53</f>
        <v>-189.488720767119</v>
      </c>
    </row>
    <row r="54" customFormat="false" ht="12.75" hidden="false" customHeight="false" outlineLevel="0" collapsed="false">
      <c r="A54" s="48" t="n">
        <f aca="false">A53+366/2</f>
        <v>40521</v>
      </c>
      <c r="B54" s="0" t="n">
        <v>162</v>
      </c>
      <c r="C54" s="49" t="n">
        <f aca="false">I53</f>
        <v>113.235011435494</v>
      </c>
      <c r="D54" s="50" t="n">
        <f aca="false">C54*DiscRate/2</f>
        <v>3.22719782591157</v>
      </c>
      <c r="E54" s="50" t="n">
        <v>36.154209</v>
      </c>
      <c r="F54" s="50" t="n">
        <v>0.35</v>
      </c>
      <c r="G54" s="51"/>
      <c r="H54" s="51" t="n">
        <f aca="false">'facts premium'!$C$28*'facts premium'!$H$16/2</f>
        <v>10.2450607336134</v>
      </c>
      <c r="I54" s="16" t="n">
        <f aca="false">C54+D54+E54+F54-G54-H54</f>
        <v>142.721357527792</v>
      </c>
      <c r="J54" s="53" t="n">
        <f aca="false">K53</f>
        <v>-189.488720767119</v>
      </c>
      <c r="K54" s="16" t="n">
        <f aca="false">J54+D54+F54-G54-H54</f>
        <v>-196.156583674821</v>
      </c>
    </row>
    <row r="55" customFormat="false" ht="12.75" hidden="false" customHeight="false" outlineLevel="0" collapsed="false">
      <c r="A55" s="48" t="n">
        <f aca="false">A54+366/2</f>
        <v>40704</v>
      </c>
      <c r="B55" s="0" t="n">
        <v>168</v>
      </c>
      <c r="C55" s="49" t="n">
        <f aca="false">I54</f>
        <v>142.721357527792</v>
      </c>
      <c r="D55" s="50" t="n">
        <f aca="false">C55*DiscRate/2</f>
        <v>4.06755868954207</v>
      </c>
      <c r="E55" s="50"/>
      <c r="F55" s="50" t="n">
        <v>0.35</v>
      </c>
      <c r="G55" s="51"/>
      <c r="H55" s="51" t="n">
        <f aca="false">'facts premium'!$C$28*'facts premium'!$H$16/2</f>
        <v>10.2450607336134</v>
      </c>
      <c r="I55" s="16" t="n">
        <f aca="false">C55+D55+E55+F55-G55-H55</f>
        <v>136.89385548372</v>
      </c>
      <c r="J55" s="53" t="n">
        <f aca="false">K54</f>
        <v>-196.156583674821</v>
      </c>
      <c r="K55" s="16" t="n">
        <f aca="false">J55+D55+F55-G55-H55</f>
        <v>-201.984085718892</v>
      </c>
    </row>
    <row r="56" customFormat="false" ht="12.75" hidden="false" customHeight="false" outlineLevel="0" collapsed="false">
      <c r="A56" s="48" t="n">
        <f aca="false">A55+366/2</f>
        <v>40887</v>
      </c>
      <c r="B56" s="0" t="n">
        <v>174</v>
      </c>
      <c r="C56" s="49" t="n">
        <f aca="false">I55</f>
        <v>136.89385548372</v>
      </c>
      <c r="D56" s="50" t="n">
        <f aca="false">C56*DiscRate/2</f>
        <v>3.90147488128603</v>
      </c>
      <c r="E56" s="50" t="n">
        <v>37.631336</v>
      </c>
      <c r="F56" s="50" t="n">
        <v>0.35</v>
      </c>
      <c r="G56" s="51"/>
      <c r="H56" s="51" t="n">
        <f aca="false">'facts premium'!$C$28*'facts premium'!$H$16/2</f>
        <v>10.2450607336134</v>
      </c>
      <c r="I56" s="16" t="n">
        <f aca="false">C56+D56+E56+F56-G56-H56</f>
        <v>168.531605631393</v>
      </c>
      <c r="J56" s="53" t="n">
        <f aca="false">K55</f>
        <v>-201.984085718892</v>
      </c>
      <c r="K56" s="16" t="n">
        <f aca="false">J56+D56+F56-G56-H56</f>
        <v>-207.977671571219</v>
      </c>
    </row>
    <row r="57" customFormat="false" ht="12.75" hidden="false" customHeight="false" outlineLevel="0" collapsed="false">
      <c r="A57" s="48" t="n">
        <f aca="false">A56+366/2</f>
        <v>41070</v>
      </c>
      <c r="B57" s="0" t="n">
        <v>180</v>
      </c>
      <c r="C57" s="49" t="n">
        <f aca="false">I56</f>
        <v>168.531605631393</v>
      </c>
      <c r="D57" s="50" t="n">
        <f aca="false">C57*DiscRate/2</f>
        <v>4.8031507604947</v>
      </c>
      <c r="E57" s="50"/>
      <c r="F57" s="50" t="n">
        <v>0.35</v>
      </c>
      <c r="G57" s="51"/>
      <c r="H57" s="51" t="n">
        <f aca="false">'facts premium'!$C$28*'facts premium'!$H$16/2</f>
        <v>10.2450607336134</v>
      </c>
      <c r="I57" s="16" t="n">
        <f aca="false">C57+D57+E57+F57-G57-H57</f>
        <v>163.439695658274</v>
      </c>
      <c r="J57" s="53" t="n">
        <f aca="false">K56</f>
        <v>-207.977671571219</v>
      </c>
      <c r="K57" s="16" t="n">
        <f aca="false">J57+D57+F57-G57-H57</f>
        <v>-213.069581544338</v>
      </c>
    </row>
    <row r="58" customFormat="false" ht="12.75" hidden="false" customHeight="false" outlineLevel="0" collapsed="false">
      <c r="A58" s="48" t="n">
        <f aca="false">A57+366/2</f>
        <v>41253</v>
      </c>
      <c r="B58" s="0" t="n">
        <v>186</v>
      </c>
      <c r="C58" s="49" t="n">
        <f aca="false">I57</f>
        <v>163.439695658274</v>
      </c>
      <c r="D58" s="50" t="n">
        <f aca="false">C58*DiscRate/2</f>
        <v>4.65803132626082</v>
      </c>
      <c r="E58" s="50" t="n">
        <v>39.168818</v>
      </c>
      <c r="F58" s="50" t="n">
        <v>0.35</v>
      </c>
      <c r="G58" s="51"/>
      <c r="H58" s="51" t="n">
        <f aca="false">'facts premium'!$C$28*'facts premium'!$H$16/2</f>
        <v>10.2450607336134</v>
      </c>
      <c r="I58" s="16" t="n">
        <f aca="false">C58+D58+E58+F58-G58-H58</f>
        <v>197.371484250922</v>
      </c>
      <c r="J58" s="53" t="n">
        <f aca="false">K57</f>
        <v>-213.069581544338</v>
      </c>
      <c r="K58" s="16" t="n">
        <f aca="false">J58+D58+F58-G58-H58</f>
        <v>-218.306610951691</v>
      </c>
    </row>
    <row r="59" customFormat="false" ht="12.75" hidden="false" customHeight="false" outlineLevel="0" collapsed="false">
      <c r="A59" s="48" t="n">
        <f aca="false">A58+366/2</f>
        <v>41436</v>
      </c>
      <c r="B59" s="0" t="n">
        <v>192</v>
      </c>
      <c r="C59" s="49" t="n">
        <f aca="false">I58</f>
        <v>197.371484250922</v>
      </c>
      <c r="D59" s="50" t="n">
        <f aca="false">C59*DiscRate/2</f>
        <v>5.62508730115127</v>
      </c>
      <c r="E59" s="50"/>
      <c r="F59" s="50" t="n">
        <v>0.35</v>
      </c>
      <c r="G59" s="51"/>
      <c r="H59" s="51" t="n">
        <f aca="false">'facts premium'!$C$28*'facts premium'!$H$16/2</f>
        <v>10.2450607336134</v>
      </c>
      <c r="I59" s="16" t="n">
        <f aca="false">C59+D59+E59+F59-G59-H59</f>
        <v>193.101510818459</v>
      </c>
      <c r="J59" s="53" t="n">
        <f aca="false">K58</f>
        <v>-218.306610951691</v>
      </c>
      <c r="K59" s="16" t="n">
        <f aca="false">J59+D59+F59-G59-H59</f>
        <v>-222.576584384153</v>
      </c>
    </row>
    <row r="60" customFormat="false" ht="12.75" hidden="false" customHeight="false" outlineLevel="0" collapsed="false">
      <c r="A60" s="48" t="n">
        <f aca="false">A59+366/2</f>
        <v>41619</v>
      </c>
      <c r="B60" s="0" t="n">
        <v>198</v>
      </c>
      <c r="C60" s="49" t="n">
        <f aca="false">I59</f>
        <v>193.101510818459</v>
      </c>
      <c r="D60" s="50" t="n">
        <f aca="false">C60*DiscRate/2</f>
        <v>5.5033930583261</v>
      </c>
      <c r="E60" s="50" t="n">
        <v>40.769121</v>
      </c>
      <c r="F60" s="50" t="n">
        <v>0.35</v>
      </c>
      <c r="G60" s="51"/>
      <c r="H60" s="51" t="n">
        <f aca="false">'facts premium'!$C$28*'facts premium'!$H$16/2</f>
        <v>10.2450607336134</v>
      </c>
      <c r="I60" s="16" t="n">
        <f aca="false">C60+D60+E60+F60-G60-H60</f>
        <v>229.478964143172</v>
      </c>
      <c r="J60" s="53" t="n">
        <f aca="false">K59</f>
        <v>-222.576584384153</v>
      </c>
      <c r="K60" s="16" t="n">
        <f aca="false">J60+D60+F60-G60-H60</f>
        <v>-226.96825205944</v>
      </c>
    </row>
    <row r="61" customFormat="false" ht="12.75" hidden="false" customHeight="false" outlineLevel="0" collapsed="false">
      <c r="A61" s="48" t="n">
        <f aca="false">A60+366/2</f>
        <v>41802</v>
      </c>
      <c r="B61" s="0" t="n">
        <v>204</v>
      </c>
      <c r="C61" s="49" t="n">
        <f aca="false">I60</f>
        <v>229.478964143172</v>
      </c>
      <c r="D61" s="50" t="n">
        <f aca="false">C61*DiscRate/2</f>
        <v>6.54015047808041</v>
      </c>
      <c r="E61" s="50"/>
      <c r="F61" s="50" t="n">
        <v>0.35</v>
      </c>
      <c r="G61" s="51"/>
      <c r="H61" s="51" t="n">
        <f aca="false">'facts premium'!$C$28*'facts premium'!$H$16/2</f>
        <v>10.2450607336134</v>
      </c>
      <c r="I61" s="16" t="n">
        <f aca="false">C61+D61+E61+F61-G61-H61</f>
        <v>226.124053887639</v>
      </c>
      <c r="J61" s="53" t="n">
        <f aca="false">K60</f>
        <v>-226.96825205944</v>
      </c>
      <c r="K61" s="16" t="n">
        <f aca="false">J61+D61+F61-G61-H61</f>
        <v>-230.323162314973</v>
      </c>
    </row>
    <row r="62" customFormat="false" ht="12.75" hidden="false" customHeight="false" outlineLevel="0" collapsed="false">
      <c r="A62" s="48" t="n">
        <f aca="false">A61+366/2</f>
        <v>41985</v>
      </c>
      <c r="B62" s="0" t="n">
        <v>210</v>
      </c>
      <c r="C62" s="49" t="n">
        <f aca="false">I61</f>
        <v>226.124053887639</v>
      </c>
      <c r="D62" s="50" t="n">
        <f aca="false">C62*DiscRate/2</f>
        <v>6.44453553579771</v>
      </c>
      <c r="E62" s="50" t="n">
        <v>42.434811</v>
      </c>
      <c r="F62" s="50" t="n">
        <v>0.35</v>
      </c>
      <c r="G62" s="51"/>
      <c r="H62" s="51" t="n">
        <f aca="false">'facts premium'!$C$28*'facts premium'!$H$16/2</f>
        <v>10.2450607336134</v>
      </c>
      <c r="I62" s="16" t="n">
        <f aca="false">C62+D62+E62+F62-G62-H62</f>
        <v>265.108339689823</v>
      </c>
      <c r="J62" s="53" t="n">
        <f aca="false">K61</f>
        <v>-230.323162314973</v>
      </c>
      <c r="K62" s="16" t="n">
        <f aca="false">J62+D62+F62-G62-H62</f>
        <v>-233.773687512789</v>
      </c>
    </row>
    <row r="63" customFormat="false" ht="12.75" hidden="false" customHeight="false" outlineLevel="0" collapsed="false">
      <c r="A63" s="48" t="n">
        <f aca="false">A62+366/2</f>
        <v>42168</v>
      </c>
      <c r="B63" s="0" t="n">
        <v>216</v>
      </c>
      <c r="C63" s="49" t="n">
        <f aca="false">I62</f>
        <v>265.108339689823</v>
      </c>
      <c r="D63" s="50" t="n">
        <f aca="false">C63*DiscRate/2</f>
        <v>7.55558768115997</v>
      </c>
      <c r="E63" s="50"/>
      <c r="F63" s="50" t="n">
        <v>0.35</v>
      </c>
      <c r="G63" s="51"/>
      <c r="H63" s="51" t="n">
        <f aca="false">'facts premium'!$C$28*'facts premium'!$H$16/2</f>
        <v>10.2450607336134</v>
      </c>
      <c r="I63" s="16" t="n">
        <f aca="false">C63+D63+E63+F63-G63-H63</f>
        <v>262.76886663737</v>
      </c>
      <c r="J63" s="53" t="n">
        <f aca="false">K62</f>
        <v>-233.773687512789</v>
      </c>
      <c r="K63" s="16" t="n">
        <f aca="false">J63+D63+F63-G63-H63</f>
        <v>-236.113160565242</v>
      </c>
    </row>
    <row r="64" customFormat="false" ht="12.75" hidden="false" customHeight="false" outlineLevel="0" collapsed="false">
      <c r="A64" s="48" t="n">
        <f aca="false">A63+366/2</f>
        <v>42351</v>
      </c>
      <c r="B64" s="0" t="n">
        <v>222</v>
      </c>
      <c r="C64" s="49" t="n">
        <f aca="false">I63</f>
        <v>262.76886663737</v>
      </c>
      <c r="D64" s="50" t="n">
        <f aca="false">C64*DiscRate/2</f>
        <v>7.48891269916505</v>
      </c>
      <c r="E64" s="50" t="n">
        <v>44.168561</v>
      </c>
      <c r="F64" s="50" t="n">
        <v>0.35</v>
      </c>
      <c r="G64" s="51"/>
      <c r="H64" s="51" t="n">
        <f aca="false">'facts premium'!$C$28*'facts premium'!$H$16/2</f>
        <v>10.2450607336134</v>
      </c>
      <c r="I64" s="16" t="n">
        <f aca="false">C64+D64+E64+F64-G64-H64</f>
        <v>304.531279602922</v>
      </c>
      <c r="J64" s="53" t="n">
        <f aca="false">K63</f>
        <v>-236.113160565242</v>
      </c>
      <c r="K64" s="16" t="n">
        <f aca="false">J64+D64+F64-G64-H64</f>
        <v>-238.519308599691</v>
      </c>
    </row>
    <row r="65" customFormat="false" ht="12.75" hidden="false" customHeight="false" outlineLevel="0" collapsed="false">
      <c r="A65" s="48" t="n">
        <f aca="false">A64+366/2</f>
        <v>42534</v>
      </c>
      <c r="B65" s="0" t="n">
        <v>228</v>
      </c>
      <c r="C65" s="49" t="n">
        <f aca="false">I64</f>
        <v>304.531279602922</v>
      </c>
      <c r="D65" s="50" t="n">
        <f aca="false">C65*DiscRate/2</f>
        <v>8.67914146868327</v>
      </c>
      <c r="E65" s="50"/>
      <c r="F65" s="50" t="n">
        <v>0.35</v>
      </c>
      <c r="G65" s="51"/>
      <c r="H65" s="51" t="n">
        <f aca="false">'facts premium'!$C$28*'facts premium'!$H$16/2</f>
        <v>10.2450607336134</v>
      </c>
      <c r="I65" s="16" t="n">
        <f aca="false">C65+D65+E65+F65-G65-H65</f>
        <v>303.315360337992</v>
      </c>
      <c r="J65" s="53" t="n">
        <f aca="false">K64</f>
        <v>-238.519308599691</v>
      </c>
      <c r="K65" s="16" t="n">
        <f aca="false">J65+D65+F65-G65-H65</f>
        <v>-239.735227864621</v>
      </c>
    </row>
    <row r="66" customFormat="false" ht="12.75" hidden="false" customHeight="false" outlineLevel="0" collapsed="false">
      <c r="A66" s="48" t="n">
        <f aca="false">A65+366/2</f>
        <v>42717</v>
      </c>
      <c r="B66" s="0" t="n">
        <v>234</v>
      </c>
      <c r="C66" s="49" t="n">
        <f aca="false">I65</f>
        <v>303.315360337992</v>
      </c>
      <c r="D66" s="50" t="n">
        <f aca="false">C66*DiscRate/2</f>
        <v>8.64448776963276</v>
      </c>
      <c r="E66" s="50"/>
      <c r="F66" s="50" t="n">
        <v>0.35</v>
      </c>
      <c r="G66" s="50"/>
      <c r="H66" s="51" t="n">
        <v>9.31</v>
      </c>
      <c r="I66" s="16" t="n">
        <f aca="false">C66+D66+E66+F66-G66-H66</f>
        <v>302.999848107624</v>
      </c>
      <c r="J66" s="53" t="n">
        <f aca="false">K65</f>
        <v>-239.735227864621</v>
      </c>
      <c r="K66" s="16" t="n">
        <f aca="false">J66+D66+F66-G66-H66</f>
        <v>-240.050740094988</v>
      </c>
    </row>
    <row r="67" customFormat="false" ht="12.75" hidden="false" customHeight="false" outlineLevel="0" collapsed="false">
      <c r="A67" s="48" t="n">
        <f aca="false">A66+366/2</f>
        <v>42900</v>
      </c>
      <c r="B67" s="0" t="n">
        <v>240</v>
      </c>
      <c r="C67" s="49" t="n">
        <f aca="false">I66</f>
        <v>302.999848107624</v>
      </c>
      <c r="D67" s="50" t="n">
        <f aca="false">C67*DiscRate/2</f>
        <v>8.6354956710673</v>
      </c>
      <c r="E67" s="50"/>
      <c r="F67" s="50" t="n">
        <v>0.35</v>
      </c>
      <c r="G67" s="51"/>
      <c r="H67" s="51" t="n">
        <f aca="false">9.31+'facts premium'!C28</f>
        <v>326.986301817471</v>
      </c>
      <c r="I67" s="16" t="n">
        <f aca="false">C67+D67+E67+F67-G67-H67</f>
        <v>-15.0009580387789</v>
      </c>
      <c r="J67" s="53" t="n">
        <f aca="false">K66</f>
        <v>-240.050740094988</v>
      </c>
      <c r="K67" s="16" t="n">
        <f aca="false">J67+D67+F67-G67-H67</f>
        <v>-558.051546241391</v>
      </c>
    </row>
    <row r="68" customFormat="false" ht="12.75" hidden="false" customHeight="false" outlineLevel="0" collapsed="false">
      <c r="A68" s="48" t="n">
        <f aca="false">A67+366/2</f>
        <v>43083</v>
      </c>
      <c r="B68" s="0" t="n">
        <v>246</v>
      </c>
      <c r="C68" s="49" t="n">
        <f aca="false">I67</f>
        <v>-15.0009580387789</v>
      </c>
      <c r="D68" s="50" t="n">
        <f aca="false">C68*DiscRate/2</f>
        <v>-0.427527304105198</v>
      </c>
      <c r="E68" s="50"/>
      <c r="F68" s="50" t="n">
        <v>0.35</v>
      </c>
      <c r="G68" s="51"/>
      <c r="H68" s="52"/>
      <c r="I68" s="16" t="n">
        <f aca="false">C68+D68+E68+F68-G68-H68</f>
        <v>-15.0784853428841</v>
      </c>
      <c r="J68" s="53" t="n">
        <f aca="false">K67</f>
        <v>-558.051546241391</v>
      </c>
      <c r="K68" s="16" t="n">
        <f aca="false">J68+D68+F68-G68-H68</f>
        <v>-558.129073545497</v>
      </c>
    </row>
    <row r="69" customFormat="false" ht="12.75" hidden="false" customHeight="false" outlineLevel="0" collapsed="false">
      <c r="A69" s="48" t="n">
        <f aca="false">A68+366/2</f>
        <v>43266</v>
      </c>
      <c r="B69" s="0" t="n">
        <v>252</v>
      </c>
      <c r="C69" s="49" t="n">
        <f aca="false">I68</f>
        <v>-15.0784853428841</v>
      </c>
      <c r="D69" s="50" t="n">
        <f aca="false">C69*DiscRate/2</f>
        <v>-0.429736832272197</v>
      </c>
      <c r="E69" s="50"/>
      <c r="F69" s="50" t="n">
        <v>0.35</v>
      </c>
      <c r="G69" s="51"/>
      <c r="H69" s="52"/>
      <c r="I69" s="16" t="n">
        <f aca="false">C69+D69+E69+F69-G69-H69</f>
        <v>-15.1582221751563</v>
      </c>
      <c r="J69" s="53" t="n">
        <f aca="false">K68</f>
        <v>-558.129073545497</v>
      </c>
      <c r="K69" s="16" t="n">
        <f aca="false">J69+D69+F69-G69-H69</f>
        <v>-558.208810377769</v>
      </c>
    </row>
    <row r="70" customFormat="false" ht="12.75" hidden="false" customHeight="false" outlineLevel="0" collapsed="false">
      <c r="A70" s="48" t="n">
        <f aca="false">A69+366/2</f>
        <v>43449</v>
      </c>
      <c r="B70" s="0" t="n">
        <v>258</v>
      </c>
      <c r="C70" s="49" t="n">
        <f aca="false">I69</f>
        <v>-15.1582221751563</v>
      </c>
      <c r="D70" s="50" t="n">
        <f aca="false">C70*DiscRate/2</f>
        <v>-0.432009331991954</v>
      </c>
      <c r="E70" s="50"/>
      <c r="F70" s="50" t="n">
        <v>0.35</v>
      </c>
      <c r="G70" s="51"/>
      <c r="H70" s="52"/>
      <c r="I70" s="16" t="n">
        <f aca="false">C70+D70+E70+F70-G70-H70</f>
        <v>-15.2402315071482</v>
      </c>
      <c r="J70" s="53" t="n">
        <f aca="false">K69</f>
        <v>-558.208810377769</v>
      </c>
      <c r="K70" s="16" t="n">
        <f aca="false">J70+D70+F70-G70-H70</f>
        <v>-558.290819709761</v>
      </c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529861111111111" bottom="0.1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3.99"/>
    <col collapsed="false" customWidth="true" hidden="false" outlineLevel="0" max="2" min="2" style="31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B1" s="31" t="s">
        <v>52</v>
      </c>
    </row>
    <row r="3" customFormat="false" ht="12.75" hidden="false" customHeight="false" outlineLevel="0" collapsed="false">
      <c r="A3" s="35"/>
      <c r="B3" s="54"/>
      <c r="C3" s="55"/>
      <c r="D3" s="56"/>
      <c r="E3" s="57"/>
      <c r="F3" s="58" t="n">
        <f aca="false">DiscRate</f>
        <v>0.057</v>
      </c>
      <c r="G3" s="58" t="n">
        <f aca="false">discrate2</f>
        <v>0.0545</v>
      </c>
      <c r="H3" s="58" t="n">
        <f aca="false">DiscRate3</f>
        <v>0.052</v>
      </c>
      <c r="I3" s="58" t="n">
        <f aca="false">DiscRate4</f>
        <v>0.0595</v>
      </c>
      <c r="J3" s="58" t="n">
        <f aca="false">DiscRate5</f>
        <v>0.062</v>
      </c>
      <c r="K3" s="58" t="n">
        <f aca="false">DiscRate6</f>
        <v>0.0645</v>
      </c>
    </row>
    <row r="4" customFormat="false" ht="13.5" hidden="false" customHeight="false" outlineLevel="0" collapsed="false">
      <c r="A4" s="36"/>
      <c r="B4" s="59" t="s">
        <v>53</v>
      </c>
      <c r="C4" s="60" t="s">
        <v>54</v>
      </c>
      <c r="D4" s="61" t="s">
        <v>55</v>
      </c>
      <c r="E4" s="62" t="s">
        <v>56</v>
      </c>
      <c r="F4" s="59" t="s">
        <v>57</v>
      </c>
      <c r="G4" s="59" t="s">
        <v>57</v>
      </c>
      <c r="H4" s="59" t="s">
        <v>57</v>
      </c>
      <c r="I4" s="59" t="s">
        <v>57</v>
      </c>
      <c r="J4" s="59" t="s">
        <v>57</v>
      </c>
      <c r="K4" s="59" t="s">
        <v>57</v>
      </c>
      <c r="L4" s="63"/>
      <c r="M4" s="63"/>
      <c r="N4" s="63"/>
    </row>
    <row r="5" customFormat="false" ht="13.5" hidden="false" customHeight="false" outlineLevel="0" collapsed="false">
      <c r="A5" s="31" t="n">
        <v>1</v>
      </c>
      <c r="B5" s="64" t="n">
        <v>1999</v>
      </c>
      <c r="C5" s="65" t="n">
        <v>2703704</v>
      </c>
      <c r="D5" s="21" t="n">
        <v>15.64</v>
      </c>
      <c r="E5" s="66" t="n">
        <f aca="false">C5*D5</f>
        <v>42285930.56</v>
      </c>
      <c r="F5" s="67" t="n">
        <f aca="false">$E5/POWER(1+DiscRate,1+'Exhibit Z'!$A5)</f>
        <v>37848259.9313134</v>
      </c>
      <c r="G5" s="67" t="n">
        <f aca="false">$E5/POWER(1+discrate2,1+'Exhibit Z'!$A5)</f>
        <v>38027933.3552314</v>
      </c>
      <c r="H5" s="67" t="n">
        <f aca="false">$E5/POWER(1+DiscRate3,1+'Exhibit Z'!$A5)</f>
        <v>38208889.2422906</v>
      </c>
      <c r="I5" s="67" t="n">
        <f aca="false">$E5/POWER(1+DiscRate4,1+'Exhibit Z'!$A5)</f>
        <v>37669856.8804103</v>
      </c>
      <c r="J5" s="67" t="n">
        <f aca="false">$E5/POWER(1+DiscRate5,1+'Exhibit Z'!$A5)</f>
        <v>37492712.2545317</v>
      </c>
      <c r="K5" s="67" t="n">
        <f aca="false">$E5/POWER(1+DiscRate6,1+'Exhibit Z'!$A5)</f>
        <v>37316814.2458227</v>
      </c>
    </row>
    <row r="6" customFormat="false" ht="12.75" hidden="false" customHeight="false" outlineLevel="0" collapsed="false">
      <c r="A6" s="31" t="n">
        <v>2</v>
      </c>
      <c r="B6" s="64" t="n">
        <v>2000</v>
      </c>
      <c r="C6" s="65" t="n">
        <v>2478395</v>
      </c>
      <c r="D6" s="21" t="n">
        <v>16.23</v>
      </c>
      <c r="E6" s="66" t="n">
        <f aca="false">C6*D6</f>
        <v>40224350.85</v>
      </c>
      <c r="F6" s="67" t="n">
        <f aca="false">E6/POWER(1+DiscRate,1+'Exhibit Z'!A6)</f>
        <v>34061524.5214168</v>
      </c>
      <c r="G6" s="67" t="n">
        <f aca="false">$E6/POWER(1+discrate2,1+'Exhibit Z'!$A6)</f>
        <v>34304357.6730667</v>
      </c>
      <c r="H6" s="67" t="n">
        <f aca="false">$E6/POWER(1+DiscRate3,1+'Exhibit Z'!$A6)</f>
        <v>34549504.6123186</v>
      </c>
      <c r="I6" s="67" t="n">
        <f aca="false">$E6/POWER(1+DiscRate4,1+'Exhibit Z'!$A6)</f>
        <v>33820977.9236742</v>
      </c>
      <c r="J6" s="67" t="n">
        <f aca="false">$E6/POWER(1+DiscRate5,1+'Exhibit Z'!$A6)</f>
        <v>33582691.029895</v>
      </c>
      <c r="K6" s="67" t="n">
        <f aca="false">$E6/POWER(1+DiscRate6,1+'Exhibit Z'!$A6)</f>
        <v>33346637.3675923</v>
      </c>
    </row>
    <row r="7" customFormat="false" ht="12.75" hidden="false" customHeight="false" outlineLevel="0" collapsed="false">
      <c r="A7" s="31" t="n">
        <v>3</v>
      </c>
      <c r="B7" s="64" t="n">
        <v>2001</v>
      </c>
      <c r="C7" s="65" t="n">
        <v>2253086</v>
      </c>
      <c r="D7" s="21" t="n">
        <v>16.87</v>
      </c>
      <c r="E7" s="66" t="n">
        <f aca="false">C7*D7</f>
        <v>38009560.82</v>
      </c>
      <c r="F7" s="67" t="n">
        <f aca="false">E7/POWER(1+DiscRate,1+'Exhibit Z'!A7)</f>
        <v>30450393.0175892</v>
      </c>
      <c r="G7" s="67" t="n">
        <f aca="false">$E7/POWER(1+discrate2,1+'Exhibit Z'!$A7)</f>
        <v>30740187.7220491</v>
      </c>
      <c r="H7" s="67" t="n">
        <f aca="false">$E7/POWER(1+DiscRate3,1+'Exhibit Z'!$A7)</f>
        <v>31033438.0936525</v>
      </c>
      <c r="I7" s="67" t="n">
        <f aca="false">$E7/POWER(1+DiscRate4,1+'Exhibit Z'!$A7)</f>
        <v>30164005.2292716</v>
      </c>
      <c r="J7" s="67" t="n">
        <f aca="false">$E7/POWER(1+DiscRate5,1+'Exhibit Z'!$A7)</f>
        <v>29880976.4065952</v>
      </c>
      <c r="K7" s="67" t="n">
        <f aca="false">$E7/POWER(1+DiscRate6,1+'Exhibit Z'!$A7)</f>
        <v>29601259.384572</v>
      </c>
    </row>
    <row r="8" customFormat="false" ht="12.75" hidden="false" customHeight="false" outlineLevel="0" collapsed="false">
      <c r="A8" s="31" t="n">
        <v>4</v>
      </c>
      <c r="B8" s="64" t="n">
        <v>2002</v>
      </c>
      <c r="C8" s="65" t="n">
        <v>2253086</v>
      </c>
      <c r="D8" s="21" t="n">
        <v>17.54</v>
      </c>
      <c r="E8" s="66" t="n">
        <f aca="false">C8*D8</f>
        <v>39519128.44</v>
      </c>
      <c r="F8" s="67" t="n">
        <f aca="false">E8/POWER(1+DiscRate,1+'Exhibit Z'!A8)</f>
        <v>29952454.8023208</v>
      </c>
      <c r="G8" s="67" t="n">
        <f aca="false">$E8/POWER(1+discrate2,1+'Exhibit Z'!$A8)</f>
        <v>30309197.5000156</v>
      </c>
      <c r="H8" s="67" t="n">
        <f aca="false">$E8/POWER(1+DiscRate3,1+'Exhibit Z'!$A8)</f>
        <v>30671051.0571032</v>
      </c>
      <c r="I8" s="67" t="n">
        <f aca="false">$E8/POWER(1+DiscRate4,1+'Exhibit Z'!$A8)</f>
        <v>29600738.9445606</v>
      </c>
      <c r="J8" s="67" t="n">
        <f aca="false">$E8/POWER(1+DiscRate5,1+'Exhibit Z'!$A8)</f>
        <v>29253967.4821237</v>
      </c>
      <c r="K8" s="67" t="n">
        <f aca="false">$E8/POWER(1+DiscRate6,1+'Exhibit Z'!$A8)</f>
        <v>28912059.5121144</v>
      </c>
    </row>
    <row r="9" customFormat="false" ht="12.75" hidden="false" customHeight="false" outlineLevel="0" collapsed="false">
      <c r="A9" s="31" t="n">
        <v>5</v>
      </c>
      <c r="B9" s="64" t="n">
        <v>2003</v>
      </c>
      <c r="C9" s="65" t="n">
        <v>2253086</v>
      </c>
      <c r="D9" s="21" t="n">
        <v>18.26</v>
      </c>
      <c r="E9" s="66" t="n">
        <f aca="false">C9*D9</f>
        <v>41141350.36</v>
      </c>
      <c r="F9" s="67" t="n">
        <f aca="false">E9/POWER(1+DiscRate,1+'Exhibit Z'!A9)</f>
        <v>29500448.4783734</v>
      </c>
      <c r="G9" s="67" t="n">
        <f aca="false">$E9/POWER(1+discrate2,1+'Exhibit Z'!$A9)</f>
        <v>29922580.0676303</v>
      </c>
      <c r="H9" s="67" t="n">
        <f aca="false">$E9/POWER(1+DiscRate3,1+'Exhibit Z'!$A9)</f>
        <v>30351775.6427842</v>
      </c>
      <c r="I9" s="67" t="n">
        <f aca="false">$E9/POWER(1+DiscRate4,1+'Exhibit Z'!$A9)</f>
        <v>29085248.3141171</v>
      </c>
      <c r="J9" s="67" t="n">
        <f aca="false">$E9/POWER(1+DiscRate5,1+'Exhibit Z'!$A9)</f>
        <v>28676849.8059629</v>
      </c>
      <c r="K9" s="67" t="n">
        <f aca="false">$E9/POWER(1+DiscRate6,1+'Exhibit Z'!$A9)</f>
        <v>28275125.9118235</v>
      </c>
    </row>
    <row r="10" customFormat="false" ht="12.75" hidden="false" customHeight="false" outlineLevel="0" collapsed="false">
      <c r="A10" s="31" t="n">
        <v>6</v>
      </c>
      <c r="B10" s="64" t="n">
        <v>2004</v>
      </c>
      <c r="C10" s="65" t="n">
        <v>2253086</v>
      </c>
      <c r="D10" s="21" t="n">
        <v>19.01</v>
      </c>
      <c r="E10" s="66" t="n">
        <f aca="false">C10*D10</f>
        <v>42831164.86</v>
      </c>
      <c r="F10" s="67" t="n">
        <f aca="false">E10/POWER(1+DiscRate,1+'Exhibit Z'!A10)</f>
        <v>29055942.9896698</v>
      </c>
      <c r="G10" s="67" t="n">
        <f aca="false">$E10/POWER(1+discrate2,1+'Exhibit Z'!$A10)</f>
        <v>29541585.3033576</v>
      </c>
      <c r="H10" s="67" t="n">
        <f aca="false">$E10/POWER(1+DiscRate3,1+'Exhibit Z'!$A10)</f>
        <v>30036526.4186365</v>
      </c>
      <c r="I10" s="67" t="n">
        <f aca="false">$E10/POWER(1+DiscRate4,1+'Exhibit Z'!$A10)</f>
        <v>28579403.397693</v>
      </c>
      <c r="J10" s="67" t="n">
        <f aca="false">$E10/POWER(1+DiscRate5,1+'Exhibit Z'!$A10)</f>
        <v>28111775.0308556</v>
      </c>
      <c r="K10" s="67" t="n">
        <f aca="false">$E10/POWER(1+DiscRate6,1+'Exhibit Z'!$A10)</f>
        <v>27652870.858322</v>
      </c>
    </row>
    <row r="11" customFormat="false" ht="12.75" hidden="false" customHeight="false" outlineLevel="0" collapsed="false">
      <c r="A11" s="31" t="n">
        <v>7</v>
      </c>
      <c r="B11" s="64" t="n">
        <v>2005</v>
      </c>
      <c r="C11" s="65" t="n">
        <v>2253086</v>
      </c>
      <c r="D11" s="21" t="n">
        <v>19.79</v>
      </c>
      <c r="E11" s="66" t="n">
        <f aca="false">C11*D11</f>
        <v>44588571.94</v>
      </c>
      <c r="F11" s="67" t="n">
        <f aca="false">E11/POWER(1+DiscRate,1+'Exhibit Z'!A11)</f>
        <v>28616971.0890382</v>
      </c>
      <c r="G11" s="67" t="n">
        <f aca="false">$E11/POWER(1+discrate2,1+'Exhibit Z'!$A11)</f>
        <v>29164255.2510207</v>
      </c>
      <c r="H11" s="67" t="n">
        <f aca="false">$E11/POWER(1+DiscRate3,1+'Exhibit Z'!$A11)</f>
        <v>29723342.4185798</v>
      </c>
      <c r="I11" s="67" t="n">
        <f aca="false">$E11/POWER(1+DiscRate4,1+'Exhibit Z'!$A11)</f>
        <v>28081213.7195294</v>
      </c>
      <c r="J11" s="67" t="n">
        <f aca="false">$E11/POWER(1+DiscRate5,1+'Exhibit Z'!$A11)</f>
        <v>27556714.0230799</v>
      </c>
      <c r="K11" s="67" t="n">
        <f aca="false">$E11/POWER(1+DiscRate6,1+'Exhibit Z'!$A11)</f>
        <v>27043209.7756856</v>
      </c>
    </row>
    <row r="12" customFormat="false" ht="12.75" hidden="false" customHeight="false" outlineLevel="0" collapsed="false">
      <c r="A12" s="31" t="n">
        <v>8</v>
      </c>
      <c r="B12" s="64" t="n">
        <v>2006</v>
      </c>
      <c r="C12" s="65" t="n">
        <v>2253086</v>
      </c>
      <c r="D12" s="20" t="n">
        <v>20.6</v>
      </c>
      <c r="E12" s="66" t="n">
        <f aca="false">C12*D12</f>
        <v>46413571.6</v>
      </c>
      <c r="F12" s="67" t="n">
        <f aca="false">E12/POWER(1+DiscRate,1+'Exhibit Z'!A12)</f>
        <v>28181889.2330772</v>
      </c>
      <c r="G12" s="67" t="n">
        <f aca="false">$E12/POWER(1+discrate2,1+'Exhibit Z'!$A12)</f>
        <v>28788943.852175</v>
      </c>
      <c r="H12" s="67" t="n">
        <f aca="false">$E12/POWER(1+DiscRate3,1+'Exhibit Z'!$A12)</f>
        <v>29410562.5139413</v>
      </c>
      <c r="I12" s="67" t="n">
        <f aca="false">$E12/POWER(1+DiscRate4,1+'Exhibit Z'!$A12)</f>
        <v>27589024.1887294</v>
      </c>
      <c r="J12" s="67" t="n">
        <f aca="false">$E12/POWER(1+DiscRate5,1+'Exhibit Z'!$A12)</f>
        <v>27009984.7302251</v>
      </c>
      <c r="K12" s="67" t="n">
        <f aca="false">$E12/POWER(1+DiscRate6,1+'Exhibit Z'!$A12)</f>
        <v>26444417.0307308</v>
      </c>
    </row>
    <row r="13" customFormat="false" ht="12.75" hidden="false" customHeight="false" outlineLevel="0" collapsed="false">
      <c r="A13" s="31" t="n">
        <v>9</v>
      </c>
      <c r="B13" s="64" t="n">
        <v>2007</v>
      </c>
      <c r="C13" s="65" t="n">
        <v>2253086</v>
      </c>
      <c r="D13" s="21" t="n">
        <v>21.45</v>
      </c>
      <c r="E13" s="66" t="n">
        <f aca="false">C13*D13</f>
        <v>48328694.7</v>
      </c>
      <c r="F13" s="67" t="n">
        <f aca="false">E13/POWER(1+DiscRate,1+'Exhibit Z'!A13)</f>
        <v>27762283.989745</v>
      </c>
      <c r="G13" s="67" t="n">
        <f aca="false">$E13/POWER(1+discrate2,1+'Exhibit Z'!$A13)</f>
        <v>28427536.4309756</v>
      </c>
      <c r="H13" s="67" t="n">
        <f aca="false">$E13/POWER(1+DiscRate3,1+'Exhibit Z'!$A13)</f>
        <v>29110366.1045092</v>
      </c>
      <c r="I13" s="67" t="n">
        <f aca="false">$E13/POWER(1+DiscRate4,1+'Exhibit Z'!$A13)</f>
        <v>27114116.3329582</v>
      </c>
      <c r="J13" s="67" t="n">
        <f aca="false">$E13/POWER(1+DiscRate5,1+'Exhibit Z'!$A13)</f>
        <v>26482555.9241278</v>
      </c>
      <c r="K13" s="67" t="n">
        <f aca="false">$E13/POWER(1+DiscRate6,1+'Exhibit Z'!$A13)</f>
        <v>25867139.6530198</v>
      </c>
    </row>
    <row r="14" customFormat="false" ht="12.75" hidden="false" customHeight="false" outlineLevel="0" collapsed="false">
      <c r="A14" s="31" t="n">
        <v>10</v>
      </c>
      <c r="B14" s="64" t="n">
        <v>2008</v>
      </c>
      <c r="C14" s="65" t="n">
        <v>2253086</v>
      </c>
      <c r="D14" s="21" t="n">
        <v>22.32</v>
      </c>
      <c r="E14" s="66" t="n">
        <f aca="false">C14*D14</f>
        <v>50288879.52</v>
      </c>
      <c r="F14" s="67" t="n">
        <f aca="false">E14/POWER(1+DiscRate,1+'Exhibit Z'!A14)</f>
        <v>27330469.9120354</v>
      </c>
      <c r="G14" s="67" t="n">
        <f aca="false">$E14/POWER(1+discrate2,1+'Exhibit Z'!$A14)</f>
        <v>28051722.5273581</v>
      </c>
      <c r="H14" s="67" t="n">
        <f aca="false">$E14/POWER(1+DiscRate3,1+'Exhibit Z'!$A14)</f>
        <v>28793789.2283162</v>
      </c>
      <c r="I14" s="67" t="n">
        <f aca="false">$E14/POWER(1+DiscRate4,1+'Exhibit Z'!$A14)</f>
        <v>26629400.3989491</v>
      </c>
      <c r="J14" s="67" t="n">
        <f aca="false">$E14/POWER(1+DiscRate5,1+'Exhibit Z'!$A14)</f>
        <v>25947903.556492</v>
      </c>
      <c r="K14" s="67" t="n">
        <f aca="false">$E14/POWER(1+DiscRate6,1+'Exhibit Z'!$A14)</f>
        <v>25285388.7893088</v>
      </c>
    </row>
    <row r="15" customFormat="false" ht="12.75" hidden="false" customHeight="false" outlineLevel="0" collapsed="false">
      <c r="A15" s="31" t="n">
        <v>11</v>
      </c>
      <c r="B15" s="64" t="n">
        <v>2009</v>
      </c>
      <c r="C15" s="65" t="n">
        <v>2253086</v>
      </c>
      <c r="D15" s="21" t="n">
        <v>23.24</v>
      </c>
      <c r="E15" s="66" t="n">
        <f aca="false">C15*D15</f>
        <v>52361718.64</v>
      </c>
      <c r="F15" s="67" t="n">
        <f aca="false">E15/POWER(1+DiscRate,1+'Exhibit Z'!A15)</f>
        <v>26922416.8945256</v>
      </c>
      <c r="G15" s="67" t="n">
        <f aca="false">$E15/POWER(1+discrate2,1+'Exhibit Z'!$A15)</f>
        <v>27698412.824361</v>
      </c>
      <c r="H15" s="67" t="n">
        <f aca="false">$E15/POWER(1+DiscRate3,1+'Exhibit Z'!$A15)</f>
        <v>28498697.7214449</v>
      </c>
      <c r="I15" s="67" t="n">
        <f aca="false">$E15/POWER(1+DiscRate4,1+'Exhibit Z'!$A15)</f>
        <v>26169917.8989708</v>
      </c>
      <c r="J15" s="67" t="n">
        <f aca="false">$E15/POWER(1+DiscRate5,1+'Exhibit Z'!$A15)</f>
        <v>25440151.4122975</v>
      </c>
      <c r="K15" s="67" t="n">
        <f aca="false">$E15/POWER(1+DiscRate6,1+'Exhibit Z'!$A15)</f>
        <v>24732379.5926006</v>
      </c>
    </row>
    <row r="16" customFormat="false" ht="12.75" hidden="false" customHeight="false" outlineLevel="0" collapsed="false">
      <c r="A16" s="31" t="n">
        <v>12</v>
      </c>
      <c r="B16" s="64" t="n">
        <v>2010</v>
      </c>
      <c r="C16" s="65" t="n">
        <v>2253086</v>
      </c>
      <c r="D16" s="21" t="n">
        <v>24.19</v>
      </c>
      <c r="E16" s="66" t="n">
        <f aca="false">C16*D16</f>
        <v>54502150.34</v>
      </c>
      <c r="F16" s="67" t="n">
        <f aca="false">E16/POWER(1+DiscRate,1+'Exhibit Z'!A16)</f>
        <v>26511774.8197239</v>
      </c>
      <c r="G16" s="67" t="n">
        <f aca="false">$E16/POWER(1+discrate2,1+'Exhibit Z'!$A16)</f>
        <v>27340600.2070175</v>
      </c>
      <c r="H16" s="67" t="n">
        <f aca="false">$E16/POWER(1+DiscRate3,1+'Exhibit Z'!$A16)</f>
        <v>28197397.0521583</v>
      </c>
      <c r="I16" s="67" t="n">
        <f aca="false">$E16/POWER(1+DiscRate4,1+'Exhibit Z'!$A16)</f>
        <v>25709944.7737463</v>
      </c>
      <c r="J16" s="67" t="n">
        <f aca="false">$E16/POWER(1+DiscRate5,1+'Exhibit Z'!$A16)</f>
        <v>24934170.2023379</v>
      </c>
      <c r="K16" s="67" t="n">
        <f aca="false">$E16/POWER(1+DiscRate6,1+'Exhibit Z'!$A16)</f>
        <v>24183546.0615195</v>
      </c>
    </row>
    <row r="17" customFormat="false" ht="12.75" hidden="false" customHeight="false" outlineLevel="0" collapsed="false">
      <c r="A17" s="31" t="n">
        <v>13</v>
      </c>
      <c r="B17" s="64" t="n">
        <v>2011</v>
      </c>
      <c r="C17" s="65" t="n">
        <v>2253086</v>
      </c>
      <c r="D17" s="21" t="n">
        <v>25.18</v>
      </c>
      <c r="E17" s="66" t="n">
        <f aca="false">C17*D17</f>
        <v>56732705.48</v>
      </c>
      <c r="F17" s="67" t="n">
        <f aca="false">E17/POWER(1+DiscRate,1+'Exhibit Z'!A17)</f>
        <v>26108605.2807519</v>
      </c>
      <c r="G17" s="67" t="n">
        <f aca="false">$E17/POWER(1+discrate2,1+'Exhibit Z'!$A17)</f>
        <v>26988659.7239493</v>
      </c>
      <c r="H17" s="67" t="n">
        <f aca="false">$E17/POWER(1+DiscRate3,1+'Exhibit Z'!$A17)</f>
        <v>27900573.9485311</v>
      </c>
      <c r="I17" s="67" t="n">
        <f aca="false">$E17/POWER(1+DiscRate4,1+'Exhibit Z'!$A17)</f>
        <v>25259226.085254</v>
      </c>
      <c r="J17" s="67" t="n">
        <f aca="false">$E17/POWER(1+DiscRate5,1+'Exhibit Z'!$A17)</f>
        <v>24439384.2880269</v>
      </c>
      <c r="K17" s="67" t="n">
        <f aca="false">$E17/POWER(1+DiscRate6,1+'Exhibit Z'!$A17)</f>
        <v>23647986.7802886</v>
      </c>
    </row>
    <row r="18" customFormat="false" ht="12.75" hidden="false" customHeight="false" outlineLevel="0" collapsed="false">
      <c r="A18" s="31" t="n">
        <v>14</v>
      </c>
      <c r="B18" s="64" t="n">
        <v>2012</v>
      </c>
      <c r="C18" s="65" t="n">
        <v>2253086</v>
      </c>
      <c r="D18" s="21" t="n">
        <v>26.22</v>
      </c>
      <c r="E18" s="66" t="n">
        <f aca="false">C18*D18</f>
        <v>59075914.92</v>
      </c>
      <c r="F18" s="67" t="n">
        <f aca="false">E18/POWER(1+DiscRate,1+'Exhibit Z'!A18)</f>
        <v>25720869.5485715</v>
      </c>
      <c r="G18" s="67" t="n">
        <f aca="false">$E18/POWER(1+discrate2,1+'Exhibit Z'!$A18)</f>
        <v>26650888.678309</v>
      </c>
      <c r="H18" s="67" t="n">
        <f aca="false">$E18/POWER(1+DiscRate3,1+'Exhibit Z'!$A18)</f>
        <v>27616863.8627164</v>
      </c>
      <c r="I18" s="67" t="n">
        <f aca="false">$E18/POWER(1+DiscRate4,1+'Exhibit Z'!$A18)</f>
        <v>24825387.7586</v>
      </c>
      <c r="J18" s="67" t="n">
        <f aca="false">$E18/POWER(1+DiscRate5,1+'Exhibit Z'!$A18)</f>
        <v>23963083.7268116</v>
      </c>
      <c r="K18" s="67" t="n">
        <f aca="false">$E18/POWER(1+DiscRate6,1+'Exhibit Z'!$A18)</f>
        <v>23132654.4093114</v>
      </c>
    </row>
    <row r="19" customFormat="false" ht="12.75" hidden="false" customHeight="false" outlineLevel="0" collapsed="false">
      <c r="A19" s="31" t="n">
        <v>15</v>
      </c>
      <c r="B19" s="64" t="n">
        <v>2013</v>
      </c>
      <c r="C19" s="65" t="n">
        <v>2253086</v>
      </c>
      <c r="D19" s="21" t="n">
        <v>27.29</v>
      </c>
      <c r="E19" s="66" t="n">
        <f aca="false">C19*D19</f>
        <v>61486716.94</v>
      </c>
      <c r="F19" s="67" t="n">
        <f aca="false">E19/POWER(1+DiscRate,1+'Exhibit Z'!A19)</f>
        <v>25326869.2166825</v>
      </c>
      <c r="G19" s="67" t="n">
        <f aca="false">$E19/POWER(1+discrate2,1+'Exhibit Z'!$A19)</f>
        <v>26304857.8639239</v>
      </c>
      <c r="H19" s="67" t="n">
        <f aca="false">$E19/POWER(1+DiscRate3,1+'Exhibit Z'!$A19)</f>
        <v>27323068.2907401</v>
      </c>
      <c r="I19" s="67" t="n">
        <f aca="false">$E19/POWER(1+DiscRate4,1+'Exhibit Z'!$A19)</f>
        <v>24387423.9403902</v>
      </c>
      <c r="J19" s="67" t="n">
        <f aca="false">$E19/POWER(1+DiscRate5,1+'Exhibit Z'!$A19)</f>
        <v>23484917.384003</v>
      </c>
      <c r="K19" s="67" t="n">
        <f aca="false">$E19/POWER(1+DiscRate6,1+'Exhibit Z'!$A19)</f>
        <v>22617815.2500881</v>
      </c>
    </row>
    <row r="20" customFormat="false" ht="12.75" hidden="false" customHeight="false" outlineLevel="0" collapsed="false">
      <c r="A20" s="31" t="n">
        <v>16</v>
      </c>
      <c r="B20" s="64" t="n">
        <v>2014</v>
      </c>
      <c r="C20" s="65" t="n">
        <v>2253086</v>
      </c>
      <c r="D20" s="21" t="n">
        <v>28.42</v>
      </c>
      <c r="E20" s="66" t="n">
        <f aca="false">C20*D20</f>
        <v>64032704.12</v>
      </c>
      <c r="F20" s="67" t="n">
        <f aca="false">E20/POWER(1+DiscRate,1+'Exhibit Z'!A20)</f>
        <v>24953246.591001</v>
      </c>
      <c r="G20" s="67" t="n">
        <f aca="false">$E20/POWER(1+discrate2,1+'Exhibit Z'!$A20)</f>
        <v>25978251.2814427</v>
      </c>
      <c r="H20" s="67" t="n">
        <f aca="false">$E20/POWER(1+DiscRate3,1+'Exhibit Z'!$A20)</f>
        <v>27047944.4420662</v>
      </c>
      <c r="I20" s="67" t="n">
        <f aca="false">$E20/POWER(1+DiscRate4,1+'Exhibit Z'!$A20)</f>
        <v>23970964.2827744</v>
      </c>
      <c r="J20" s="67" t="n">
        <f aca="false">$E20/POWER(1+DiscRate5,1+'Exhibit Z'!$A20)</f>
        <v>23029529.1092384</v>
      </c>
      <c r="K20" s="67" t="n">
        <f aca="false">$E20/POWER(1+DiscRate6,1+'Exhibit Z'!$A20)</f>
        <v>22127152.2664816</v>
      </c>
    </row>
    <row r="21" customFormat="false" ht="12.75" hidden="false" customHeight="false" outlineLevel="0" collapsed="false">
      <c r="A21" s="31" t="n">
        <v>17</v>
      </c>
      <c r="B21" s="64" t="n">
        <v>2015</v>
      </c>
      <c r="C21" s="65" t="n">
        <v>2253086</v>
      </c>
      <c r="D21" s="21" t="n">
        <v>29.58</v>
      </c>
      <c r="E21" s="66" t="n">
        <f aca="false">C21*D21</f>
        <v>66646283.88</v>
      </c>
      <c r="F21" s="67" t="n">
        <f aca="false">E21/POWER(1+DiscRate,1+'Exhibit Z'!A21)</f>
        <v>24571188.6961762</v>
      </c>
      <c r="G21" s="67" t="n">
        <f aca="false">$E21/POWER(1+discrate2,1+'Exhibit Z'!$A21)</f>
        <v>25641145.6315224</v>
      </c>
      <c r="H21" s="67" t="n">
        <f aca="false">$E21/POWER(1+DiscRate3,1+'Exhibit Z'!$A21)</f>
        <v>26760401.3064595</v>
      </c>
      <c r="I21" s="67" t="n">
        <f aca="false">$E21/POWER(1+DiscRate4,1+'Exhibit Z'!$A21)</f>
        <v>23548250.1068369</v>
      </c>
      <c r="J21" s="67" t="n">
        <f aca="false">$E21/POWER(1+DiscRate5,1+'Exhibit Z'!$A21)</f>
        <v>22570159.971005</v>
      </c>
      <c r="K21" s="67" t="n">
        <f aca="false">$E21/POWER(1+DiscRate6,1+'Exhibit Z'!$A21)</f>
        <v>21634853.3006884</v>
      </c>
    </row>
    <row r="22" customFormat="false" ht="12.75" hidden="false" customHeight="false" outlineLevel="0" collapsed="false">
      <c r="A22" s="31" t="n">
        <v>18</v>
      </c>
      <c r="B22" s="64" t="n">
        <v>2016</v>
      </c>
      <c r="C22" s="65" t="n">
        <v>2253086</v>
      </c>
      <c r="D22" s="21" t="n">
        <v>29.58</v>
      </c>
      <c r="E22" s="66" t="n">
        <f aca="false">C22*D22</f>
        <v>66646283.88</v>
      </c>
      <c r="F22" s="67" t="n">
        <f aca="false">E22/POWER(1+DiscRate,1+'Exhibit Z'!A22)</f>
        <v>23246157.7068838</v>
      </c>
      <c r="G22" s="67" t="n">
        <f aca="false">$E22/POWER(1+discrate2,1+'Exhibit Z'!$A22)</f>
        <v>24315927.5784944</v>
      </c>
      <c r="H22" s="67" t="n">
        <f aca="false">$E22/POWER(1+DiscRate3,1+'Exhibit Z'!$A22)</f>
        <v>25437643.827433</v>
      </c>
      <c r="I22" s="67" t="n">
        <f aca="false">$E22/POWER(1+DiscRate4,1+'Exhibit Z'!$A22)</f>
        <v>22225814.1640745</v>
      </c>
      <c r="J22" s="67" t="n">
        <f aca="false">$E22/POWER(1+DiscRate5,1+'Exhibit Z'!$A22)</f>
        <v>21252504.6807957</v>
      </c>
      <c r="K22" s="67" t="n">
        <f aca="false">$E22/POWER(1+DiscRate6,1+'Exhibit Z'!$A22)</f>
        <v>20323958.0091014</v>
      </c>
    </row>
    <row r="23" customFormat="false" ht="12.75" hidden="false" customHeight="false" outlineLevel="0" collapsed="false">
      <c r="A23" s="31" t="n">
        <v>19</v>
      </c>
      <c r="B23" s="64" t="n">
        <v>2017</v>
      </c>
      <c r="C23" s="65" t="n">
        <v>2253086</v>
      </c>
      <c r="D23" s="21" t="n">
        <v>29.58</v>
      </c>
      <c r="E23" s="66" t="n">
        <f aca="false">C23*D23</f>
        <v>66646283.88</v>
      </c>
      <c r="F23" s="67" t="n">
        <f aca="false">E23/POWER(1+DiscRate,1+'Exhibit Z'!A23)</f>
        <v>21992580.6119998</v>
      </c>
      <c r="G23" s="67" t="n">
        <f aca="false">$E23/POWER(1+discrate2,1+'Exhibit Z'!$A23)</f>
        <v>23059201.117586</v>
      </c>
      <c r="H23" s="67" t="n">
        <f aca="false">$E23/POWER(1+DiscRate3,1+'Exhibit Z'!$A23)</f>
        <v>24180269.7979401</v>
      </c>
      <c r="I23" s="67" t="n">
        <f aca="false">$E23/POWER(1+DiscRate4,1+'Exhibit Z'!$A23)</f>
        <v>20977644.3266394</v>
      </c>
      <c r="J23" s="67" t="n">
        <f aca="false">$E23/POWER(1+DiscRate5,1+'Exhibit Z'!$A23)</f>
        <v>20011774.65235</v>
      </c>
      <c r="K23" s="67" t="n">
        <f aca="false">$E23/POWER(1+DiscRate6,1+'Exhibit Z'!$A23)</f>
        <v>19092492.2584325</v>
      </c>
    </row>
    <row r="24" customFormat="false" ht="12.75" hidden="false" customHeight="false" outlineLevel="0" collapsed="false">
      <c r="A24" s="31" t="n">
        <v>20</v>
      </c>
      <c r="B24" s="64" t="n">
        <v>2018</v>
      </c>
      <c r="C24" s="65" t="n">
        <v>2253086</v>
      </c>
      <c r="D24" s="21" t="n">
        <v>29.58</v>
      </c>
      <c r="E24" s="68" t="n">
        <f aca="false">C24*D24</f>
        <v>66646283.88</v>
      </c>
      <c r="F24" s="69" t="n">
        <f aca="false">E24/POWER(1+DiscRate,1+'Exhibit Z'!A24)</f>
        <v>20806604.1740774</v>
      </c>
      <c r="G24" s="69" t="n">
        <f aca="false">$E24/POWER(1+discrate2,1+'Exhibit Z'!$A24)</f>
        <v>21867426.3798824</v>
      </c>
      <c r="H24" s="69" t="n">
        <f aca="false">$E24/POWER(1+DiscRate3,1+'Exhibit Z'!$A24)</f>
        <v>22985047.336445</v>
      </c>
      <c r="I24" s="69" t="n">
        <f aca="false">$E24/POWER(1+DiscRate4,1+'Exhibit Z'!$A24)</f>
        <v>19799569.9166016</v>
      </c>
      <c r="J24" s="69" t="n">
        <f aca="false">$E24/POWER(1+DiscRate5,1+'Exhibit Z'!$A24)</f>
        <v>18843478.957015</v>
      </c>
      <c r="K24" s="69" t="n">
        <f aca="false">$E24/POWER(1+DiscRate6,1+'Exhibit Z'!$A24)</f>
        <v>17935643.2676679</v>
      </c>
    </row>
    <row r="25" customFormat="false" ht="12.75" hidden="false" customHeight="false" outlineLevel="0" collapsed="false">
      <c r="B25" s="70"/>
      <c r="C25" s="71"/>
      <c r="D25" s="72"/>
      <c r="E25" s="73" t="n">
        <f aca="false">SUM(E5:E24)</f>
        <v>1048408249.61</v>
      </c>
      <c r="F25" s="74" t="n">
        <f aca="false">SUM(F5:F24)</f>
        <v>548920951.504973</v>
      </c>
      <c r="G25" s="69" t="n">
        <f aca="false">SUM(G5:G24)</f>
        <v>563123670.969369</v>
      </c>
      <c r="H25" s="74" t="n">
        <f aca="false">SUM(H5:H24)</f>
        <v>577837152.918067</v>
      </c>
      <c r="I25" s="69" t="n">
        <f aca="false">SUM(I5:I24)</f>
        <v>535208128.583781</v>
      </c>
      <c r="J25" s="74" t="n">
        <f aca="false">SUM(J5:J24)</f>
        <v>521965284.62777</v>
      </c>
      <c r="K25" s="69" t="n">
        <f aca="false">SUM(K5:K24)</f>
        <v>509173403.725172</v>
      </c>
    </row>
    <row r="27" customFormat="false" ht="12.75" hidden="false" customHeight="false" outlineLevel="0" collapsed="false">
      <c r="B27" s="31" t="s">
        <v>58</v>
      </c>
      <c r="I27" s="75"/>
    </row>
    <row r="28" customFormat="false" ht="12.75" hidden="false" customHeight="false" outlineLevel="0" collapsed="false">
      <c r="B28" s="35"/>
      <c r="I28" s="75"/>
    </row>
    <row r="29" customFormat="false" ht="12.75" hidden="false" customHeight="false" outlineLevel="0" collapsed="false">
      <c r="A29" s="35"/>
      <c r="B29" s="54"/>
      <c r="C29" s="55"/>
      <c r="D29" s="56"/>
      <c r="E29" s="56"/>
      <c r="F29" s="76" t="n">
        <f aca="false">DiscRate</f>
        <v>0.057</v>
      </c>
      <c r="G29" s="77"/>
      <c r="H29" s="78"/>
      <c r="I29" s="78"/>
      <c r="J29" s="76" t="n">
        <f aca="false">DiscRate3</f>
        <v>0.052</v>
      </c>
      <c r="K29" s="77"/>
      <c r="L29" s="78"/>
      <c r="M29" s="79"/>
      <c r="N29" s="76" t="n">
        <f aca="false">DiscRate5</f>
        <v>0.062</v>
      </c>
    </row>
    <row r="30" customFormat="false" ht="13.5" hidden="false" customHeight="false" outlineLevel="0" collapsed="false">
      <c r="A30" s="36"/>
      <c r="B30" s="59" t="s">
        <v>53</v>
      </c>
      <c r="C30" s="60" t="s">
        <v>54</v>
      </c>
      <c r="D30" s="61" t="s">
        <v>55</v>
      </c>
      <c r="E30" s="61" t="s">
        <v>56</v>
      </c>
      <c r="F30" s="62" t="s">
        <v>57</v>
      </c>
      <c r="G30" s="60" t="s">
        <v>54</v>
      </c>
      <c r="H30" s="61" t="s">
        <v>55</v>
      </c>
      <c r="I30" s="61" t="s">
        <v>56</v>
      </c>
      <c r="J30" s="62" t="s">
        <v>57</v>
      </c>
      <c r="K30" s="60" t="s">
        <v>54</v>
      </c>
      <c r="L30" s="61" t="s">
        <v>55</v>
      </c>
      <c r="M30" s="61" t="s">
        <v>56</v>
      </c>
      <c r="N30" s="62" t="s">
        <v>57</v>
      </c>
    </row>
    <row r="31" customFormat="false" ht="13.5" hidden="false" customHeight="false" outlineLevel="0" collapsed="false">
      <c r="A31" s="31" t="n">
        <v>1</v>
      </c>
      <c r="B31" s="64" t="n">
        <v>1999</v>
      </c>
      <c r="C31" s="65" t="n">
        <f aca="false">'Exhibit Y'!E21</f>
        <v>1491966.23067562</v>
      </c>
      <c r="D31" s="20" t="n">
        <f aca="false">'Exhibit Y'!D21</f>
        <v>24.401859060863</v>
      </c>
      <c r="E31" s="29" t="n">
        <f aca="false">C31*D31</f>
        <v>36406749.6845136</v>
      </c>
      <c r="F31" s="80" t="n">
        <f aca="false">$E31/POWER(1+DiscRate,1+'Exhibit Z'!$A31)</f>
        <v>32586066.028713</v>
      </c>
      <c r="G31" s="65" t="n">
        <f aca="false">'Exhibit Y'!E28</f>
        <v>1546661.19411411</v>
      </c>
      <c r="H31" s="20" t="n">
        <f aca="false">'Exhibit Y'!D28</f>
        <v>24.0063695637796</v>
      </c>
      <c r="I31" s="29" t="n">
        <f aca="false">G31*H31</f>
        <v>37129720.21586</v>
      </c>
      <c r="J31" s="80" t="n">
        <f aca="false">$I31/POWER(1+DiscRate3,1+'Exhibit Z'!$A31)</f>
        <v>33549820.2011197</v>
      </c>
      <c r="K31" s="65" t="n">
        <f aca="false">'Exhibit Y'!E35</f>
        <v>1436006.54079522</v>
      </c>
      <c r="L31" s="20" t="n">
        <f aca="false">'Exhibit Y'!D35</f>
        <v>24.8064935686205</v>
      </c>
      <c r="M31" s="29" t="n">
        <f aca="false">K31*L31</f>
        <v>35622287.0187335</v>
      </c>
      <c r="N31" s="80" t="n">
        <f aca="false">$M31/POWER(1+DiscRate5,1+'Exhibit Z'!$A31)</f>
        <v>31584409.7399405</v>
      </c>
    </row>
    <row r="32" customFormat="false" ht="12.75" hidden="false" customHeight="false" outlineLevel="0" collapsed="false">
      <c r="A32" s="31" t="n">
        <v>2</v>
      </c>
      <c r="B32" s="64" t="n">
        <v>2000</v>
      </c>
      <c r="C32" s="65" t="n">
        <f aca="false">'Exhibit Y'!E22</f>
        <v>1367635.52751163</v>
      </c>
      <c r="D32" s="20" t="n">
        <f aca="false">'Exhibit Y'!D22</f>
        <v>25.3223895497319</v>
      </c>
      <c r="E32" s="29" t="n">
        <f aca="false">C32*D32</f>
        <v>34631799.5897026</v>
      </c>
      <c r="F32" s="80" t="n">
        <f aca="false">$E32/POWER(1+DiscRate,1+'Exhibit Z'!$A32)</f>
        <v>29325815.4828731</v>
      </c>
      <c r="G32" s="65" t="n">
        <f aca="false">'Exhibit Y'!E29</f>
        <v>1417772.57058703</v>
      </c>
      <c r="H32" s="20" t="n">
        <f aca="false">'Exhibit Y'!D29</f>
        <v>24.911980691825</v>
      </c>
      <c r="I32" s="29" t="n">
        <f aca="false">G32*H32</f>
        <v>35319522.9038632</v>
      </c>
      <c r="J32" s="80" t="n">
        <f aca="false">$I32/POWER(1+DiscRate3,1+'Exhibit Z'!$A32)</f>
        <v>30336649.1611614</v>
      </c>
      <c r="K32" s="65" t="n">
        <f aca="false">'Exhibit Y'!E36</f>
        <v>1316339.1520204</v>
      </c>
      <c r="L32" s="20" t="n">
        <f aca="false">'Exhibit Y'!D36</f>
        <v>25.7422884027309</v>
      </c>
      <c r="M32" s="29" t="n">
        <f aca="false">K32*L32</f>
        <v>33885582.0871153</v>
      </c>
      <c r="N32" s="80" t="n">
        <f aca="false">$M32/POWER(1+DiscRate5,1+'Exhibit Z'!$A32)</f>
        <v>28290550.6130682</v>
      </c>
    </row>
    <row r="33" customFormat="false" ht="12.75" hidden="false" customHeight="false" outlineLevel="0" collapsed="false">
      <c r="A33" s="31" t="n">
        <v>3</v>
      </c>
      <c r="B33" s="64" t="n">
        <v>2001</v>
      </c>
      <c r="C33" s="65" t="n">
        <f aca="false">'Exhibit Y'!$E$23</f>
        <v>1243304.82434764</v>
      </c>
      <c r="D33" s="20" t="n">
        <f aca="false">D7*(1+'Exhibit Y'!$D$20)</f>
        <v>26.3209310969795</v>
      </c>
      <c r="E33" s="29" t="n">
        <f aca="false">C33*D33</f>
        <v>32724940.6141965</v>
      </c>
      <c r="F33" s="80" t="n">
        <f aca="false">$E33/POWER(1+DiscRate,1+'Exhibit Z'!$A33)</f>
        <v>26216753.9345841</v>
      </c>
      <c r="G33" s="65" t="n">
        <f aca="false">'Exhibit Y'!$E$30</f>
        <v>1288883.94705995</v>
      </c>
      <c r="H33" s="20" t="n">
        <f aca="false">D7*(1+'Exhibit Y'!$D$27)</f>
        <v>25.894338525637</v>
      </c>
      <c r="I33" s="29" t="n">
        <f aca="false">G33*H33</f>
        <v>33374797.2454295</v>
      </c>
      <c r="J33" s="80" t="n">
        <f aca="false">$I33/POWER(1+DiscRate3,1+'Exhibit Z'!$A33)</f>
        <v>27249320.4830521</v>
      </c>
      <c r="K33" s="65" t="n">
        <f aca="false">'Exhibit Y'!$E$37</f>
        <v>1196671.76324558</v>
      </c>
      <c r="L33" s="20" t="n">
        <f aca="false">D7*(1+'Exhibit Y'!$D$34)</f>
        <v>26.7573878837997</v>
      </c>
      <c r="M33" s="29" t="n">
        <f aca="false">K33*L33</f>
        <v>32019810.5387526</v>
      </c>
      <c r="N33" s="80" t="n">
        <f aca="false">$M33/POWER(1+DiscRate5,1+'Exhibit Z'!$A33)</f>
        <v>25172172.0170118</v>
      </c>
    </row>
    <row r="34" customFormat="false" ht="12.75" hidden="false" customHeight="false" outlineLevel="0" collapsed="false">
      <c r="A34" s="31" t="n">
        <v>4</v>
      </c>
      <c r="B34" s="64" t="n">
        <v>2002</v>
      </c>
      <c r="C34" s="65" t="n">
        <f aca="false">'Exhibit Y'!$E$23</f>
        <v>1243304.82434764</v>
      </c>
      <c r="D34" s="20" t="n">
        <f aca="false">D8*(1+'Exhibit Y'!$D$20)</f>
        <v>27.3662792792543</v>
      </c>
      <c r="E34" s="29" t="n">
        <f aca="false">C34*D34</f>
        <v>34024627.0523418</v>
      </c>
      <c r="F34" s="80" t="n">
        <f aca="false">$E34/POWER(1+DiscRate,1+'Exhibit Z'!$A34)</f>
        <v>25788046.0470774</v>
      </c>
      <c r="G34" s="65" t="n">
        <f aca="false">'Exhibit Y'!$E$30</f>
        <v>1288883.94705995</v>
      </c>
      <c r="H34" s="20" t="n">
        <f aca="false">D8*(1+'Exhibit Y'!$D$27)</f>
        <v>26.9227443829089</v>
      </c>
      <c r="I34" s="29" t="n">
        <f aca="false">G34*H34</f>
        <v>34700293.0459297</v>
      </c>
      <c r="J34" s="80" t="n">
        <f aca="false">$I34/POWER(1+DiscRate3,1+'Exhibit Z'!$A34)</f>
        <v>26931121.7559876</v>
      </c>
      <c r="K34" s="65" t="n">
        <f aca="false">'Exhibit Y'!$E$37</f>
        <v>1196671.76324558</v>
      </c>
      <c r="L34" s="20" t="n">
        <f aca="false">D8*(1+'Exhibit Y'!$D$34)</f>
        <v>27.8200701530437</v>
      </c>
      <c r="M34" s="29" t="n">
        <f aca="false">K34*L34</f>
        <v>33291492.4036586</v>
      </c>
      <c r="N34" s="80" t="n">
        <f aca="false">$M34/POWER(1+DiscRate5,1+'Exhibit Z'!$A34)</f>
        <v>24643970.5189003</v>
      </c>
    </row>
    <row r="35" customFormat="false" ht="12.75" hidden="false" customHeight="false" outlineLevel="0" collapsed="false">
      <c r="A35" s="31" t="n">
        <v>5</v>
      </c>
      <c r="B35" s="64" t="n">
        <v>2003</v>
      </c>
      <c r="C35" s="65" t="n">
        <f aca="false">'Exhibit Y'!$E$23</f>
        <v>1243304.82434764</v>
      </c>
      <c r="D35" s="20" t="n">
        <f aca="false">D9*(1+'Exhibit Y'!$D$20)</f>
        <v>28.4896385199078</v>
      </c>
      <c r="E35" s="29" t="n">
        <f aca="false">C35*D35</f>
        <v>35421305.0157219</v>
      </c>
      <c r="F35" s="80" t="n">
        <f aca="false">$E35/POWER(1+DiscRate,1+'Exhibit Z'!$A35)</f>
        <v>25398883.9576108</v>
      </c>
      <c r="G35" s="65" t="n">
        <f aca="false">'Exhibit Y'!$E$30</f>
        <v>1288883.94705995</v>
      </c>
      <c r="H35" s="20" t="n">
        <f aca="false">D9*(1+'Exhibit Y'!$D$27)</f>
        <v>28.0278969459473</v>
      </c>
      <c r="I35" s="29" t="n">
        <f aca="false">G35*H35</f>
        <v>36124706.4434821</v>
      </c>
      <c r="J35" s="80" t="n">
        <f aca="false">$I35/POWER(1+DiscRate3,1+'Exhibit Z'!$A35)</f>
        <v>26650777.7586231</v>
      </c>
      <c r="K35" s="65" t="n">
        <f aca="false">'Exhibit Y'!$E$37</f>
        <v>1196671.76324558</v>
      </c>
      <c r="L35" s="20" t="n">
        <f aca="false">D9*(1+'Exhibit Y'!$D$34)</f>
        <v>28.9620570692462</v>
      </c>
      <c r="M35" s="29" t="n">
        <f aca="false">K35*L35</f>
        <v>34658075.900274</v>
      </c>
      <c r="N35" s="80" t="n">
        <f aca="false">$M35/POWER(1+DiscRate5,1+'Exhibit Z'!$A35)</f>
        <v>24157798.1388315</v>
      </c>
    </row>
    <row r="36" customFormat="false" ht="12.75" hidden="false" customHeight="false" outlineLevel="0" collapsed="false">
      <c r="A36" s="31" t="n">
        <v>6</v>
      </c>
      <c r="B36" s="64" t="n">
        <v>2004</v>
      </c>
      <c r="C36" s="65" t="n">
        <f aca="false">'Exhibit Y'!$E$23</f>
        <v>1243304.82434764</v>
      </c>
      <c r="D36" s="20" t="n">
        <f aca="false">D10*(1+'Exhibit Y'!$D$20)</f>
        <v>29.6598043955886</v>
      </c>
      <c r="E36" s="29" t="n">
        <f aca="false">C36*D36</f>
        <v>36876177.8942427</v>
      </c>
      <c r="F36" s="80" t="n">
        <f aca="false">$E36/POWER(1+DiscRate,1+'Exhibit Z'!$A36)</f>
        <v>25016179.8324725</v>
      </c>
      <c r="G36" s="65" t="n">
        <f aca="false">'Exhibit Y'!$E$30</f>
        <v>1288883.94705995</v>
      </c>
      <c r="H36" s="20" t="n">
        <f aca="false">D10*(1+'Exhibit Y'!$D$27)</f>
        <v>29.1790975324457</v>
      </c>
      <c r="I36" s="29" t="n">
        <f aca="false">G36*H36</f>
        <v>37608470.3992659</v>
      </c>
      <c r="J36" s="80" t="n">
        <f aca="false">$I36/POWER(1+DiscRate3,1+'Exhibit Z'!$A36)</f>
        <v>26373969.0107522</v>
      </c>
      <c r="K36" s="65" t="n">
        <f aca="false">'Exhibit Y'!$E$37</f>
        <v>1196671.76324558</v>
      </c>
      <c r="L36" s="20" t="n">
        <f aca="false">D10*(1+'Exhibit Y'!$D$34)</f>
        <v>30.1516267736238</v>
      </c>
      <c r="M36" s="29" t="n">
        <f aca="false">K36*L36</f>
        <v>36081600.375915</v>
      </c>
      <c r="N36" s="80" t="n">
        <f aca="false">$M36/POWER(1+DiscRate5,1+'Exhibit Z'!$A36)</f>
        <v>23681770.874932</v>
      </c>
    </row>
    <row r="37" customFormat="false" ht="12.75" hidden="false" customHeight="false" outlineLevel="0" collapsed="false">
      <c r="A37" s="31" t="n">
        <v>7</v>
      </c>
      <c r="B37" s="64" t="n">
        <v>2005</v>
      </c>
      <c r="C37" s="65" t="n">
        <f aca="false">'Exhibit Y'!$E$23</f>
        <v>1243304.82434764</v>
      </c>
      <c r="D37" s="20" t="n">
        <f aca="false">D11*(1+'Exhibit Y'!$D$20)</f>
        <v>30.8767769062966</v>
      </c>
      <c r="E37" s="29" t="n">
        <f aca="false">C37*D37</f>
        <v>38389245.6879045</v>
      </c>
      <c r="F37" s="80" t="n">
        <f aca="false">$E37/POWER(1+DiscRate,1+'Exhibit Z'!$A37)</f>
        <v>24638239.9386784</v>
      </c>
      <c r="G37" s="65" t="n">
        <f aca="false">'Exhibit Y'!$E$30</f>
        <v>1288883.94705995</v>
      </c>
      <c r="H37" s="20" t="n">
        <f aca="false">D11*(1+'Exhibit Y'!$D$27)</f>
        <v>30.376346142404</v>
      </c>
      <c r="I37" s="29" t="n">
        <f aca="false">G37*H37</f>
        <v>39151584.913281</v>
      </c>
      <c r="J37" s="80" t="n">
        <f aca="false">$I37/POWER(1+DiscRate3,1+'Exhibit Z'!$A37)</f>
        <v>26098973.6601902</v>
      </c>
      <c r="K37" s="65" t="n">
        <f aca="false">'Exhibit Y'!$E$37</f>
        <v>1196671.76324558</v>
      </c>
      <c r="L37" s="20" t="n">
        <f aca="false">D11*(1+'Exhibit Y'!$D$34)</f>
        <v>31.3887792661765</v>
      </c>
      <c r="M37" s="29" t="n">
        <f aca="false">K37*L37</f>
        <v>37562065.8305817</v>
      </c>
      <c r="N37" s="80" t="n">
        <f aca="false">$M37/POWER(1+DiscRate5,1+'Exhibit Z'!$A37)</f>
        <v>23214179.3552459</v>
      </c>
    </row>
    <row r="38" customFormat="false" ht="12.75" hidden="false" customHeight="false" outlineLevel="0" collapsed="false">
      <c r="A38" s="31" t="n">
        <v>8</v>
      </c>
      <c r="B38" s="64" t="n">
        <v>2006</v>
      </c>
      <c r="C38" s="65" t="n">
        <f aca="false">'Exhibit Y'!$E$23</f>
        <v>1243304.82434764</v>
      </c>
      <c r="D38" s="20" t="n">
        <f aca="false">D12*(1+'Exhibit Y'!$D$20)</f>
        <v>32.1405560520318</v>
      </c>
      <c r="E38" s="29" t="n">
        <f aca="false">C38*D38</f>
        <v>39960508.396707</v>
      </c>
      <c r="F38" s="80" t="n">
        <f aca="false">$E38/POWER(1+DiscRate,1+'Exhibit Z'!$A38)</f>
        <v>24263649.2411941</v>
      </c>
      <c r="G38" s="65" t="n">
        <f aca="false">'Exhibit Y'!$E$30</f>
        <v>1288883.94705995</v>
      </c>
      <c r="H38" s="20" t="n">
        <f aca="false">D12*(1+'Exhibit Y'!$D$27)</f>
        <v>31.6196427758223</v>
      </c>
      <c r="I38" s="29" t="n">
        <f aca="false">G38*H38</f>
        <v>40754049.9855275</v>
      </c>
      <c r="J38" s="80" t="n">
        <f aca="false">$I38/POWER(1+DiscRate3,1+'Exhibit Z'!$A38)</f>
        <v>25824333.1309509</v>
      </c>
      <c r="K38" s="65" t="n">
        <f aca="false">'Exhibit Y'!$E$37</f>
        <v>1196671.76324558</v>
      </c>
      <c r="L38" s="20" t="n">
        <f aca="false">D12*(1+'Exhibit Y'!$D$34)</f>
        <v>32.6735145469042</v>
      </c>
      <c r="M38" s="29" t="n">
        <f aca="false">K38*L38</f>
        <v>39099472.264274</v>
      </c>
      <c r="N38" s="80" t="n">
        <f aca="false">$M38/POWER(1+DiscRate5,1+'Exhibit Z'!$A38)</f>
        <v>22753606.594195</v>
      </c>
    </row>
    <row r="39" customFormat="false" ht="12.75" hidden="false" customHeight="false" outlineLevel="0" collapsed="false">
      <c r="A39" s="31" t="n">
        <v>9</v>
      </c>
      <c r="B39" s="64" t="n">
        <v>2007</v>
      </c>
      <c r="C39" s="65" t="n">
        <f aca="false">'Exhibit Y'!$E$23</f>
        <v>1243304.82434764</v>
      </c>
      <c r="D39" s="20" t="n">
        <f aca="false">D13*(1+'Exhibit Y'!$D$20)</f>
        <v>33.46674404447</v>
      </c>
      <c r="E39" s="29" t="n">
        <f aca="false">C39*D39</f>
        <v>41609364.3256974</v>
      </c>
      <c r="F39" s="80" t="n">
        <f aca="false">$E39/POWER(1+DiscRate,1+'Exhibit Z'!$A39)</f>
        <v>23902383.3814153</v>
      </c>
      <c r="G39" s="65" t="n">
        <f aca="false">'Exhibit Y'!$E$30</f>
        <v>1288883.94705995</v>
      </c>
      <c r="H39" s="20" t="n">
        <f aca="false">D13*(1+'Exhibit Y'!$D$27)</f>
        <v>32.9243367738538</v>
      </c>
      <c r="I39" s="29" t="n">
        <f aca="false">G39*H39</f>
        <v>42435649.1354157</v>
      </c>
      <c r="J39" s="80" t="n">
        <f aca="false">$I39/POWER(1+DiscRate3,1+'Exhibit Z'!$A39)</f>
        <v>25560741.7059921</v>
      </c>
      <c r="K39" s="65" t="n">
        <f aca="false">'Exhibit Y'!$E$37</f>
        <v>1196671.76324558</v>
      </c>
      <c r="L39" s="20" t="n">
        <f aca="false">D13*(1+'Exhibit Y'!$D$34)</f>
        <v>34.0216935451988</v>
      </c>
      <c r="M39" s="29" t="n">
        <f aca="false">K39*L39</f>
        <v>40712800.0033339</v>
      </c>
      <c r="N39" s="80" t="n">
        <f aca="false">$M39/POWER(1+DiscRate5,1+'Exhibit Z'!$A39)</f>
        <v>22309292.8457702</v>
      </c>
    </row>
    <row r="40" customFormat="false" ht="12.75" hidden="false" customHeight="false" outlineLevel="0" collapsed="false">
      <c r="A40" s="31" t="n">
        <v>10</v>
      </c>
      <c r="B40" s="64" t="n">
        <v>2008</v>
      </c>
      <c r="C40" s="65" t="n">
        <f aca="false">'Exhibit Y'!$E$23</f>
        <v>1243304.82434764</v>
      </c>
      <c r="D40" s="20" t="n">
        <f aca="false">D14*(1+'Exhibit Y'!$D$20)</f>
        <v>34.8241364602597</v>
      </c>
      <c r="E40" s="29" t="n">
        <f aca="false">C40*D40</f>
        <v>43297016.8647816</v>
      </c>
      <c r="F40" s="80" t="n">
        <f aca="false">$E40/POWER(1+DiscRate,1+'Exhibit Z'!$A40)</f>
        <v>23530606.1299932</v>
      </c>
      <c r="G40" s="65" t="n">
        <f aca="false">'Exhibit Y'!$E$30</f>
        <v>1288883.94705995</v>
      </c>
      <c r="H40" s="20" t="n">
        <f aca="false">D14*(1+'Exhibit Y'!$D$27)</f>
        <v>34.2597294541919</v>
      </c>
      <c r="I40" s="29" t="n">
        <f aca="false">G40*H40</f>
        <v>44156815.3241249</v>
      </c>
      <c r="J40" s="80" t="n">
        <f aca="false">$I40/POWER(1+DiscRate3,1+'Exhibit Z'!$A40)</f>
        <v>25282767.1956954</v>
      </c>
      <c r="K40" s="65" t="n">
        <f aca="false">'Exhibit Y'!$E$37</f>
        <v>1196671.76324558</v>
      </c>
      <c r="L40" s="20" t="n">
        <f aca="false">D14*(1+'Exhibit Y'!$D$34)</f>
        <v>35.4015944022768</v>
      </c>
      <c r="M40" s="29" t="n">
        <f aca="false">K40*L40</f>
        <v>42364088.3950775</v>
      </c>
      <c r="N40" s="80" t="n">
        <f aca="false">$M40/POWER(1+DiscRate5,1+'Exhibit Z'!$A40)</f>
        <v>21858893.863344</v>
      </c>
    </row>
    <row r="41" customFormat="false" ht="12.75" hidden="false" customHeight="false" outlineLevel="0" collapsed="false">
      <c r="A41" s="31" t="n">
        <v>11</v>
      </c>
      <c r="B41" s="64" t="n">
        <v>2009</v>
      </c>
      <c r="C41" s="65" t="n">
        <f aca="false">'Exhibit Y'!$E$23</f>
        <v>1243304.82434764</v>
      </c>
      <c r="D41" s="20" t="n">
        <f aca="false">D15*(1+'Exhibit Y'!$D$20)</f>
        <v>36.2595399344281</v>
      </c>
      <c r="E41" s="29" t="n">
        <f aca="false">C41*D41</f>
        <v>45081660.9291005</v>
      </c>
      <c r="F41" s="80" t="n">
        <f aca="false">$E41/POWER(1+DiscRate,1+'Exhibit Z'!$A41)</f>
        <v>23179286.344198</v>
      </c>
      <c r="G41" s="65" t="n">
        <f aca="false">'Exhibit Y'!$E$30</f>
        <v>1288883.94705995</v>
      </c>
      <c r="H41" s="20" t="n">
        <f aca="false">D15*(1+'Exhibit Y'!$D$27)</f>
        <v>35.6718688402966</v>
      </c>
      <c r="I41" s="29" t="n">
        <f aca="false">G41*H41</f>
        <v>45976899.1098863</v>
      </c>
      <c r="J41" s="80" t="n">
        <f aca="false">$I41/POWER(1+DiscRate3,1+'Exhibit Z'!$A41)</f>
        <v>25023658.1979009</v>
      </c>
      <c r="K41" s="65" t="n">
        <f aca="false">'Exhibit Y'!$E$37</f>
        <v>1196671.76324558</v>
      </c>
      <c r="L41" s="20" t="n">
        <f aca="false">D15*(1+'Exhibit Y'!$D$34)</f>
        <v>36.8607999063133</v>
      </c>
      <c r="M41" s="29" t="n">
        <f aca="false">K41*L41</f>
        <v>44110278.4185305</v>
      </c>
      <c r="N41" s="80" t="n">
        <f aca="false">$M41/POWER(1+DiscRate5,1+'Exhibit Z'!$A41)</f>
        <v>21431156.0229952</v>
      </c>
    </row>
    <row r="42" customFormat="false" ht="12.75" hidden="false" customHeight="false" outlineLevel="0" collapsed="false">
      <c r="A42" s="31" t="n">
        <v>12</v>
      </c>
      <c r="B42" s="64" t="n">
        <v>2010</v>
      </c>
      <c r="C42" s="65" t="n">
        <f aca="false">'Exhibit Y'!$E$23</f>
        <v>1243304.82434764</v>
      </c>
      <c r="D42" s="20" t="n">
        <f aca="false">D16*(1+'Exhibit Y'!$D$20)</f>
        <v>37.7417500436238</v>
      </c>
      <c r="E42" s="29" t="n">
        <f aca="false">C42*D42</f>
        <v>46924499.9085603</v>
      </c>
      <c r="F42" s="80" t="n">
        <f aca="false">$E42/POWER(1+DiscRate,1+'Exhibit Z'!$A42)</f>
        <v>22825737.4680293</v>
      </c>
      <c r="G42" s="65" t="n">
        <f aca="false">'Exhibit Y'!$E$30</f>
        <v>1288883.94705995</v>
      </c>
      <c r="H42" s="20" t="n">
        <f aca="false">D16*(1+'Exhibit Y'!$D$27)</f>
        <v>37.1300562498612</v>
      </c>
      <c r="I42" s="29" t="n">
        <f aca="false">G42*H42</f>
        <v>47856333.4538791</v>
      </c>
      <c r="J42" s="80" t="n">
        <f aca="false">$I42/POWER(1+DiscRate3,1+'Exhibit Z'!$A42)</f>
        <v>24759097.1629821</v>
      </c>
      <c r="K42" s="65" t="n">
        <f aca="false">'Exhibit Y'!$E$37</f>
        <v>1196671.76324558</v>
      </c>
      <c r="L42" s="20" t="n">
        <f aca="false">D16*(1+'Exhibit Y'!$D$34)</f>
        <v>38.3675881985249</v>
      </c>
      <c r="M42" s="29" t="n">
        <f aca="false">K42*L42</f>
        <v>45913409.4210092</v>
      </c>
      <c r="N42" s="80" t="n">
        <f aca="false">$M42/POWER(1+DiscRate5,1+'Exhibit Z'!$A42)</f>
        <v>21004910.0435744</v>
      </c>
    </row>
    <row r="43" customFormat="false" ht="12.75" hidden="false" customHeight="false" outlineLevel="0" collapsed="false">
      <c r="A43" s="31" t="n">
        <v>13</v>
      </c>
      <c r="B43" s="64" t="n">
        <v>2011</v>
      </c>
      <c r="C43" s="65" t="n">
        <f aca="false">'Exhibit Y'!$E$23</f>
        <v>1243304.82434764</v>
      </c>
      <c r="D43" s="20" t="n">
        <f aca="false">D17*(1+'Exhibit Y'!$D$20)</f>
        <v>39.2863689995224</v>
      </c>
      <c r="E43" s="29" t="n">
        <f aca="false">C43*D43</f>
        <v>48844932.1082079</v>
      </c>
      <c r="F43" s="80" t="n">
        <f aca="false">$E43/POWER(1+DiscRate,1+'Exhibit Z'!$A43)</f>
        <v>22478622.1913548</v>
      </c>
      <c r="G43" s="65" t="n">
        <f aca="false">'Exhibit Y'!$E$30</f>
        <v>1288883.94705995</v>
      </c>
      <c r="H43" s="20" t="n">
        <f aca="false">D17*(1+'Exhibit Y'!$D$27)</f>
        <v>38.649641024039</v>
      </c>
      <c r="I43" s="29" t="n">
        <f aca="false">G43*H43</f>
        <v>49814901.8755137</v>
      </c>
      <c r="J43" s="80" t="n">
        <f aca="false">$I43/POWER(1+DiscRate3,1+'Exhibit Z'!$A43)</f>
        <v>24498467.7137698</v>
      </c>
      <c r="K43" s="65" t="n">
        <f aca="false">'Exhibit Y'!$E$37</f>
        <v>1196671.76324558</v>
      </c>
      <c r="L43" s="20" t="n">
        <f aca="false">D17*(1+'Exhibit Y'!$D$34)</f>
        <v>39.9378202083033</v>
      </c>
      <c r="M43" s="29" t="n">
        <f aca="false">K43*L43</f>
        <v>47792461.7288554</v>
      </c>
      <c r="N43" s="80" t="n">
        <f aca="false">$M43/POWER(1+DiscRate5,1+'Exhibit Z'!$A43)</f>
        <v>20588095.1451201</v>
      </c>
    </row>
    <row r="44" customFormat="false" ht="12.75" hidden="false" customHeight="false" outlineLevel="0" collapsed="false">
      <c r="A44" s="31" t="n">
        <v>14</v>
      </c>
      <c r="B44" s="64" t="n">
        <v>2012</v>
      </c>
      <c r="C44" s="65" t="n">
        <f aca="false">'Exhibit Y'!$E$23</f>
        <v>1243304.82434764</v>
      </c>
      <c r="D44" s="20" t="n">
        <f aca="false">D18*(1+'Exhibit Y'!$D$20)</f>
        <v>40.9089990137997</v>
      </c>
      <c r="E44" s="29" t="n">
        <f aca="false">C44*D44</f>
        <v>50862355.8330902</v>
      </c>
      <c r="F44" s="80" t="n">
        <f aca="false">$E44/POWER(1+DiscRate,1+'Exhibit Z'!$A44)</f>
        <v>22144794.8980142</v>
      </c>
      <c r="G44" s="65" t="n">
        <f aca="false">'Exhibit Y'!$E$30</f>
        <v>1288883.94705995</v>
      </c>
      <c r="H44" s="20" t="n">
        <f aca="false">D18*(1+'Exhibit Y'!$D$27)</f>
        <v>40.2459725039835</v>
      </c>
      <c r="I44" s="29" t="n">
        <f aca="false">G44*H44</f>
        <v>51872387.8942005</v>
      </c>
      <c r="J44" s="80" t="n">
        <f aca="false">$I44/POWER(1+DiscRate3,1+'Exhibit Z'!$A44)</f>
        <v>24249352.3231609</v>
      </c>
      <c r="K44" s="65" t="n">
        <f aca="false">'Exhibit Y'!$E$37</f>
        <v>1196671.76324558</v>
      </c>
      <c r="L44" s="20" t="n">
        <f aca="false">D18*(1+'Exhibit Y'!$D$34)</f>
        <v>41.5873568650403</v>
      </c>
      <c r="M44" s="29" t="n">
        <f aca="false">K44*L44</f>
        <v>49766415.668411</v>
      </c>
      <c r="N44" s="80" t="n">
        <f aca="false">$M44/POWER(1+DiscRate5,1+'Exhibit Z'!$A44)</f>
        <v>20186852.5787606</v>
      </c>
    </row>
    <row r="45" customFormat="false" ht="12.75" hidden="false" customHeight="false" outlineLevel="0" collapsed="false">
      <c r="A45" s="31" t="n">
        <v>15</v>
      </c>
      <c r="B45" s="64" t="n">
        <v>2013</v>
      </c>
      <c r="C45" s="65" t="n">
        <f aca="false">'Exhibit Y'!$E$23</f>
        <v>1243304.82434764</v>
      </c>
      <c r="D45" s="20" t="n">
        <f aca="false">D19*(1+'Exhibit Y'!$D$20)</f>
        <v>42.5784356631043</v>
      </c>
      <c r="E45" s="29" t="n">
        <f aca="false">C45*D45</f>
        <v>52937974.4731133</v>
      </c>
      <c r="F45" s="80" t="n">
        <f aca="false">$E45/POWER(1+DiscRate,1+'Exhibit Z'!$A45)</f>
        <v>21805573.997144</v>
      </c>
      <c r="G45" s="65" t="n">
        <f aca="false">'Exhibit Y'!$E$30</f>
        <v>1288883.94705995</v>
      </c>
      <c r="H45" s="20" t="n">
        <f aca="false">D19*(1+'Exhibit Y'!$D$27)</f>
        <v>41.8883520073878</v>
      </c>
      <c r="I45" s="29" t="n">
        <f aca="false">G45*H45</f>
        <v>53989224.4711187</v>
      </c>
      <c r="J45" s="80" t="n">
        <f aca="false">$I45/POWER(1+DiscRate3,1+'Exhibit Z'!$A45)</f>
        <v>23991381.2381291</v>
      </c>
      <c r="K45" s="65" t="n">
        <f aca="false">'Exhibit Y'!$E$37</f>
        <v>1196671.76324558</v>
      </c>
      <c r="L45" s="20" t="n">
        <f aca="false">D19*(1+'Exhibit Y'!$D$34)</f>
        <v>43.2844763099523</v>
      </c>
      <c r="M45" s="29" t="n">
        <f aca="false">K45*L45</f>
        <v>51797310.5869922</v>
      </c>
      <c r="N45" s="80" t="n">
        <f aca="false">$M45/POWER(1+DiscRate5,1+'Exhibit Z'!$A45)</f>
        <v>19784038.2506696</v>
      </c>
    </row>
    <row r="46" customFormat="false" ht="12.75" hidden="false" customHeight="false" outlineLevel="0" collapsed="false">
      <c r="A46" s="31" t="n">
        <v>16</v>
      </c>
      <c r="B46" s="64" t="n">
        <v>2014</v>
      </c>
      <c r="C46" s="65" t="n">
        <f aca="false">'Exhibit Y'!$E$23</f>
        <v>1243304.82434764</v>
      </c>
      <c r="D46" s="20" t="n">
        <f aca="false">D20*(1+'Exhibit Y'!$D$20)</f>
        <v>44.3414855824633</v>
      </c>
      <c r="E46" s="29" t="n">
        <f aca="false">C46*D46</f>
        <v>55129982.9434181</v>
      </c>
      <c r="F46" s="80" t="n">
        <f aca="false">$E46/POWER(1+DiscRate,1+'Exhibit Z'!$A46)</f>
        <v>21483897.6090519</v>
      </c>
      <c r="G46" s="65" t="n">
        <f aca="false">'Exhibit Y'!$E$30</f>
        <v>1288883.94705995</v>
      </c>
      <c r="H46" s="20" t="n">
        <f aca="false">D20*(1+'Exhibit Y'!$D$27)</f>
        <v>43.6228275577121</v>
      </c>
      <c r="I46" s="29" t="n">
        <f aca="false">G46*H46</f>
        <v>56224762.1644995</v>
      </c>
      <c r="J46" s="80" t="n">
        <f aca="false">$I46/POWER(1+DiscRate3,1+'Exhibit Z'!$A46)</f>
        <v>23749805.1065248</v>
      </c>
      <c r="K46" s="65" t="n">
        <f aca="false">'Exhibit Y'!$E$37</f>
        <v>1196671.76324558</v>
      </c>
      <c r="L46" s="20" t="n">
        <f aca="false">D20*(1+'Exhibit Y'!$D$34)</f>
        <v>45.0767613312145</v>
      </c>
      <c r="M46" s="29" t="n">
        <f aca="false">K46*L46</f>
        <v>53942087.4636247</v>
      </c>
      <c r="N46" s="80" t="n">
        <f aca="false">$M46/POWER(1+DiscRate5,1+'Exhibit Z'!$A46)</f>
        <v>19400412.5005962</v>
      </c>
    </row>
    <row r="47" customFormat="false" ht="12.75" hidden="false" customHeight="false" outlineLevel="0" collapsed="false">
      <c r="A47" s="31" t="n">
        <v>17</v>
      </c>
      <c r="B47" s="64" t="n">
        <v>2015</v>
      </c>
      <c r="C47" s="65" t="n">
        <f aca="false">'Exhibit Y'!$E$23</f>
        <v>1243304.82434764</v>
      </c>
      <c r="D47" s="20" t="n">
        <f aca="false">D21*(1+'Exhibit Y'!$D$20)</f>
        <v>46.1513421368496</v>
      </c>
      <c r="E47" s="29" t="n">
        <f aca="false">C47*D47</f>
        <v>57380186.3288638</v>
      </c>
      <c r="F47" s="80" t="n">
        <f aca="false">$E47/POWER(1+DiscRate,1+'Exhibit Z'!$A47)</f>
        <v>21154958.7407882</v>
      </c>
      <c r="G47" s="65" t="n">
        <f aca="false">'Exhibit Y'!$E$30</f>
        <v>1288883.94705995</v>
      </c>
      <c r="H47" s="20" t="n">
        <f aca="false">D21*(1+'Exhibit Y'!$D$27)</f>
        <v>45.4033511314962</v>
      </c>
      <c r="I47" s="29" t="n">
        <f aca="false">G47*H47</f>
        <v>58519650.4161118</v>
      </c>
      <c r="J47" s="80" t="n">
        <f aca="false">$I47/POWER(1+DiscRate3,1+'Exhibit Z'!$A47)</f>
        <v>23497324.0558851</v>
      </c>
      <c r="K47" s="65" t="n">
        <f aca="false">'Exhibit Y'!$E$37</f>
        <v>1196671.76324558</v>
      </c>
      <c r="L47" s="20" t="n">
        <f aca="false">D21*(1+'Exhibit Y'!$D$34)</f>
        <v>46.9166291406518</v>
      </c>
      <c r="M47" s="29" t="n">
        <f aca="false">K47*L47</f>
        <v>56143805.3192828</v>
      </c>
      <c r="N47" s="80" t="n">
        <f aca="false">$M47/POWER(1+DiscRate5,1+'Exhibit Z'!$A47)</f>
        <v>19013433.2128523</v>
      </c>
    </row>
    <row r="48" customFormat="false" ht="12.75" hidden="false" customHeight="false" outlineLevel="0" collapsed="false">
      <c r="A48" s="31" t="n">
        <v>18</v>
      </c>
      <c r="B48" s="64" t="n">
        <v>2016</v>
      </c>
      <c r="C48" s="65" t="n">
        <f aca="false">'Exhibit Y'!$E$23</f>
        <v>1243304.82434764</v>
      </c>
      <c r="D48" s="20" t="n">
        <f aca="false">D22*(1+'Exhibit Y'!$D$20)</f>
        <v>46.1513421368496</v>
      </c>
      <c r="E48" s="29" t="n">
        <f aca="false">C48*D48</f>
        <v>57380186.3288638</v>
      </c>
      <c r="F48" s="80" t="n">
        <f aca="false">$E48/POWER(1+DiscRate,1+'Exhibit Z'!$A48)</f>
        <v>20014152.0726473</v>
      </c>
      <c r="G48" s="65" t="n">
        <f aca="false">'Exhibit Y'!$E$30</f>
        <v>1288883.94705995</v>
      </c>
      <c r="H48" s="20" t="n">
        <f aca="false">D22*(1+'Exhibit Y'!$D$27)</f>
        <v>45.4033511314962</v>
      </c>
      <c r="I48" s="29" t="n">
        <f aca="false">G48*H48</f>
        <v>58519650.4161118</v>
      </c>
      <c r="J48" s="80" t="n">
        <f aca="false">$I48/POWER(1+DiscRate3,1+'Exhibit Z'!$A48)</f>
        <v>22335859.3687121</v>
      </c>
      <c r="K48" s="65" t="n">
        <f aca="false">'Exhibit Y'!$E$37</f>
        <v>1196671.76324558</v>
      </c>
      <c r="L48" s="20" t="n">
        <f aca="false">D22*(1+'Exhibit Y'!$D$34)</f>
        <v>46.9166291406518</v>
      </c>
      <c r="M48" s="29" t="n">
        <f aca="false">K48*L48</f>
        <v>56143805.3192828</v>
      </c>
      <c r="N48" s="80" t="n">
        <f aca="false">$M48/POWER(1+DiscRate5,1+'Exhibit Z'!$A48)</f>
        <v>17903421.1043807</v>
      </c>
    </row>
    <row r="49" customFormat="false" ht="12.75" hidden="false" customHeight="false" outlineLevel="0" collapsed="false">
      <c r="A49" s="31" t="n">
        <v>19</v>
      </c>
      <c r="B49" s="64" t="n">
        <v>2017</v>
      </c>
      <c r="C49" s="65" t="n">
        <f aca="false">'Exhibit Y'!$E$23</f>
        <v>1243304.82434764</v>
      </c>
      <c r="D49" s="20" t="n">
        <f aca="false">D23*(1+'Exhibit Y'!$D$20)</f>
        <v>46.1513421368496</v>
      </c>
      <c r="E49" s="29" t="n">
        <f aca="false">C49*D49</f>
        <v>57380186.3288638</v>
      </c>
      <c r="F49" s="80" t="n">
        <f aca="false">$E49/POWER(1+DiscRate,1+'Exhibit Z'!$A49)</f>
        <v>18934864.7801772</v>
      </c>
      <c r="G49" s="65" t="n">
        <f aca="false">'Exhibit Y'!$E$30</f>
        <v>1288883.94705995</v>
      </c>
      <c r="H49" s="20" t="n">
        <f aca="false">D23*(1+'Exhibit Y'!$D$27)</f>
        <v>45.4033511314962</v>
      </c>
      <c r="I49" s="29" t="n">
        <f aca="false">G49*H49</f>
        <v>58519650.4161118</v>
      </c>
      <c r="J49" s="80" t="n">
        <f aca="false">$I49/POWER(1+DiscRate3,1+'Exhibit Z'!$A49)</f>
        <v>21231805.4835666</v>
      </c>
      <c r="K49" s="65" t="n">
        <f aca="false">'Exhibit Y'!$E$37</f>
        <v>1196671.76324558</v>
      </c>
      <c r="L49" s="20" t="n">
        <f aca="false">D23*(1+'Exhibit Y'!$D$34)</f>
        <v>46.9166291406518</v>
      </c>
      <c r="M49" s="29" t="n">
        <f aca="false">K49*L49</f>
        <v>56143805.3192828</v>
      </c>
      <c r="N49" s="80" t="n">
        <f aca="false">$M49/POWER(1+DiscRate5,1+'Exhibit Z'!$A49)</f>
        <v>16858211.9626937</v>
      </c>
    </row>
    <row r="50" customFormat="false" ht="12.75" hidden="false" customHeight="false" outlineLevel="0" collapsed="false">
      <c r="A50" s="31" t="n">
        <v>20</v>
      </c>
      <c r="B50" s="64" t="n">
        <v>2018</v>
      </c>
      <c r="C50" s="65" t="n">
        <f aca="false">'Exhibit Y'!$E$23</f>
        <v>1243304.82434764</v>
      </c>
      <c r="D50" s="20" t="n">
        <f aca="false">D24*(1+'Exhibit Y'!$D$20)</f>
        <v>46.1513421368496</v>
      </c>
      <c r="E50" s="39" t="n">
        <f aca="false">C50*D50</f>
        <v>57380186.3288638</v>
      </c>
      <c r="F50" s="73" t="n">
        <f aca="false">$E50/POWER(1+DiscRate,1+'Exhibit Z'!$A50)</f>
        <v>17913779.3568375</v>
      </c>
      <c r="G50" s="65" t="n">
        <f aca="false">'Exhibit Y'!$E$30</f>
        <v>1288883.94705995</v>
      </c>
      <c r="H50" s="20" t="n">
        <f aca="false">D24*(1+'Exhibit Y'!$D$27)</f>
        <v>45.4033511314962</v>
      </c>
      <c r="I50" s="39" t="n">
        <f aca="false">G50*H50</f>
        <v>58519650.4161118</v>
      </c>
      <c r="J50" s="73" t="n">
        <f aca="false">$I50/POWER(1+DiscRate3,1+'Exhibit Z'!$A50)</f>
        <v>20182324.6041508</v>
      </c>
      <c r="K50" s="65" t="n">
        <f aca="false">'Exhibit Y'!$E$37</f>
        <v>1196671.76324558</v>
      </c>
      <c r="L50" s="20" t="n">
        <f aca="false">D24*(1+'Exhibit Y'!$D$34)</f>
        <v>46.9166291406518</v>
      </c>
      <c r="M50" s="39" t="n">
        <f aca="false">K50*L50</f>
        <v>56143805.3192828</v>
      </c>
      <c r="N50" s="73" t="n">
        <f aca="false">$M50/POWER(1+DiscRate5,1+'Exhibit Z'!$A50)</f>
        <v>15874022.5637417</v>
      </c>
    </row>
    <row r="51" customFormat="false" ht="12.75" hidden="false" customHeight="false" outlineLevel="0" collapsed="false">
      <c r="B51" s="70"/>
      <c r="C51" s="71"/>
      <c r="D51" s="72"/>
      <c r="E51" s="81" t="n">
        <f aca="false">SUM(E31:E50)</f>
        <v>902643886.636755</v>
      </c>
      <c r="F51" s="82" t="n">
        <f aca="false">SUM(F31:F50)</f>
        <v>472602291.432855</v>
      </c>
      <c r="G51" s="71"/>
      <c r="H51" s="72"/>
      <c r="I51" s="81" t="n">
        <f aca="false">SUM(I31:I50)</f>
        <v>920568720.245724</v>
      </c>
      <c r="J51" s="82" t="n">
        <f aca="false">SUM(J31:J50)</f>
        <v>507377549.318307</v>
      </c>
      <c r="K51" s="71"/>
      <c r="L51" s="72"/>
      <c r="M51" s="81" t="n">
        <f aca="false">SUM(M31:M50)</f>
        <v>883194459.38227</v>
      </c>
      <c r="N51" s="82" t="n">
        <f aca="false">SUM(N31:N50)</f>
        <v>439711197.946624</v>
      </c>
    </row>
    <row r="54" customFormat="false" ht="12.75" hidden="false" customHeight="false" outlineLevel="0" collapsed="false">
      <c r="B54" s="31" t="s">
        <v>59</v>
      </c>
      <c r="K54" s="28"/>
      <c r="L54" s="28"/>
      <c r="M54" s="28"/>
      <c r="N54" s="28"/>
    </row>
    <row r="55" customFormat="false" ht="12.75" hidden="false" customHeight="false" outlineLevel="0" collapsed="false">
      <c r="K55" s="83"/>
      <c r="L55" s="83"/>
      <c r="M55" s="83"/>
      <c r="N55" s="83"/>
    </row>
    <row r="56" customFormat="false" ht="12.75" hidden="false" customHeight="false" outlineLevel="0" collapsed="false">
      <c r="B56" s="54"/>
      <c r="C56" s="84" t="s">
        <v>60</v>
      </c>
      <c r="D56" s="84"/>
      <c r="E56" s="84"/>
      <c r="F56" s="84"/>
      <c r="G56" s="84" t="s">
        <v>61</v>
      </c>
      <c r="H56" s="84"/>
      <c r="I56" s="84"/>
      <c r="J56" s="84"/>
      <c r="K56" s="84" t="s">
        <v>62</v>
      </c>
      <c r="L56" s="84"/>
      <c r="M56" s="84"/>
      <c r="N56" s="84"/>
    </row>
    <row r="57" customFormat="false" ht="12.75" hidden="false" customHeight="false" outlineLevel="0" collapsed="false">
      <c r="A57" s="35"/>
      <c r="B57" s="64"/>
      <c r="C57" s="42"/>
      <c r="D57" s="21"/>
      <c r="E57" s="21"/>
      <c r="F57" s="85" t="n">
        <f aca="false">DiscRate</f>
        <v>0.057</v>
      </c>
      <c r="G57" s="42"/>
      <c r="H57" s="21"/>
      <c r="I57" s="21"/>
      <c r="J57" s="85" t="n">
        <f aca="false">DiscRate</f>
        <v>0.057</v>
      </c>
      <c r="K57" s="42"/>
      <c r="L57" s="21"/>
      <c r="M57" s="21"/>
      <c r="N57" s="85" t="n">
        <f aca="false">DiscRate</f>
        <v>0.057</v>
      </c>
    </row>
    <row r="58" customFormat="false" ht="13.5" hidden="false" customHeight="false" outlineLevel="0" collapsed="false">
      <c r="A58" s="36"/>
      <c r="B58" s="59" t="s">
        <v>53</v>
      </c>
      <c r="C58" s="60" t="s">
        <v>54</v>
      </c>
      <c r="D58" s="61" t="s">
        <v>55</v>
      </c>
      <c r="E58" s="61" t="s">
        <v>56</v>
      </c>
      <c r="F58" s="62" t="s">
        <v>57</v>
      </c>
      <c r="G58" s="60" t="s">
        <v>54</v>
      </c>
      <c r="H58" s="61" t="s">
        <v>55</v>
      </c>
      <c r="I58" s="61" t="s">
        <v>56</v>
      </c>
      <c r="J58" s="62" t="s">
        <v>57</v>
      </c>
      <c r="K58" s="60" t="s">
        <v>54</v>
      </c>
      <c r="L58" s="61" t="s">
        <v>55</v>
      </c>
      <c r="M58" s="61" t="s">
        <v>56</v>
      </c>
      <c r="N58" s="62" t="s">
        <v>57</v>
      </c>
    </row>
    <row r="59" customFormat="false" ht="13.5" hidden="false" customHeight="false" outlineLevel="0" collapsed="false">
      <c r="A59" s="31" t="n">
        <v>1</v>
      </c>
      <c r="B59" s="64" t="n">
        <v>1999</v>
      </c>
      <c r="C59" s="65" t="n">
        <f aca="false">C31</f>
        <v>1491966.23067562</v>
      </c>
      <c r="D59" s="30" t="n">
        <f aca="false">D31</f>
        <v>24.401859060863</v>
      </c>
      <c r="E59" s="29" t="n">
        <f aca="false">C59*D59</f>
        <v>36406749.6845136</v>
      </c>
      <c r="F59" s="80" t="n">
        <f aca="false">$E59/POWER(1+DiscRate,1+'Exhibit Z'!$A59)</f>
        <v>32586066.028713</v>
      </c>
      <c r="G59" s="65" t="n">
        <f aca="false">'Exhibit Y'!I21</f>
        <v>1643433.45184117</v>
      </c>
      <c r="H59" s="20" t="n">
        <f aca="false">D59</f>
        <v>24.401859060863</v>
      </c>
      <c r="I59" s="29" t="n">
        <f aca="false">G59*H59</f>
        <v>40102831.4677359</v>
      </c>
      <c r="J59" s="80" t="n">
        <f aca="false">$I59/POWER(1+DiscRate,1+'Exhibit Z'!$A59)</f>
        <v>35894264.8127104</v>
      </c>
      <c r="K59" s="65" t="n">
        <f aca="false">'Exhibit Y'!G21</f>
        <v>1264765.3989273</v>
      </c>
      <c r="L59" s="20" t="n">
        <f aca="false">D59</f>
        <v>24.401859060863</v>
      </c>
      <c r="M59" s="29" t="n">
        <f aca="false">K59*L59</f>
        <v>30862627.0096803</v>
      </c>
      <c r="N59" s="80" t="n">
        <f aca="false">$M59/POWER(1+DiscRate,1+'Exhibit Z'!$A59)</f>
        <v>27623767.852717</v>
      </c>
    </row>
    <row r="60" customFormat="false" ht="12.75" hidden="false" customHeight="false" outlineLevel="0" collapsed="false">
      <c r="A60" s="31" t="n">
        <v>2</v>
      </c>
      <c r="B60" s="64" t="n">
        <v>2000</v>
      </c>
      <c r="C60" s="65" t="n">
        <f aca="false">C32</f>
        <v>1367635.52751163</v>
      </c>
      <c r="D60" s="30" t="n">
        <f aca="false">D32</f>
        <v>25.3223895497319</v>
      </c>
      <c r="E60" s="29" t="n">
        <f aca="false">C60*D60</f>
        <v>34631799.5897026</v>
      </c>
      <c r="F60" s="80" t="n">
        <f aca="false">$E60/POWER(1+DiscRate,1+'Exhibit Z'!$A60)</f>
        <v>29325815.4828731</v>
      </c>
      <c r="G60" s="65" t="n">
        <f aca="false">'Exhibit Y'!I22</f>
        <v>1506480.46157268</v>
      </c>
      <c r="H60" s="20" t="n">
        <f aca="false">D60</f>
        <v>25.3223895497319</v>
      </c>
      <c r="I60" s="29" t="n">
        <f aca="false">G60*H60</f>
        <v>38147685.0970033</v>
      </c>
      <c r="J60" s="80" t="n">
        <f aca="false">$I60/POWER(1+DiscRate,1+'Exhibit Z'!$A60)</f>
        <v>32303027.4922849</v>
      </c>
      <c r="K60" s="65" t="n">
        <f aca="false">'Exhibit Y'!G22</f>
        <v>1159368.12642007</v>
      </c>
      <c r="L60" s="20" t="n">
        <f aca="false">D60</f>
        <v>25.3223895497319</v>
      </c>
      <c r="M60" s="29" t="n">
        <f aca="false">K60*L60</f>
        <v>29357971.3287517</v>
      </c>
      <c r="N60" s="80" t="n">
        <f aca="false">$M60/POWER(1+DiscRate,1+'Exhibit Z'!$A60)</f>
        <v>24859997.4687553</v>
      </c>
    </row>
    <row r="61" customFormat="false" ht="12.75" hidden="false" customHeight="false" outlineLevel="0" collapsed="false">
      <c r="A61" s="31" t="n">
        <v>3</v>
      </c>
      <c r="B61" s="64" t="n">
        <v>2001</v>
      </c>
      <c r="C61" s="65" t="n">
        <f aca="false">C33</f>
        <v>1243304.82434764</v>
      </c>
      <c r="D61" s="30" t="n">
        <f aca="false">D33</f>
        <v>26.3209310969795</v>
      </c>
      <c r="E61" s="29" t="n">
        <f aca="false">C61*D61</f>
        <v>32724940.6141965</v>
      </c>
      <c r="F61" s="80" t="n">
        <f aca="false">$E61/POWER(1+DiscRate,1+'Exhibit Z'!$A61)</f>
        <v>26216753.9345841</v>
      </c>
      <c r="G61" s="65" t="n">
        <f aca="false">'Exhibit Y'!$I$23</f>
        <v>1369527.47130419</v>
      </c>
      <c r="H61" s="20" t="n">
        <f aca="false">D61</f>
        <v>26.3209310969795</v>
      </c>
      <c r="I61" s="29" t="n">
        <f aca="false">G61*H61</f>
        <v>36047238.2076181</v>
      </c>
      <c r="J61" s="80" t="n">
        <f aca="false">$I61/POWER(1+DiscRate,1+'Exhibit Z'!$A61)</f>
        <v>28878328.1611363</v>
      </c>
      <c r="K61" s="65" t="n">
        <f aca="false">'Exhibit Y'!$G$23</f>
        <v>1053970.85391283</v>
      </c>
      <c r="L61" s="20" t="n">
        <f aca="false">D61</f>
        <v>26.3209310969795</v>
      </c>
      <c r="M61" s="29" t="n">
        <f aca="false">K61*L61</f>
        <v>27741494.2240641</v>
      </c>
      <c r="N61" s="80" t="n">
        <f aca="false">$M61/POWER(1+DiscRate,1+'Exhibit Z'!$A61)</f>
        <v>22224392.5947559</v>
      </c>
    </row>
    <row r="62" customFormat="false" ht="12.75" hidden="false" customHeight="false" outlineLevel="0" collapsed="false">
      <c r="A62" s="31" t="n">
        <v>4</v>
      </c>
      <c r="B62" s="64" t="n">
        <v>2002</v>
      </c>
      <c r="C62" s="65" t="n">
        <f aca="false">C34</f>
        <v>1243304.82434764</v>
      </c>
      <c r="D62" s="30" t="n">
        <f aca="false">D34</f>
        <v>27.3662792792543</v>
      </c>
      <c r="E62" s="29" t="n">
        <f aca="false">C62*D62</f>
        <v>34024627.0523418</v>
      </c>
      <c r="F62" s="80" t="n">
        <f aca="false">$E62/POWER(1+DiscRate,1+'Exhibit Z'!$A62)</f>
        <v>25788046.0470774</v>
      </c>
      <c r="G62" s="65" t="n">
        <f aca="false">'Exhibit Y'!$I$23</f>
        <v>1369527.47130419</v>
      </c>
      <c r="H62" s="20" t="n">
        <f aca="false">D62</f>
        <v>27.3662792792543</v>
      </c>
      <c r="I62" s="29" t="n">
        <f aca="false">G62*H62</f>
        <v>37478871.2603213</v>
      </c>
      <c r="J62" s="80" t="n">
        <f aca="false">$I62/POWER(1+DiscRate,1+'Exhibit Z'!$A62)</f>
        <v>28406097.0416172</v>
      </c>
      <c r="K62" s="65" t="n">
        <f aca="false">'Exhibit Y'!$G$23</f>
        <v>1053970.85391283</v>
      </c>
      <c r="L62" s="20" t="n">
        <f aca="false">D62</f>
        <v>27.3662792792543</v>
      </c>
      <c r="M62" s="29" t="n">
        <f aca="false">K62*L62</f>
        <v>28843260.7403725</v>
      </c>
      <c r="N62" s="80" t="n">
        <f aca="false">$M62/POWER(1+DiscRate,1+'Exhibit Z'!$A62)</f>
        <v>21860969.5552679</v>
      </c>
    </row>
    <row r="63" customFormat="false" ht="12.75" hidden="false" customHeight="false" outlineLevel="0" collapsed="false">
      <c r="A63" s="31" t="n">
        <v>5</v>
      </c>
      <c r="B63" s="64" t="n">
        <v>2003</v>
      </c>
      <c r="C63" s="65" t="n">
        <f aca="false">C35</f>
        <v>1243304.82434764</v>
      </c>
      <c r="D63" s="30" t="n">
        <f aca="false">D35</f>
        <v>28.4896385199078</v>
      </c>
      <c r="E63" s="29" t="n">
        <f aca="false">C63*D63</f>
        <v>35421305.0157219</v>
      </c>
      <c r="F63" s="80" t="n">
        <f aca="false">$E63/POWER(1+DiscRate,1+'Exhibit Z'!$A63)</f>
        <v>25398883.9576108</v>
      </c>
      <c r="G63" s="65" t="n">
        <f aca="false">'Exhibit Y'!$I$23</f>
        <v>1369527.47130419</v>
      </c>
      <c r="H63" s="20" t="n">
        <f aca="false">D63</f>
        <v>28.4896385199078</v>
      </c>
      <c r="I63" s="29" t="n">
        <f aca="false">G63*H63</f>
        <v>39017342.6005398</v>
      </c>
      <c r="J63" s="80" t="n">
        <f aca="false">$I63/POWER(1+DiscRate,1+'Exhibit Z'!$A63)</f>
        <v>27977426.4840214</v>
      </c>
      <c r="K63" s="65" t="n">
        <f aca="false">'Exhibit Y'!$G$23</f>
        <v>1053970.85391283</v>
      </c>
      <c r="L63" s="20" t="n">
        <f aca="false">D63</f>
        <v>28.4896385199078</v>
      </c>
      <c r="M63" s="29" t="n">
        <f aca="false">K63*L63</f>
        <v>30027248.638495</v>
      </c>
      <c r="N63" s="80" t="n">
        <f aca="false">$M63/POWER(1+DiscRate,1+'Exhibit Z'!$A63)</f>
        <v>21531070.1679951</v>
      </c>
    </row>
    <row r="64" customFormat="false" ht="12.75" hidden="false" customHeight="false" outlineLevel="0" collapsed="false">
      <c r="A64" s="31" t="n">
        <v>6</v>
      </c>
      <c r="B64" s="64" t="n">
        <v>2004</v>
      </c>
      <c r="C64" s="65" t="n">
        <f aca="false">C36</f>
        <v>1243304.82434764</v>
      </c>
      <c r="D64" s="30" t="n">
        <f aca="false">D36</f>
        <v>29.6598043955886</v>
      </c>
      <c r="E64" s="29" t="n">
        <f aca="false">C64*D64</f>
        <v>36876177.8942427</v>
      </c>
      <c r="F64" s="80" t="n">
        <f aca="false">$E64/POWER(1+DiscRate,1+'Exhibit Z'!$A64)</f>
        <v>25016179.8324725</v>
      </c>
      <c r="G64" s="65" t="n">
        <f aca="false">'Exhibit Y'!$I$23</f>
        <v>1369527.47130419</v>
      </c>
      <c r="H64" s="20" t="n">
        <f aca="false">D64</f>
        <v>29.6598043955886</v>
      </c>
      <c r="I64" s="29" t="n">
        <f aca="false">G64*H64</f>
        <v>40619916.9132673</v>
      </c>
      <c r="J64" s="80" t="n">
        <f aca="false">$I64/POWER(1+DiscRate,1+'Exhibit Z'!$A64)</f>
        <v>27555869.515453</v>
      </c>
      <c r="K64" s="65" t="n">
        <f aca="false">'Exhibit Y'!$G$23</f>
        <v>1053970.85391283</v>
      </c>
      <c r="L64" s="20" t="n">
        <f aca="false">D64</f>
        <v>29.6598043955886</v>
      </c>
      <c r="M64" s="29" t="n">
        <f aca="false">K64*L64</f>
        <v>31260569.3657059</v>
      </c>
      <c r="N64" s="80" t="n">
        <f aca="false">$M64/POWER(1+DiscRate,1+'Exhibit Z'!$A64)</f>
        <v>21206645.3080017</v>
      </c>
    </row>
    <row r="65" customFormat="false" ht="12.75" hidden="false" customHeight="false" outlineLevel="0" collapsed="false">
      <c r="A65" s="31" t="n">
        <v>7</v>
      </c>
      <c r="B65" s="64" t="n">
        <v>2005</v>
      </c>
      <c r="C65" s="65" t="n">
        <f aca="false">C37</f>
        <v>1243304.82434764</v>
      </c>
      <c r="D65" s="30" t="n">
        <f aca="false">D37</f>
        <v>30.8767769062966</v>
      </c>
      <c r="E65" s="29" t="n">
        <f aca="false">C65*D65</f>
        <v>38389245.6879045</v>
      </c>
      <c r="F65" s="80" t="n">
        <f aca="false">$E65/POWER(1+DiscRate,1+'Exhibit Z'!$A65)</f>
        <v>24638239.9386784</v>
      </c>
      <c r="G65" s="65" t="n">
        <f aca="false">'Exhibit Y'!$I$23</f>
        <v>1369527.47130419</v>
      </c>
      <c r="H65" s="20" t="n">
        <f aca="false">D65</f>
        <v>30.8767769062966</v>
      </c>
      <c r="I65" s="29" t="n">
        <f aca="false">G65*H65</f>
        <v>42286594.1985039</v>
      </c>
      <c r="J65" s="80" t="n">
        <f aca="false">$I65/POWER(1+DiscRate,1+'Exhibit Z'!$A65)</f>
        <v>27139560.4519662</v>
      </c>
      <c r="K65" s="65" t="n">
        <f aca="false">'Exhibit Y'!$G$23</f>
        <v>1053970.85391283</v>
      </c>
      <c r="L65" s="20" t="n">
        <f aca="false">D65</f>
        <v>30.8767769062966</v>
      </c>
      <c r="M65" s="29" t="n">
        <f aca="false">K65*L65</f>
        <v>32543222.9220053</v>
      </c>
      <c r="N65" s="80" t="n">
        <f aca="false">$M65/POWER(1+DiscRate,1+'Exhibit Z'!$A65)</f>
        <v>20886259.1687467</v>
      </c>
    </row>
    <row r="66" customFormat="false" ht="12.75" hidden="false" customHeight="false" outlineLevel="0" collapsed="false">
      <c r="A66" s="31" t="n">
        <v>8</v>
      </c>
      <c r="B66" s="64" t="n">
        <v>2006</v>
      </c>
      <c r="C66" s="65" t="n">
        <f aca="false">C38</f>
        <v>1243304.82434764</v>
      </c>
      <c r="D66" s="30" t="n">
        <f aca="false">D38</f>
        <v>32.1405560520318</v>
      </c>
      <c r="E66" s="29" t="n">
        <f aca="false">C66*D66</f>
        <v>39960508.396707</v>
      </c>
      <c r="F66" s="80" t="n">
        <f aca="false">$E66/POWER(1+DiscRate,1+'Exhibit Z'!$A66)</f>
        <v>24263649.2411941</v>
      </c>
      <c r="G66" s="65" t="n">
        <f aca="false">'Exhibit Y'!$I$23</f>
        <v>1369527.47130419</v>
      </c>
      <c r="H66" s="20" t="n">
        <f aca="false">D66</f>
        <v>32.1405560520318</v>
      </c>
      <c r="I66" s="29" t="n">
        <f aca="false">G66*H66</f>
        <v>44017374.4562497</v>
      </c>
      <c r="J66" s="80" t="n">
        <f aca="false">$I66/POWER(1+DiscRate,1+'Exhibit Z'!$A66)</f>
        <v>26726940.6015052</v>
      </c>
      <c r="K66" s="65" t="n">
        <f aca="false">'Exhibit Y'!$G$23</f>
        <v>1053970.85391283</v>
      </c>
      <c r="L66" s="20" t="n">
        <f aca="false">D66</f>
        <v>32.1405560520318</v>
      </c>
      <c r="M66" s="29" t="n">
        <f aca="false">K66*L66</f>
        <v>33875209.3073931</v>
      </c>
      <c r="N66" s="80" t="n">
        <f aca="false">$M66/POWER(1+DiscRate,1+'Exhibit Z'!$A66)</f>
        <v>20568712.2007275</v>
      </c>
    </row>
    <row r="67" customFormat="false" ht="12.75" hidden="false" customHeight="false" outlineLevel="0" collapsed="false">
      <c r="A67" s="31" t="n">
        <v>9</v>
      </c>
      <c r="B67" s="64" t="n">
        <v>2007</v>
      </c>
      <c r="C67" s="65" t="n">
        <f aca="false">C39</f>
        <v>1243304.82434764</v>
      </c>
      <c r="D67" s="30" t="n">
        <f aca="false">D39</f>
        <v>33.46674404447</v>
      </c>
      <c r="E67" s="29" t="n">
        <f aca="false">C67*D67</f>
        <v>41609364.3256974</v>
      </c>
      <c r="F67" s="80" t="n">
        <f aca="false">$E67/POWER(1+DiscRate,1+'Exhibit Z'!$A67)</f>
        <v>23902383.3814153</v>
      </c>
      <c r="G67" s="65" t="n">
        <f aca="false">'Exhibit Y'!$I$23</f>
        <v>1369527.47130419</v>
      </c>
      <c r="H67" s="20" t="n">
        <f aca="false">D67</f>
        <v>33.46674404447</v>
      </c>
      <c r="I67" s="29" t="n">
        <f aca="false">G67*H67</f>
        <v>45833625.3440075</v>
      </c>
      <c r="J67" s="80" t="n">
        <f aca="false">$I67/POWER(1+DiscRate,1+'Exhibit Z'!$A67)</f>
        <v>26328998.3513648</v>
      </c>
      <c r="K67" s="65" t="n">
        <f aca="false">'Exhibit Y'!$G$23</f>
        <v>1053970.85391283</v>
      </c>
      <c r="L67" s="20" t="n">
        <f aca="false">D67</f>
        <v>33.46674404447</v>
      </c>
      <c r="M67" s="29" t="n">
        <f aca="false">K67*L67</f>
        <v>35272972.7982321</v>
      </c>
      <c r="N67" s="80" t="n">
        <f aca="false">$M67/POWER(1+DiscRate,1+'Exhibit Z'!$A67)</f>
        <v>20262460.9264912</v>
      </c>
    </row>
    <row r="68" customFormat="false" ht="12.75" hidden="false" customHeight="false" outlineLevel="0" collapsed="false">
      <c r="A68" s="31" t="n">
        <v>10</v>
      </c>
      <c r="B68" s="64" t="n">
        <v>2008</v>
      </c>
      <c r="C68" s="65" t="n">
        <f aca="false">C40</f>
        <v>1243304.82434764</v>
      </c>
      <c r="D68" s="30" t="n">
        <f aca="false">D40</f>
        <v>34.8241364602597</v>
      </c>
      <c r="E68" s="29" t="n">
        <f aca="false">C68*D68</f>
        <v>43297016.8647816</v>
      </c>
      <c r="F68" s="80" t="n">
        <f aca="false">$E68/POWER(1+DiscRate,1+'Exhibit Z'!$A68)</f>
        <v>23530606.1299932</v>
      </c>
      <c r="G68" s="65" t="n">
        <f aca="false">'Exhibit Y'!$I$23</f>
        <v>1369527.47130419</v>
      </c>
      <c r="H68" s="20" t="n">
        <f aca="false">D68</f>
        <v>34.8241364602597</v>
      </c>
      <c r="I68" s="29" t="n">
        <f aca="false">G68*H68</f>
        <v>47692611.5467715</v>
      </c>
      <c r="J68" s="80" t="n">
        <f aca="false">$I68/POWER(1+DiscRate,1+'Exhibit Z'!$A68)</f>
        <v>25919477.573308</v>
      </c>
      <c r="K68" s="65" t="n">
        <f aca="false">'Exhibit Y'!$G$23</f>
        <v>1053970.85391283</v>
      </c>
      <c r="L68" s="20" t="n">
        <f aca="false">D68</f>
        <v>34.8241364602597</v>
      </c>
      <c r="M68" s="29" t="n">
        <f aca="false">K68*L68</f>
        <v>36703624.8417967</v>
      </c>
      <c r="N68" s="80" t="n">
        <f aca="false">$M68/POWER(1+DiscRate,1+'Exhibit Z'!$A68)</f>
        <v>19947298.965021</v>
      </c>
    </row>
    <row r="69" customFormat="false" ht="12.75" hidden="false" customHeight="false" outlineLevel="0" collapsed="false">
      <c r="A69" s="31" t="n">
        <v>11</v>
      </c>
      <c r="B69" s="64" t="n">
        <v>2009</v>
      </c>
      <c r="C69" s="65" t="n">
        <f aca="false">C41</f>
        <v>1243304.82434764</v>
      </c>
      <c r="D69" s="30" t="n">
        <f aca="false">D41</f>
        <v>36.2595399344281</v>
      </c>
      <c r="E69" s="29" t="n">
        <f aca="false">C69*D69</f>
        <v>45081660.9291005</v>
      </c>
      <c r="F69" s="80" t="n">
        <f aca="false">$E69/POWER(1+DiscRate,1+'Exhibit Z'!$A69)</f>
        <v>23179286.344198</v>
      </c>
      <c r="G69" s="65" t="n">
        <f aca="false">'Exhibit Y'!$I$23</f>
        <v>1369527.47130419</v>
      </c>
      <c r="H69" s="20" t="n">
        <f aca="false">D69</f>
        <v>36.2595399344281</v>
      </c>
      <c r="I69" s="29" t="n">
        <f aca="false">G69*H69</f>
        <v>49658436.0370506</v>
      </c>
      <c r="J69" s="80" t="n">
        <f aca="false">$I69/POWER(1+DiscRate,1+'Exhibit Z'!$A69)</f>
        <v>25532491.1413108</v>
      </c>
      <c r="K69" s="65" t="n">
        <f aca="false">'Exhibit Y'!$G$23</f>
        <v>1053970.85391283</v>
      </c>
      <c r="L69" s="20" t="n">
        <f aca="false">D69</f>
        <v>36.2595399344281</v>
      </c>
      <c r="M69" s="29" t="n">
        <f aca="false">K69*L69</f>
        <v>38216498.2671755</v>
      </c>
      <c r="N69" s="80" t="n">
        <f aca="false">$M69/POWER(1+DiscRate,1+'Exhibit Z'!$A69)</f>
        <v>19649479.1485288</v>
      </c>
    </row>
    <row r="70" customFormat="false" ht="12.75" hidden="false" customHeight="false" outlineLevel="0" collapsed="false">
      <c r="A70" s="31" t="n">
        <v>12</v>
      </c>
      <c r="B70" s="64" t="n">
        <v>2010</v>
      </c>
      <c r="C70" s="65" t="n">
        <f aca="false">C42</f>
        <v>1243304.82434764</v>
      </c>
      <c r="D70" s="30" t="n">
        <f aca="false">D42</f>
        <v>37.7417500436238</v>
      </c>
      <c r="E70" s="29" t="n">
        <f aca="false">C70*D70</f>
        <v>46924499.9085603</v>
      </c>
      <c r="F70" s="80" t="n">
        <f aca="false">$E70/POWER(1+DiscRate,1+'Exhibit Z'!$A70)</f>
        <v>22825737.4680293</v>
      </c>
      <c r="G70" s="65" t="n">
        <f aca="false">'Exhibit Y'!$I$23</f>
        <v>1369527.47130419</v>
      </c>
      <c r="H70" s="20" t="n">
        <f aca="false">D70</f>
        <v>37.7417500436238</v>
      </c>
      <c r="I70" s="29" t="n">
        <f aca="false">G70*H70</f>
        <v>51688363.4998388</v>
      </c>
      <c r="J70" s="80" t="n">
        <f aca="false">$I70/POWER(1+DiscRate,1+'Exhibit Z'!$A70)</f>
        <v>25143049.3174879</v>
      </c>
      <c r="K70" s="65" t="n">
        <f aca="false">'Exhibit Y'!$G$23</f>
        <v>1053970.85391283</v>
      </c>
      <c r="L70" s="20" t="n">
        <f aca="false">D70</f>
        <v>37.7417500436238</v>
      </c>
      <c r="M70" s="29" t="n">
        <f aca="false">K70*L70</f>
        <v>39778704.5216426</v>
      </c>
      <c r="N70" s="80" t="n">
        <f aca="false">$M70/POWER(1+DiscRate,1+'Exhibit Z'!$A70)</f>
        <v>19349769.6938414</v>
      </c>
    </row>
    <row r="71" customFormat="false" ht="12.75" hidden="false" customHeight="false" outlineLevel="0" collapsed="false">
      <c r="A71" s="31" t="n">
        <v>13</v>
      </c>
      <c r="B71" s="64" t="n">
        <v>2011</v>
      </c>
      <c r="C71" s="65" t="n">
        <f aca="false">C43</f>
        <v>1243304.82434764</v>
      </c>
      <c r="D71" s="30" t="n">
        <f aca="false">D43</f>
        <v>39.2863689995224</v>
      </c>
      <c r="E71" s="29" t="n">
        <f aca="false">C71*D71</f>
        <v>48844932.1082079</v>
      </c>
      <c r="F71" s="80" t="n">
        <f aca="false">$E71/POWER(1+DiscRate,1+'Exhibit Z'!$A71)</f>
        <v>22478622.1913548</v>
      </c>
      <c r="G71" s="65" t="n">
        <f aca="false">'Exhibit Y'!$I$23</f>
        <v>1369527.47130419</v>
      </c>
      <c r="H71" s="20" t="n">
        <f aca="false">D71</f>
        <v>39.2863689995224</v>
      </c>
      <c r="I71" s="29" t="n">
        <f aca="false">G71*H71</f>
        <v>53803761.5926392</v>
      </c>
      <c r="J71" s="80" t="n">
        <f aca="false">$I71/POWER(1+DiscRate,1+'Exhibit Z'!$A71)</f>
        <v>24760694.2442945</v>
      </c>
      <c r="K71" s="65" t="n">
        <f aca="false">'Exhibit Y'!$G$23</f>
        <v>1053970.85391283</v>
      </c>
      <c r="L71" s="20" t="n">
        <f aca="false">D71</f>
        <v>39.2863689995224</v>
      </c>
      <c r="M71" s="29" t="n">
        <f aca="false">K71*L71</f>
        <v>41406687.881561</v>
      </c>
      <c r="N71" s="80" t="n">
        <f aca="false">$M71/POWER(1+DiscRate,1+'Exhibit Z'!$A71)</f>
        <v>19055514.1119452</v>
      </c>
    </row>
    <row r="72" customFormat="false" ht="12.75" hidden="false" customHeight="false" outlineLevel="0" collapsed="false">
      <c r="A72" s="31" t="n">
        <v>14</v>
      </c>
      <c r="B72" s="64" t="n">
        <v>2012</v>
      </c>
      <c r="C72" s="65" t="n">
        <f aca="false">C44</f>
        <v>1243304.82434764</v>
      </c>
      <c r="D72" s="30" t="n">
        <f aca="false">D44</f>
        <v>40.9089990137997</v>
      </c>
      <c r="E72" s="29" t="n">
        <f aca="false">C72*D72</f>
        <v>50862355.8330902</v>
      </c>
      <c r="F72" s="80" t="n">
        <f aca="false">$E72/POWER(1+DiscRate,1+'Exhibit Z'!$A72)</f>
        <v>22144794.8980142</v>
      </c>
      <c r="G72" s="65" t="n">
        <f aca="false">'Exhibit Y'!$I$23</f>
        <v>1369527.47130419</v>
      </c>
      <c r="H72" s="20" t="n">
        <f aca="false">D72</f>
        <v>40.9089990137997</v>
      </c>
      <c r="I72" s="29" t="n">
        <f aca="false">G72*H72</f>
        <v>56025997.9729547</v>
      </c>
      <c r="J72" s="80" t="n">
        <f aca="false">$I72/POWER(1+DiscRate,1+'Exhibit Z'!$A72)</f>
        <v>24392976.175525</v>
      </c>
      <c r="K72" s="65" t="n">
        <f aca="false">'Exhibit Y'!$G$23</f>
        <v>1053970.85391283</v>
      </c>
      <c r="L72" s="20" t="n">
        <f aca="false">D72</f>
        <v>40.9089990137997</v>
      </c>
      <c r="M72" s="29" t="n">
        <f aca="false">K72*L72</f>
        <v>43116892.6232935</v>
      </c>
      <c r="N72" s="80" t="n">
        <f aca="false">$M72/POWER(1+DiscRate,1+'Exhibit Z'!$A72)</f>
        <v>18772522.9817481</v>
      </c>
    </row>
    <row r="73" customFormat="false" ht="12.75" hidden="false" customHeight="false" outlineLevel="0" collapsed="false">
      <c r="A73" s="31" t="n">
        <v>15</v>
      </c>
      <c r="B73" s="64" t="n">
        <v>2013</v>
      </c>
      <c r="C73" s="65" t="n">
        <f aca="false">C45</f>
        <v>1243304.82434764</v>
      </c>
      <c r="D73" s="30" t="n">
        <f aca="false">D45</f>
        <v>42.5784356631043</v>
      </c>
      <c r="E73" s="29" t="n">
        <f aca="false">C73*D73</f>
        <v>52937974.4731133</v>
      </c>
      <c r="F73" s="80" t="n">
        <f aca="false">$E73/POWER(1+DiscRate,1+'Exhibit Z'!$A73)</f>
        <v>21805573.997144</v>
      </c>
      <c r="G73" s="65" t="n">
        <f aca="false">'Exhibit Y'!$I$23</f>
        <v>1369527.47130419</v>
      </c>
      <c r="H73" s="20" t="n">
        <f aca="false">D73</f>
        <v>42.5784356631043</v>
      </c>
      <c r="I73" s="29" t="n">
        <f aca="false">G73*H73</f>
        <v>58312337.3257793</v>
      </c>
      <c r="J73" s="80" t="n">
        <f aca="false">$I73/POWER(1+DiscRate,1+'Exhibit Z'!$A73)</f>
        <v>24019316.930033</v>
      </c>
      <c r="K73" s="65" t="n">
        <f aca="false">'Exhibit Y'!$G$23</f>
        <v>1053970.85391283</v>
      </c>
      <c r="L73" s="20" t="n">
        <f aca="false">D73</f>
        <v>42.5784356631043</v>
      </c>
      <c r="M73" s="29" t="n">
        <f aca="false">K73*L73</f>
        <v>44876430.1941144</v>
      </c>
      <c r="N73" s="80" t="n">
        <f aca="false">$M73/POWER(1+DiscRate,1+'Exhibit Z'!$A73)</f>
        <v>18484959.5978106</v>
      </c>
    </row>
    <row r="74" customFormat="false" ht="12.75" hidden="false" customHeight="false" outlineLevel="0" collapsed="false">
      <c r="A74" s="31" t="n">
        <v>16</v>
      </c>
      <c r="B74" s="64" t="n">
        <v>2014</v>
      </c>
      <c r="C74" s="65" t="n">
        <f aca="false">C46</f>
        <v>1243304.82434764</v>
      </c>
      <c r="D74" s="30" t="n">
        <f aca="false">D46</f>
        <v>44.3414855824633</v>
      </c>
      <c r="E74" s="29" t="n">
        <f aca="false">C74*D74</f>
        <v>55129982.9434181</v>
      </c>
      <c r="F74" s="80" t="n">
        <f aca="false">$E74/POWER(1+DiscRate,1+'Exhibit Z'!$A74)</f>
        <v>21483897.6090519</v>
      </c>
      <c r="G74" s="65" t="n">
        <f aca="false">'Exhibit Y'!$I$23</f>
        <v>1369527.47130419</v>
      </c>
      <c r="H74" s="20" t="n">
        <f aca="false">D74</f>
        <v>44.3414855824633</v>
      </c>
      <c r="I74" s="29" t="n">
        <f aca="false">G74*H74</f>
        <v>60726882.6236221</v>
      </c>
      <c r="J74" s="80" t="n">
        <f aca="false">$I74/POWER(1+DiscRate,1+'Exhibit Z'!$A74)</f>
        <v>23664983.3492932</v>
      </c>
      <c r="K74" s="65" t="n">
        <f aca="false">'Exhibit Y'!$G$23</f>
        <v>1053970.85391283</v>
      </c>
      <c r="L74" s="20" t="n">
        <f aca="false">D74</f>
        <v>44.3414855824633</v>
      </c>
      <c r="M74" s="29" t="n">
        <f aca="false">K74*L74</f>
        <v>46734633.4231122</v>
      </c>
      <c r="N74" s="80" t="n">
        <f aca="false">$M74/POWER(1+DiscRate,1+'Exhibit Z'!$A74)</f>
        <v>18212268.9986899</v>
      </c>
    </row>
    <row r="75" customFormat="false" ht="12.75" hidden="false" customHeight="false" outlineLevel="0" collapsed="false">
      <c r="A75" s="31" t="n">
        <v>17</v>
      </c>
      <c r="B75" s="64" t="n">
        <v>2015</v>
      </c>
      <c r="C75" s="65" t="n">
        <f aca="false">C47</f>
        <v>1243304.82434764</v>
      </c>
      <c r="D75" s="30" t="n">
        <f aca="false">D47</f>
        <v>46.1513421368496</v>
      </c>
      <c r="E75" s="29" t="n">
        <f aca="false">C75*D75</f>
        <v>57380186.3288638</v>
      </c>
      <c r="F75" s="80" t="n">
        <f aca="false">$E75/POWER(1+DiscRate,1+'Exhibit Z'!$A75)</f>
        <v>21154958.7407882</v>
      </c>
      <c r="G75" s="65" t="n">
        <f aca="false">'Exhibit Y'!$I$23</f>
        <v>1369527.47130419</v>
      </c>
      <c r="H75" s="20" t="n">
        <f aca="false">D75</f>
        <v>46.1513421368496</v>
      </c>
      <c r="I75" s="29" t="n">
        <f aca="false">G75*H75</f>
        <v>63205530.893974</v>
      </c>
      <c r="J75" s="80" t="n">
        <f aca="false">$I75/POWER(1+DiscRate,1+'Exhibit Z'!$A75)</f>
        <v>23302649.9877194</v>
      </c>
      <c r="K75" s="65" t="n">
        <f aca="false">'Exhibit Y'!$G$23</f>
        <v>1053970.85391283</v>
      </c>
      <c r="L75" s="20" t="n">
        <f aca="false">D75</f>
        <v>46.1513421368496</v>
      </c>
      <c r="M75" s="29" t="n">
        <f aca="false">K75*L75</f>
        <v>48642169.4811984</v>
      </c>
      <c r="N75" s="80" t="n">
        <f aca="false">$M75/POWER(1+DiscRate,1+'Exhibit Z'!$A75)</f>
        <v>17933421.8703914</v>
      </c>
    </row>
    <row r="76" customFormat="false" ht="12.75" hidden="false" customHeight="false" outlineLevel="0" collapsed="false">
      <c r="A76" s="31" t="n">
        <v>18</v>
      </c>
      <c r="B76" s="64" t="n">
        <v>2016</v>
      </c>
      <c r="C76" s="65" t="n">
        <f aca="false">C48</f>
        <v>1243304.82434764</v>
      </c>
      <c r="D76" s="30" t="n">
        <f aca="false">D48</f>
        <v>46.1513421368496</v>
      </c>
      <c r="E76" s="29" t="n">
        <f aca="false">C76*D76</f>
        <v>57380186.3288638</v>
      </c>
      <c r="F76" s="80" t="n">
        <f aca="false">$E76/POWER(1+DiscRate,1+'Exhibit Z'!$A76)</f>
        <v>20014152.0726473</v>
      </c>
      <c r="G76" s="65" t="n">
        <f aca="false">'Exhibit Y'!$I$23</f>
        <v>1369527.47130419</v>
      </c>
      <c r="H76" s="20" t="n">
        <f aca="false">D76</f>
        <v>46.1513421368496</v>
      </c>
      <c r="I76" s="29" t="n">
        <f aca="false">G76*H76</f>
        <v>63205530.893974</v>
      </c>
      <c r="J76" s="80" t="n">
        <f aca="false">$I76/POWER(1+DiscRate,1+'Exhibit Z'!$A76)</f>
        <v>22046026.4784479</v>
      </c>
      <c r="K76" s="65" t="n">
        <f aca="false">'Exhibit Y'!$G$23</f>
        <v>1053970.85391283</v>
      </c>
      <c r="L76" s="20" t="n">
        <f aca="false">D76</f>
        <v>46.1513421368496</v>
      </c>
      <c r="M76" s="29" t="n">
        <f aca="false">K76*L76</f>
        <v>48642169.4811984</v>
      </c>
      <c r="N76" s="80" t="n">
        <f aca="false">$M76/POWER(1+DiscRate,1+'Exhibit Z'!$A76)</f>
        <v>16966340.4639465</v>
      </c>
    </row>
    <row r="77" customFormat="false" ht="12.75" hidden="false" customHeight="false" outlineLevel="0" collapsed="false">
      <c r="A77" s="31" t="n">
        <v>19</v>
      </c>
      <c r="B77" s="64" t="n">
        <v>2017</v>
      </c>
      <c r="C77" s="65" t="n">
        <f aca="false">C49</f>
        <v>1243304.82434764</v>
      </c>
      <c r="D77" s="30" t="n">
        <f aca="false">D49</f>
        <v>46.1513421368496</v>
      </c>
      <c r="E77" s="29" t="n">
        <f aca="false">C77*D77</f>
        <v>57380186.3288638</v>
      </c>
      <c r="F77" s="80" t="n">
        <f aca="false">$E77/POWER(1+DiscRate,1+'Exhibit Z'!$A77)</f>
        <v>18934864.7801772</v>
      </c>
      <c r="G77" s="65" t="n">
        <f aca="false">'Exhibit Y'!$I$23</f>
        <v>1369527.47130419</v>
      </c>
      <c r="H77" s="20" t="n">
        <f aca="false">D77</f>
        <v>46.1513421368496</v>
      </c>
      <c r="I77" s="29" t="n">
        <f aca="false">G77*H77</f>
        <v>63205530.893974</v>
      </c>
      <c r="J77" s="80" t="n">
        <f aca="false">$I77/POWER(1+DiscRate,1+'Exhibit Z'!$A77)</f>
        <v>20857167.9077085</v>
      </c>
      <c r="K77" s="65" t="n">
        <f aca="false">'Exhibit Y'!$G$23</f>
        <v>1053970.85391283</v>
      </c>
      <c r="L77" s="20" t="n">
        <f aca="false">D77</f>
        <v>46.1513421368496</v>
      </c>
      <c r="M77" s="29" t="n">
        <f aca="false">K77*L77</f>
        <v>48642169.4811984</v>
      </c>
      <c r="N77" s="80" t="n">
        <f aca="false">$M77/POWER(1+DiscRate,1+'Exhibit Z'!$A77)</f>
        <v>16051410.0888803</v>
      </c>
    </row>
    <row r="78" customFormat="false" ht="12.75" hidden="false" customHeight="false" outlineLevel="0" collapsed="false">
      <c r="A78" s="31" t="n">
        <v>20</v>
      </c>
      <c r="B78" s="64" t="n">
        <v>2018</v>
      </c>
      <c r="C78" s="65" t="n">
        <f aca="false">C50</f>
        <v>1243304.82434764</v>
      </c>
      <c r="D78" s="30" t="n">
        <f aca="false">D50</f>
        <v>46.1513421368496</v>
      </c>
      <c r="E78" s="39" t="n">
        <f aca="false">C78*D78</f>
        <v>57380186.3288638</v>
      </c>
      <c r="F78" s="73" t="n">
        <f aca="false">$E78/POWER(1+DiscRate,1+'Exhibit Z'!$A78)</f>
        <v>17913779.3568375</v>
      </c>
      <c r="G78" s="65" t="n">
        <f aca="false">'Exhibit Y'!$I$23</f>
        <v>1369527.47130419</v>
      </c>
      <c r="H78" s="20" t="n">
        <f aca="false">D78</f>
        <v>46.1513421368496</v>
      </c>
      <c r="I78" s="39" t="n">
        <f aca="false">G78*H78</f>
        <v>63205530.893974</v>
      </c>
      <c r="J78" s="73" t="n">
        <f aca="false">$I78/POWER(1+DiscRate,1+'Exhibit Z'!$A78)</f>
        <v>19732419.9694499</v>
      </c>
      <c r="K78" s="65" t="n">
        <f aca="false">'Exhibit Y'!$G$23</f>
        <v>1053970.85391283</v>
      </c>
      <c r="L78" s="20" t="n">
        <f aca="false">D78</f>
        <v>46.1513421368496</v>
      </c>
      <c r="M78" s="39" t="n">
        <f aca="false">K78*L78</f>
        <v>48642169.4811984</v>
      </c>
      <c r="N78" s="73" t="n">
        <f aca="false">$M78/POWER(1+DiscRate,1+'Exhibit Z'!$A78)</f>
        <v>15185818.4379189</v>
      </c>
    </row>
    <row r="79" customFormat="false" ht="12.75" hidden="false" customHeight="false" outlineLevel="0" collapsed="false">
      <c r="B79" s="70"/>
      <c r="C79" s="71"/>
      <c r="D79" s="72"/>
      <c r="E79" s="81" t="n">
        <f aca="false">SUM(E59:E78)</f>
        <v>902643886.636755</v>
      </c>
      <c r="F79" s="82" t="n">
        <f aca="false">SUM(F59:F78)</f>
        <v>472602291.432855</v>
      </c>
      <c r="G79" s="71"/>
      <c r="H79" s="72"/>
      <c r="I79" s="81" t="n">
        <f aca="false">SUM(I59:I78)</f>
        <v>994281993.719799</v>
      </c>
      <c r="J79" s="82" t="n">
        <f aca="false">SUM(J59:J78)</f>
        <v>520581765.986638</v>
      </c>
      <c r="K79" s="71"/>
      <c r="L79" s="72"/>
      <c r="M79" s="81" t="n">
        <f aca="false">SUM(M59:M78)</f>
        <v>765186726.012189</v>
      </c>
      <c r="N79" s="82" t="n">
        <f aca="false">SUM(N59:N78)</f>
        <v>400633079.60218</v>
      </c>
    </row>
  </sheetData>
  <mergeCells count="4">
    <mergeCell ref="K54:N54"/>
    <mergeCell ref="C56:F56"/>
    <mergeCell ref="G56:J56"/>
    <mergeCell ref="K56:N56"/>
  </mergeCells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15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86" t="s">
        <v>63</v>
      </c>
      <c r="B1" s="87" t="n">
        <v>0.03</v>
      </c>
    </row>
    <row r="2" customFormat="false" ht="12.75" hidden="false" customHeight="false" outlineLevel="0" collapsed="false">
      <c r="B2" s="88"/>
    </row>
    <row r="3" customFormat="false" ht="12.75" hidden="false" customHeight="false" outlineLevel="0" collapsed="false">
      <c r="A3" s="89"/>
      <c r="B3" s="63"/>
      <c r="C3" s="63"/>
      <c r="D3" s="63" t="s">
        <v>64</v>
      </c>
      <c r="E3" s="63" t="s">
        <v>65</v>
      </c>
      <c r="F3" s="63"/>
      <c r="G3" s="63"/>
      <c r="H3" s="63"/>
      <c r="I3" s="63" t="s">
        <v>66</v>
      </c>
      <c r="J3" s="63"/>
      <c r="K3" s="63"/>
      <c r="L3" s="63"/>
    </row>
    <row r="4" customFormat="false" ht="13.5" hidden="false" customHeight="false" outlineLevel="0" collapsed="false">
      <c r="A4" s="90" t="s">
        <v>53</v>
      </c>
      <c r="B4" s="90" t="s">
        <v>67</v>
      </c>
      <c r="C4" s="90" t="s">
        <v>68</v>
      </c>
      <c r="D4" s="90" t="s">
        <v>69</v>
      </c>
      <c r="E4" s="90" t="s">
        <v>69</v>
      </c>
      <c r="F4" s="90" t="s">
        <v>70</v>
      </c>
      <c r="G4" s="90" t="s">
        <v>71</v>
      </c>
      <c r="H4" s="90" t="s">
        <v>72</v>
      </c>
      <c r="I4" s="90" t="s">
        <v>73</v>
      </c>
      <c r="J4" s="63"/>
      <c r="K4" s="63"/>
      <c r="L4" s="63"/>
    </row>
    <row r="5" customFormat="false" ht="15" hidden="false" customHeight="true" outlineLevel="0" collapsed="false">
      <c r="A5" s="63" t="n">
        <v>1989</v>
      </c>
      <c r="B5" s="91" t="n">
        <v>0.451</v>
      </c>
      <c r="C5" s="30" t="n">
        <v>6.8</v>
      </c>
      <c r="D5" s="29" t="n">
        <v>1298430</v>
      </c>
      <c r="E5" s="29" t="n">
        <f aca="false">D5</f>
        <v>1298430</v>
      </c>
      <c r="F5" s="30" t="n">
        <f aca="false">C5*POWER(1+inflation,K5)</f>
        <v>8.36314228488912</v>
      </c>
      <c r="G5" s="30"/>
      <c r="H5" s="30"/>
      <c r="I5" s="30"/>
      <c r="K5" s="92" t="n">
        <f aca="false">$A$12-A5</f>
        <v>7</v>
      </c>
    </row>
    <row r="6" customFormat="false" ht="15" hidden="false" customHeight="true" outlineLevel="0" collapsed="false">
      <c r="A6" s="63" t="n">
        <v>1990</v>
      </c>
      <c r="B6" s="91" t="n">
        <v>0.475</v>
      </c>
      <c r="C6" s="30" t="n">
        <v>7.12</v>
      </c>
      <c r="D6" s="29" t="n">
        <v>1509759</v>
      </c>
      <c r="E6" s="29" t="n">
        <f aca="false">D6</f>
        <v>1509759</v>
      </c>
      <c r="F6" s="30" t="n">
        <f aca="false">C6*POWER(1+inflation,K6)</f>
        <v>8.50165235128648</v>
      </c>
      <c r="G6" s="25" t="n">
        <f aca="false">E6/E5-1</f>
        <v>0.162757330006238</v>
      </c>
      <c r="H6" s="25" t="n">
        <f aca="false">F6/F5-1</f>
        <v>0.0165619645916619</v>
      </c>
      <c r="I6" s="22" t="n">
        <f aca="false">-G6/H6</f>
        <v>-9.82717533934217</v>
      </c>
      <c r="K6" s="92" t="n">
        <f aca="false">$A$12-A6</f>
        <v>6</v>
      </c>
    </row>
    <row r="7" customFormat="false" ht="15" hidden="false" customHeight="true" outlineLevel="0" collapsed="false">
      <c r="A7" s="63" t="n">
        <v>1991</v>
      </c>
      <c r="B7" s="91" t="n">
        <v>0.512</v>
      </c>
      <c r="C7" s="30" t="n">
        <v>6.37</v>
      </c>
      <c r="D7" s="93" t="n">
        <v>2147877</v>
      </c>
      <c r="E7" s="29" t="n">
        <f aca="false">D7-200000/C7</f>
        <v>2116479.82574568</v>
      </c>
      <c r="F7" s="30" t="n">
        <f aca="false">C7*POWER(1+inflation,K7)</f>
        <v>7.384575853291</v>
      </c>
      <c r="G7" s="25" t="n">
        <f aca="false">E7/E6-1</f>
        <v>0.401866010234536</v>
      </c>
      <c r="H7" s="25" t="n">
        <f aca="false">F7/F6-1</f>
        <v>-0.131395221991928</v>
      </c>
      <c r="I7" s="22" t="n">
        <f aca="false">-G7/H7</f>
        <v>3.0584522339726</v>
      </c>
      <c r="K7" s="92" t="n">
        <f aca="false">$A$12-A7</f>
        <v>5</v>
      </c>
    </row>
    <row r="8" customFormat="false" ht="15" hidden="false" customHeight="true" outlineLevel="0" collapsed="false">
      <c r="A8" s="63" t="n">
        <v>1992</v>
      </c>
      <c r="B8" s="91" t="n">
        <v>0.395</v>
      </c>
      <c r="C8" s="30" t="n">
        <v>8.88</v>
      </c>
      <c r="D8" s="29" t="n">
        <v>1651428</v>
      </c>
      <c r="E8" s="29" t="n">
        <v>1651398</v>
      </c>
      <c r="F8" s="30" t="n">
        <f aca="false">C8*POWER(1+inflation,K8)</f>
        <v>9.9945182328</v>
      </c>
      <c r="G8" s="25" t="n">
        <f aca="false">E8/E7-1</f>
        <v>-0.219743094211552</v>
      </c>
      <c r="H8" s="25" t="n">
        <f aca="false">F8/F7-1</f>
        <v>0.353431589215223</v>
      </c>
      <c r="I8" s="22" t="n">
        <f aca="false">-G8/H8</f>
        <v>0.621741522028295</v>
      </c>
      <c r="K8" s="92" t="n">
        <f aca="false">$A$12-A8</f>
        <v>4</v>
      </c>
    </row>
    <row r="9" customFormat="false" ht="15" hidden="false" customHeight="true" outlineLevel="0" collapsed="false">
      <c r="A9" s="63" t="n">
        <v>1993</v>
      </c>
      <c r="B9" s="91" t="n">
        <v>0.506</v>
      </c>
      <c r="C9" s="30" t="n">
        <v>8.91</v>
      </c>
      <c r="D9" s="29" t="n">
        <v>2051853</v>
      </c>
      <c r="E9" s="29" t="n">
        <f aca="false">D9</f>
        <v>2051853</v>
      </c>
      <c r="F9" s="30" t="n">
        <f aca="false">C9*POWER(1+inflation,K9)</f>
        <v>9.73619757</v>
      </c>
      <c r="G9" s="25" t="n">
        <f aca="false">E9/E8-1</f>
        <v>0.242494540988908</v>
      </c>
      <c r="H9" s="25" t="n">
        <f aca="false">F9/F8-1</f>
        <v>-0.025846234584099</v>
      </c>
      <c r="I9" s="22" t="n">
        <f aca="false">-G9/H9</f>
        <v>9.38219995643367</v>
      </c>
      <c r="K9" s="92" t="n">
        <f aca="false">$A$12-A9</f>
        <v>3</v>
      </c>
    </row>
    <row r="10" customFormat="false" ht="15" hidden="false" customHeight="true" outlineLevel="0" collapsed="false">
      <c r="A10" s="63" t="n">
        <v>1994</v>
      </c>
      <c r="B10" s="91" t="n">
        <v>0.438</v>
      </c>
      <c r="C10" s="30" t="n">
        <v>11.86</v>
      </c>
      <c r="D10" s="94" t="n">
        <v>1104206</v>
      </c>
      <c r="E10" s="29" t="n">
        <v>2032743</v>
      </c>
      <c r="F10" s="30" t="n">
        <f aca="false">C10*POWER(1+inflation,K10)</f>
        <v>12.582274</v>
      </c>
      <c r="G10" s="25" t="n">
        <f aca="false">E10/E9-1</f>
        <v>-0.00931353269459367</v>
      </c>
      <c r="H10" s="25" t="n">
        <f aca="false">F10/F9-1</f>
        <v>0.292319091671842</v>
      </c>
      <c r="I10" s="22" t="n">
        <f aca="false">-G10/H10</f>
        <v>0.0318608430305642</v>
      </c>
      <c r="K10" s="92" t="n">
        <f aca="false">$A$12-A10</f>
        <v>2</v>
      </c>
    </row>
    <row r="11" customFormat="false" ht="15" hidden="false" customHeight="true" outlineLevel="0" collapsed="false">
      <c r="A11" s="63" t="n">
        <v>1995</v>
      </c>
      <c r="B11" s="91" t="n">
        <v>0.545</v>
      </c>
      <c r="C11" s="30" t="n">
        <v>10.88</v>
      </c>
      <c r="D11" s="94" t="n">
        <v>1643203</v>
      </c>
      <c r="E11" s="29" t="n">
        <v>1823280</v>
      </c>
      <c r="F11" s="30" t="n">
        <f aca="false">C11*POWER(1+inflation,K11)</f>
        <v>11.2064</v>
      </c>
      <c r="G11" s="25" t="n">
        <f aca="false">E11/E10-1</f>
        <v>-0.103044506856007</v>
      </c>
      <c r="H11" s="25" t="n">
        <f aca="false">F11/F10-1</f>
        <v>-0.109350185824915</v>
      </c>
      <c r="I11" s="22" t="n">
        <f aca="false">-G11/H11</f>
        <v>-0.942334995397223</v>
      </c>
      <c r="K11" s="92" t="n">
        <f aca="false">$A$12-A11</f>
        <v>1</v>
      </c>
    </row>
    <row r="12" customFormat="false" ht="15" hidden="false" customHeight="true" outlineLevel="0" collapsed="false">
      <c r="A12" s="63" t="n">
        <v>1996</v>
      </c>
      <c r="B12" s="91" t="n">
        <v>0.528</v>
      </c>
      <c r="C12" s="30" t="n">
        <v>12.34</v>
      </c>
      <c r="D12" s="29" t="n">
        <v>2723850</v>
      </c>
      <c r="E12" s="29" t="n">
        <f aca="false">D12</f>
        <v>2723850</v>
      </c>
      <c r="F12" s="30" t="n">
        <f aca="false">C12*POWER(1+inflation,K12)</f>
        <v>12.34</v>
      </c>
      <c r="G12" s="25" t="n">
        <f aca="false">E12/E11-1</f>
        <v>0.493928524417533</v>
      </c>
      <c r="H12" s="25" t="n">
        <f aca="false">F12/F11-1</f>
        <v>0.10115648201028</v>
      </c>
      <c r="I12" s="22" t="n">
        <f aca="false">-G12/H12</f>
        <v>-4.88281635147552</v>
      </c>
      <c r="K12" s="92" t="n">
        <f aca="false">$A$12-A12</f>
        <v>0</v>
      </c>
    </row>
    <row r="13" customFormat="false" ht="12.75" hidden="false" customHeight="false" outlineLevel="0" collapsed="false">
      <c r="B13" s="30"/>
      <c r="I13" s="22"/>
      <c r="J13" s="22"/>
    </row>
    <row r="14" customFormat="false" ht="12.75" hidden="false" customHeight="false" outlineLevel="0" collapsed="false">
      <c r="A14" s="2" t="s">
        <v>74</v>
      </c>
      <c r="B14" s="0" t="s">
        <v>75</v>
      </c>
      <c r="F14" s="29"/>
      <c r="I14" s="22"/>
    </row>
    <row r="15" customFormat="false" ht="12.75" hidden="false" customHeight="false" outlineLevel="0" collapsed="false">
      <c r="A15" s="2" t="s">
        <v>76</v>
      </c>
      <c r="B15" s="0" t="s">
        <v>77</v>
      </c>
      <c r="I15" s="15"/>
    </row>
    <row r="16" customFormat="false" ht="12.75" hidden="false" customHeight="false" outlineLevel="0" collapsed="false">
      <c r="A16" s="2"/>
      <c r="B16" s="0"/>
      <c r="I16" s="15"/>
    </row>
    <row r="17" customFormat="false" ht="12.75" hidden="false" customHeight="false" outlineLevel="0" collapsed="false">
      <c r="B17" s="30"/>
    </row>
    <row r="18" customFormat="false" ht="12.75" hidden="false" customHeight="false" outlineLevel="0" collapsed="false">
      <c r="A18" s="95" t="n">
        <f aca="false">DiscRate</f>
        <v>0.057</v>
      </c>
      <c r="B18" s="96"/>
      <c r="C18" s="36"/>
      <c r="D18" s="36"/>
      <c r="E18" s="97"/>
      <c r="F18" s="97"/>
      <c r="G18" s="97"/>
      <c r="H18" s="97"/>
      <c r="I18" s="97"/>
      <c r="J18" s="36"/>
      <c r="K18" s="36"/>
      <c r="L18" s="36"/>
    </row>
    <row r="19" customFormat="false" ht="12.75" hidden="false" customHeight="false" outlineLevel="0" collapsed="false">
      <c r="A19" s="36"/>
      <c r="B19" s="96"/>
      <c r="C19" s="36" t="s">
        <v>78</v>
      </c>
      <c r="D19" s="36" t="s">
        <v>79</v>
      </c>
      <c r="E19" s="97" t="s">
        <v>80</v>
      </c>
      <c r="F19" s="97"/>
      <c r="G19" s="97"/>
      <c r="H19" s="97"/>
      <c r="I19" s="97"/>
      <c r="J19" s="36"/>
      <c r="K19" s="36"/>
      <c r="L19" s="36"/>
    </row>
    <row r="20" customFormat="false" ht="13.5" hidden="false" customHeight="false" outlineLevel="0" collapsed="false">
      <c r="A20" s="61" t="s">
        <v>53</v>
      </c>
      <c r="B20" s="61" t="s">
        <v>54</v>
      </c>
      <c r="C20" s="61" t="s">
        <v>81</v>
      </c>
      <c r="D20" s="98" t="n">
        <f aca="false">facts!C33</f>
        <v>0.560221167574361</v>
      </c>
      <c r="E20" s="99" t="n">
        <v>0.8</v>
      </c>
      <c r="F20" s="99" t="n">
        <v>0.85</v>
      </c>
      <c r="G20" s="99" t="n">
        <v>0.95</v>
      </c>
      <c r="H20" s="99" t="n">
        <v>0.75</v>
      </c>
      <c r="I20" s="99" t="n">
        <v>0.7</v>
      </c>
      <c r="J20" s="36"/>
      <c r="K20" s="36"/>
      <c r="L20" s="36"/>
    </row>
    <row r="21" customFormat="false" ht="15" hidden="false" customHeight="true" outlineLevel="0" collapsed="false">
      <c r="A21" s="0" t="n">
        <v>1999</v>
      </c>
      <c r="B21" s="29" t="n">
        <v>2703704</v>
      </c>
      <c r="C21" s="0" t="n">
        <v>15.64</v>
      </c>
      <c r="D21" s="16" t="n">
        <f aca="false">C21*(1+$D$20)</f>
        <v>24.401859060863</v>
      </c>
      <c r="E21" s="29" t="n">
        <f aca="false">(1-E$20*$D$20)*$B21</f>
        <v>1491966.23067562</v>
      </c>
      <c r="F21" s="29" t="n">
        <f aca="false">(1-F$20*$D$20)*$B21</f>
        <v>1416232.62009285</v>
      </c>
      <c r="G21" s="29" t="n">
        <f aca="false">(1-G$20*$D$20)*$B21</f>
        <v>1264765.3989273</v>
      </c>
      <c r="H21" s="29" t="n">
        <f aca="false">(1-H$20*$D$20)*$B21</f>
        <v>1567699.8412584</v>
      </c>
      <c r="I21" s="29" t="n">
        <f aca="false">(1-I$20*$D$20)*$B21</f>
        <v>1643433.45184117</v>
      </c>
      <c r="J21" s="29"/>
    </row>
    <row r="22" customFormat="false" ht="15" hidden="false" customHeight="true" outlineLevel="0" collapsed="false">
      <c r="A22" s="0" t="n">
        <v>2000</v>
      </c>
      <c r="B22" s="29" t="n">
        <v>2478395</v>
      </c>
      <c r="C22" s="0" t="n">
        <v>16.23</v>
      </c>
      <c r="D22" s="16" t="n">
        <f aca="false">C22*(1+$D$20)</f>
        <v>25.3223895497319</v>
      </c>
      <c r="E22" s="29" t="n">
        <f aca="false">(1-E$20*$D$20)*$B22</f>
        <v>1367635.52751163</v>
      </c>
      <c r="F22" s="29" t="n">
        <f aca="false">(1-F$20*$D$20)*$B22</f>
        <v>1298213.06048111</v>
      </c>
      <c r="G22" s="29" t="n">
        <f aca="false">(1-G$20*$D$20)*$B22</f>
        <v>1159368.12642007</v>
      </c>
      <c r="H22" s="29" t="n">
        <f aca="false">(1-H$20*$D$20)*$B22</f>
        <v>1437057.99454216</v>
      </c>
      <c r="I22" s="29" t="n">
        <f aca="false">(1-I$20*$D$20)*$B22</f>
        <v>1506480.46157268</v>
      </c>
      <c r="J22" s="29"/>
    </row>
    <row r="23" customFormat="false" ht="15" hidden="false" customHeight="true" outlineLevel="0" collapsed="false">
      <c r="A23" s="2" t="s">
        <v>82</v>
      </c>
      <c r="B23" s="29" t="n">
        <v>2253086</v>
      </c>
      <c r="C23" s="0" t="n">
        <v>16.87</v>
      </c>
      <c r="D23" s="16" t="n">
        <f aca="false">C23*(1+$D$20)</f>
        <v>26.3209310969795</v>
      </c>
      <c r="E23" s="29" t="n">
        <f aca="false">(1-E$20*$D$20)*$B23</f>
        <v>1243304.82434764</v>
      </c>
      <c r="F23" s="29" t="n">
        <f aca="false">(1-F$20*$D$20)*$B23</f>
        <v>1180193.50086937</v>
      </c>
      <c r="G23" s="29" t="n">
        <f aca="false">(1-G$20*$D$20)*$B23</f>
        <v>1053970.85391283</v>
      </c>
      <c r="H23" s="29" t="n">
        <f aca="false">(1-H$20*$D$20)*$B23</f>
        <v>1306416.14782592</v>
      </c>
      <c r="I23" s="29" t="n">
        <f aca="false">(1-I$20*$D$20)*$B23</f>
        <v>1369527.47130419</v>
      </c>
      <c r="J23" s="29"/>
    </row>
    <row r="24" customFormat="false" ht="12.75" hidden="false" customHeight="false" outlineLevel="0" collapsed="false">
      <c r="B24" s="29"/>
      <c r="D24" s="16"/>
      <c r="E24" s="29"/>
      <c r="F24" s="29"/>
      <c r="G24" s="29"/>
      <c r="H24" s="29"/>
      <c r="I24" s="29"/>
      <c r="J24" s="29"/>
    </row>
    <row r="25" customFormat="false" ht="12.75" hidden="false" customHeight="false" outlineLevel="0" collapsed="false">
      <c r="A25" s="95" t="n">
        <f aca="false">DiscRate3</f>
        <v>0.052</v>
      </c>
      <c r="B25" s="9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customFormat="false" ht="12.75" hidden="false" customHeight="false" outlineLevel="0" collapsed="false">
      <c r="A26" s="36"/>
      <c r="B26" s="96"/>
      <c r="C26" s="36" t="s">
        <v>78</v>
      </c>
      <c r="D26" s="36" t="s">
        <v>79</v>
      </c>
      <c r="E26" s="97" t="s">
        <v>80</v>
      </c>
      <c r="F26" s="97"/>
      <c r="G26" s="97"/>
      <c r="H26" s="97"/>
      <c r="I26" s="97"/>
      <c r="J26" s="36"/>
      <c r="K26" s="36"/>
      <c r="L26" s="36"/>
    </row>
    <row r="27" customFormat="false" ht="13.5" hidden="false" customHeight="false" outlineLevel="0" collapsed="false">
      <c r="A27" s="61" t="s">
        <v>53</v>
      </c>
      <c r="B27" s="61" t="s">
        <v>54</v>
      </c>
      <c r="C27" s="61" t="s">
        <v>81</v>
      </c>
      <c r="D27" s="100" t="n">
        <f aca="false">facts!E33</f>
        <v>0.534934115331177</v>
      </c>
      <c r="E27" s="99" t="n">
        <v>0.8</v>
      </c>
      <c r="F27" s="99" t="n">
        <v>0.85</v>
      </c>
      <c r="G27" s="99" t="n">
        <v>0.95</v>
      </c>
      <c r="H27" s="99" t="n">
        <v>0.75</v>
      </c>
      <c r="I27" s="99" t="n">
        <v>0.7</v>
      </c>
      <c r="J27" s="36"/>
      <c r="K27" s="36"/>
      <c r="L27" s="36"/>
    </row>
    <row r="28" customFormat="false" ht="15" hidden="false" customHeight="true" outlineLevel="0" collapsed="false">
      <c r="A28" s="0" t="n">
        <v>1999</v>
      </c>
      <c r="B28" s="29" t="n">
        <v>2703704</v>
      </c>
      <c r="C28" s="0" t="n">
        <v>15.64</v>
      </c>
      <c r="D28" s="16" t="n">
        <f aca="false">C28*(1+$D$27)</f>
        <v>24.0063695637796</v>
      </c>
      <c r="E28" s="29" t="n">
        <f aca="false">(1-E$20*$D$27)*$B28</f>
        <v>1546661.19411411</v>
      </c>
      <c r="F28" s="29" t="n">
        <f aca="false">(1-F$20*$D$27)*$B28</f>
        <v>1474346.01874624</v>
      </c>
      <c r="G28" s="29" t="n">
        <f aca="false">(1-G$20*$D$27)*$B28</f>
        <v>1329715.6680105</v>
      </c>
      <c r="H28" s="29" t="n">
        <f aca="false">(1-H$20*$D$27)*$B28</f>
        <v>1618976.36948198</v>
      </c>
      <c r="I28" s="29" t="n">
        <f aca="false">(1-I$20*$D$27)*$B28</f>
        <v>1691291.54484984</v>
      </c>
      <c r="J28" s="29"/>
    </row>
    <row r="29" customFormat="false" ht="15" hidden="false" customHeight="true" outlineLevel="0" collapsed="false">
      <c r="A29" s="0" t="n">
        <v>2000</v>
      </c>
      <c r="B29" s="29" t="n">
        <v>2478395</v>
      </c>
      <c r="C29" s="0" t="n">
        <v>16.23</v>
      </c>
      <c r="D29" s="16" t="n">
        <f aca="false">C29*(1+$D$27)</f>
        <v>24.911980691825</v>
      </c>
      <c r="E29" s="29" t="n">
        <f aca="false">(1-E$20*$D$27)*$B29</f>
        <v>1417772.57058703</v>
      </c>
      <c r="F29" s="29" t="n">
        <f aca="false">(1-F$20*$D$27)*$B29</f>
        <v>1351483.66874872</v>
      </c>
      <c r="G29" s="29" t="n">
        <f aca="false">(1-G$20*$D$27)*$B29</f>
        <v>1218905.8650721</v>
      </c>
      <c r="H29" s="29" t="n">
        <f aca="false">(1-H$20*$D$27)*$B29</f>
        <v>1484061.47242534</v>
      </c>
      <c r="I29" s="29" t="n">
        <f aca="false">(1-I$20*$D$27)*$B29</f>
        <v>1550350.37426365</v>
      </c>
      <c r="J29" s="29"/>
    </row>
    <row r="30" customFormat="false" ht="15" hidden="false" customHeight="true" outlineLevel="0" collapsed="false">
      <c r="A30" s="2" t="s">
        <v>82</v>
      </c>
      <c r="B30" s="29" t="n">
        <v>2253086</v>
      </c>
      <c r="C30" s="0" t="n">
        <v>16.87</v>
      </c>
      <c r="D30" s="16" t="n">
        <f aca="false">C30*(1+$D$27)</f>
        <v>25.894338525637</v>
      </c>
      <c r="E30" s="29" t="n">
        <f aca="false">(1-E$20*$D$27)*$B30</f>
        <v>1288883.94705995</v>
      </c>
      <c r="F30" s="29" t="n">
        <f aca="false">(1-F$20*$D$27)*$B30</f>
        <v>1228621.3187512</v>
      </c>
      <c r="G30" s="29" t="n">
        <f aca="false">(1-G$20*$D$27)*$B30</f>
        <v>1108096.06213369</v>
      </c>
      <c r="H30" s="29" t="n">
        <f aca="false">(1-H$20*$D$27)*$B30</f>
        <v>1349146.5753687</v>
      </c>
      <c r="I30" s="29" t="n">
        <f aca="false">(1-I$20*$D$27)*$B30</f>
        <v>1409409.20367746</v>
      </c>
      <c r="J30" s="29"/>
    </row>
    <row r="31" customFormat="false" ht="12.75" hidden="false" customHeight="false" outlineLevel="0" collapsed="false">
      <c r="B31" s="29"/>
      <c r="D31" s="16"/>
      <c r="E31" s="29"/>
      <c r="F31" s="29"/>
      <c r="G31" s="29"/>
      <c r="H31" s="29"/>
      <c r="I31" s="29"/>
      <c r="J31" s="29"/>
    </row>
    <row r="32" customFormat="false" ht="12.75" hidden="false" customHeight="false" outlineLevel="0" collapsed="false">
      <c r="A32" s="95" t="n">
        <f aca="false">DiscRate5</f>
        <v>0.062</v>
      </c>
      <c r="B32" s="9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customFormat="false" ht="12.75" hidden="false" customHeight="false" outlineLevel="0" collapsed="false">
      <c r="A33" s="36"/>
      <c r="B33" s="96"/>
      <c r="C33" s="36" t="s">
        <v>78</v>
      </c>
      <c r="D33" s="36" t="s">
        <v>79</v>
      </c>
      <c r="E33" s="97" t="s">
        <v>80</v>
      </c>
      <c r="F33" s="97"/>
      <c r="G33" s="97"/>
      <c r="H33" s="97"/>
      <c r="I33" s="97"/>
      <c r="J33" s="36"/>
      <c r="K33" s="36"/>
      <c r="L33" s="36"/>
    </row>
    <row r="34" customFormat="false" ht="13.5" hidden="false" customHeight="false" outlineLevel="0" collapsed="false">
      <c r="A34" s="61" t="s">
        <v>53</v>
      </c>
      <c r="B34" s="61" t="s">
        <v>54</v>
      </c>
      <c r="C34" s="61" t="s">
        <v>81</v>
      </c>
      <c r="D34" s="100" t="n">
        <f aca="false">facts!G33</f>
        <v>0.586092939170109</v>
      </c>
      <c r="E34" s="99" t="n">
        <v>0.8</v>
      </c>
      <c r="F34" s="99" t="n">
        <v>0.85</v>
      </c>
      <c r="G34" s="99" t="n">
        <v>0.95</v>
      </c>
      <c r="H34" s="99" t="n">
        <v>0.75</v>
      </c>
      <c r="I34" s="99" t="n">
        <v>0.7</v>
      </c>
      <c r="J34" s="36"/>
      <c r="K34" s="36"/>
      <c r="L34" s="36"/>
    </row>
    <row r="35" customFormat="false" ht="15" hidden="false" customHeight="true" outlineLevel="0" collapsed="false">
      <c r="A35" s="0" t="n">
        <v>1999</v>
      </c>
      <c r="B35" s="29" t="n">
        <v>2703704</v>
      </c>
      <c r="C35" s="0" t="n">
        <v>15.64</v>
      </c>
      <c r="D35" s="16" t="n">
        <f aca="false">C35*($D$34+1)</f>
        <v>24.8064935686205</v>
      </c>
      <c r="E35" s="29" t="n">
        <f aca="false">(1-E$20*$D$34)*$B35</f>
        <v>1436006.54079522</v>
      </c>
      <c r="F35" s="29" t="n">
        <f aca="false">(1-F$20*$D$34)*$B35</f>
        <v>1356775.44959492</v>
      </c>
      <c r="G35" s="29" t="n">
        <f aca="false">(1-G$20*$D$34)*$B35</f>
        <v>1198313.26719432</v>
      </c>
      <c r="H35" s="29" t="n">
        <f aca="false">(1-H$20*$D$34)*$B35</f>
        <v>1515237.63199552</v>
      </c>
      <c r="I35" s="29" t="n">
        <f aca="false">(1-I$20*$D$34)*$B35</f>
        <v>1594468.72319581</v>
      </c>
      <c r="J35" s="29"/>
    </row>
    <row r="36" customFormat="false" ht="15" hidden="false" customHeight="true" outlineLevel="0" collapsed="false">
      <c r="A36" s="0" t="n">
        <v>2000</v>
      </c>
      <c r="B36" s="29" t="n">
        <v>2478395</v>
      </c>
      <c r="C36" s="0" t="n">
        <v>16.23</v>
      </c>
      <c r="D36" s="16" t="n">
        <f aca="false">C36*($D$34+1)</f>
        <v>25.7422884027309</v>
      </c>
      <c r="E36" s="29" t="n">
        <f aca="false">(1-E$20*$D$34)*$B36</f>
        <v>1316339.1520204</v>
      </c>
      <c r="F36" s="29" t="n">
        <f aca="false">(1-F$20*$D$34)*$B36</f>
        <v>1243710.66152167</v>
      </c>
      <c r="G36" s="29" t="n">
        <f aca="false">(1-G$20*$D$34)*$B36</f>
        <v>1098453.68052422</v>
      </c>
      <c r="H36" s="29" t="n">
        <f aca="false">(1-H$20*$D$34)*$B36</f>
        <v>1388967.64251912</v>
      </c>
      <c r="I36" s="29" t="n">
        <f aca="false">(1-I$20*$D$34)*$B36</f>
        <v>1461596.13301785</v>
      </c>
      <c r="J36" s="29"/>
    </row>
    <row r="37" customFormat="false" ht="15" hidden="false" customHeight="true" outlineLevel="0" collapsed="false">
      <c r="A37" s="2" t="s">
        <v>82</v>
      </c>
      <c r="B37" s="29" t="n">
        <v>2253086</v>
      </c>
      <c r="C37" s="0" t="n">
        <v>16.87</v>
      </c>
      <c r="D37" s="16" t="n">
        <f aca="false">C37*($D$34+1)</f>
        <v>26.7573878837997</v>
      </c>
      <c r="E37" s="29" t="n">
        <f aca="false">(1-E$20*$D$34)*$B37</f>
        <v>1196671.76324558</v>
      </c>
      <c r="F37" s="29" t="n">
        <f aca="false">(1-F$20*$D$34)*$B37</f>
        <v>1130645.87344843</v>
      </c>
      <c r="G37" s="29" t="n">
        <f aca="false">(1-G$20*$D$34)*$B37</f>
        <v>998594.093854128</v>
      </c>
      <c r="H37" s="29" t="n">
        <f aca="false">(1-H$20*$D$34)*$B37</f>
        <v>1262697.65304273</v>
      </c>
      <c r="I37" s="29" t="n">
        <f aca="false">(1-I$20*$D$34)*$B37</f>
        <v>1328723.54283988</v>
      </c>
      <c r="J37" s="29"/>
    </row>
    <row r="38" customFormat="false" ht="12.75" hidden="false" customHeight="false" outlineLevel="0" collapsed="false">
      <c r="B38" s="29"/>
      <c r="D38" s="16"/>
      <c r="E38" s="16"/>
      <c r="F38" s="29"/>
      <c r="G38" s="29"/>
      <c r="H38" s="29"/>
      <c r="I38" s="29"/>
      <c r="J38" s="29"/>
      <c r="K38" s="29"/>
    </row>
    <row r="39" customFormat="false" ht="12.75" hidden="false" customHeight="false" outlineLevel="0" collapsed="false">
      <c r="B39" s="29"/>
      <c r="D39" s="16"/>
      <c r="E39" s="16"/>
      <c r="F39" s="29"/>
      <c r="G39" s="29"/>
      <c r="H39" s="29"/>
      <c r="I39" s="29"/>
      <c r="J39" s="29"/>
      <c r="K39" s="29"/>
    </row>
    <row r="40" customFormat="false" ht="12.75" hidden="false" customHeight="false" outlineLevel="0" collapsed="false">
      <c r="B40" s="29"/>
      <c r="D40" s="16"/>
      <c r="E40" s="16"/>
      <c r="F40" s="29"/>
      <c r="G40" s="29"/>
      <c r="H40" s="29"/>
      <c r="I40" s="29"/>
      <c r="J40" s="29"/>
      <c r="K40" s="29"/>
    </row>
    <row r="41" customFormat="false" ht="12.75" hidden="false" customHeight="false" outlineLevel="0" collapsed="false">
      <c r="E41" s="16"/>
    </row>
    <row r="42" customFormat="false" ht="12.75" hidden="false" customHeight="false" outlineLevel="0" collapsed="false">
      <c r="E42" s="16"/>
    </row>
  </sheetData>
  <mergeCells count="4">
    <mergeCell ref="E18:I18"/>
    <mergeCell ref="E19:I19"/>
    <mergeCell ref="E26:I26"/>
    <mergeCell ref="E33:I33"/>
  </mergeCells>
  <printOptions headings="false" gridLines="false" gridLinesSet="true" horizontalCentered="tru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'Exhibit Y'!A4</f>
        <v>Year</v>
      </c>
      <c r="C3" s="63" t="s">
        <v>83</v>
      </c>
      <c r="D3" s="0" t="str">
        <f aca="false">'Exhibit Y'!H4</f>
        <v>%changeP</v>
      </c>
      <c r="E3" s="0" t="str">
        <f aca="false">'Exhibit Y'!G4</f>
        <v>%changeQ</v>
      </c>
    </row>
    <row r="4" customFormat="false" ht="12.75" hidden="false" customHeight="false" outlineLevel="0" collapsed="false">
      <c r="B4" s="0" t="n">
        <f aca="false">'Exhibit Y'!A5</f>
        <v>1989</v>
      </c>
      <c r="C4" s="75"/>
      <c r="D4" s="75"/>
      <c r="E4" s="75"/>
    </row>
    <row r="5" customFormat="false" ht="12.75" hidden="false" customHeight="false" outlineLevel="0" collapsed="false">
      <c r="B5" s="0" t="n">
        <f aca="false">'Exhibit Y'!A6</f>
        <v>1990</v>
      </c>
      <c r="C5" s="101" t="n">
        <f aca="false">'Exhibit Y'!B6</f>
        <v>0.475</v>
      </c>
      <c r="D5" s="101" t="n">
        <f aca="false">'Exhibit Y'!H6</f>
        <v>0.0165619645916619</v>
      </c>
      <c r="E5" s="101" t="n">
        <f aca="false">'Exhibit Y'!G6</f>
        <v>0.162757330006238</v>
      </c>
    </row>
    <row r="6" customFormat="false" ht="12.75" hidden="false" customHeight="false" outlineLevel="0" collapsed="false">
      <c r="B6" s="0" t="n">
        <f aca="false">'Exhibit Y'!A7</f>
        <v>1991</v>
      </c>
      <c r="C6" s="101" t="n">
        <f aca="false">'Exhibit Y'!B7</f>
        <v>0.512</v>
      </c>
      <c r="D6" s="101" t="n">
        <f aca="false">'Exhibit Y'!H7</f>
        <v>-0.131395221991928</v>
      </c>
      <c r="E6" s="101" t="n">
        <f aca="false">'Exhibit Y'!G7</f>
        <v>0.401866010234536</v>
      </c>
    </row>
    <row r="7" customFormat="false" ht="12.75" hidden="false" customHeight="false" outlineLevel="0" collapsed="false">
      <c r="B7" s="0" t="n">
        <f aca="false">'Exhibit Y'!A8</f>
        <v>1992</v>
      </c>
      <c r="C7" s="101" t="n">
        <f aca="false">'Exhibit Y'!B8</f>
        <v>0.395</v>
      </c>
      <c r="D7" s="101" t="n">
        <f aca="false">'Exhibit Y'!H8</f>
        <v>0.353431589215223</v>
      </c>
      <c r="E7" s="101" t="n">
        <f aca="false">'Exhibit Y'!G8</f>
        <v>-0.219743094211552</v>
      </c>
    </row>
    <row r="8" customFormat="false" ht="12.75" hidden="false" customHeight="false" outlineLevel="0" collapsed="false">
      <c r="B8" s="0" t="n">
        <f aca="false">'Exhibit Y'!A9</f>
        <v>1993</v>
      </c>
      <c r="C8" s="101" t="n">
        <f aca="false">'Exhibit Y'!B9</f>
        <v>0.506</v>
      </c>
      <c r="D8" s="101" t="n">
        <f aca="false">'Exhibit Y'!H9</f>
        <v>-0.025846234584099</v>
      </c>
      <c r="E8" s="101" t="n">
        <f aca="false">'Exhibit Y'!G9</f>
        <v>0.242494540988908</v>
      </c>
    </row>
    <row r="9" customFormat="false" ht="12.75" hidden="false" customHeight="false" outlineLevel="0" collapsed="false">
      <c r="B9" s="0" t="n">
        <f aca="false">'Exhibit Y'!A10</f>
        <v>1994</v>
      </c>
      <c r="C9" s="101" t="n">
        <f aca="false">'Exhibit Y'!B10</f>
        <v>0.438</v>
      </c>
      <c r="D9" s="101" t="n">
        <f aca="false">'Exhibit Y'!H10</f>
        <v>0.292319091671842</v>
      </c>
      <c r="E9" s="101" t="n">
        <f aca="false">'Exhibit Y'!G10</f>
        <v>-0.00931353269459367</v>
      </c>
      <c r="F9" s="102"/>
    </row>
    <row r="10" customFormat="false" ht="12.75" hidden="false" customHeight="false" outlineLevel="0" collapsed="false">
      <c r="B10" s="0" t="n">
        <f aca="false">'Exhibit Y'!A11</f>
        <v>1995</v>
      </c>
      <c r="C10" s="101" t="n">
        <f aca="false">'Exhibit Y'!B11</f>
        <v>0.545</v>
      </c>
      <c r="D10" s="101" t="n">
        <f aca="false">'Exhibit Y'!H11</f>
        <v>-0.109350185824915</v>
      </c>
      <c r="E10" s="101" t="n">
        <f aca="false">'Exhibit Y'!G11</f>
        <v>-0.103044506856007</v>
      </c>
      <c r="F10" s="102"/>
    </row>
    <row r="11" customFormat="false" ht="12.75" hidden="false" customHeight="false" outlineLevel="0" collapsed="false">
      <c r="B11" s="0" t="n">
        <f aca="false">'Exhibit Y'!A12</f>
        <v>1996</v>
      </c>
      <c r="C11" s="101" t="n">
        <f aca="false">'Exhibit Y'!B12</f>
        <v>0.528</v>
      </c>
      <c r="D11" s="101" t="n">
        <f aca="false">'Exhibit Y'!H12</f>
        <v>0.10115648201028</v>
      </c>
      <c r="E11" s="101" t="n">
        <f aca="false">'Exhibit Y'!G12</f>
        <v>0.493928524417533</v>
      </c>
      <c r="F11" s="102"/>
    </row>
    <row r="12" customFormat="false" ht="12.75" hidden="false" customHeight="false" outlineLevel="0" collapsed="false">
      <c r="C12" s="101"/>
      <c r="D12" s="101"/>
      <c r="E12" s="101"/>
    </row>
    <row r="13" customFormat="false" ht="12.75" hidden="false" customHeight="false" outlineLevel="0" collapsed="false">
      <c r="A13" s="63"/>
      <c r="B13" s="89"/>
      <c r="C13" s="63"/>
      <c r="D13" s="63"/>
      <c r="E13" s="63"/>
      <c r="F13" s="63"/>
    </row>
    <row r="14" customFormat="false" ht="12.75" hidden="false" customHeight="false" outlineLevel="0" collapsed="false">
      <c r="A14" s="63"/>
      <c r="B14" s="63"/>
      <c r="C14" s="63"/>
      <c r="D14" s="63"/>
      <c r="E14" s="63"/>
      <c r="F14" s="63"/>
    </row>
    <row r="15" customFormat="false" ht="12.75" hidden="false" customHeight="false" outlineLevel="0" collapsed="false">
      <c r="B15" s="63"/>
      <c r="C15" s="91"/>
      <c r="D15" s="30"/>
      <c r="E15" s="29"/>
      <c r="F15" s="29"/>
      <c r="G15" s="30"/>
      <c r="H15" s="30"/>
      <c r="I15" s="30"/>
      <c r="J15" s="30"/>
    </row>
    <row r="16" customFormat="false" ht="12.75" hidden="false" customHeight="false" outlineLevel="0" collapsed="false">
      <c r="B16" s="63"/>
      <c r="C16" s="91"/>
      <c r="D16" s="30"/>
      <c r="E16" s="29"/>
      <c r="F16" s="29"/>
      <c r="G16" s="30"/>
      <c r="H16" s="25"/>
      <c r="I16" s="25"/>
      <c r="J16" s="22"/>
    </row>
    <row r="17" customFormat="false" ht="12.75" hidden="false" customHeight="false" outlineLevel="0" collapsed="false">
      <c r="B17" s="63"/>
      <c r="C17" s="91"/>
      <c r="D17" s="30"/>
      <c r="E17" s="29"/>
      <c r="F17" s="103"/>
      <c r="G17" s="30"/>
      <c r="H17" s="25"/>
      <c r="I17" s="25"/>
      <c r="J17" s="22"/>
    </row>
    <row r="18" customFormat="false" ht="12.75" hidden="false" customHeight="false" outlineLevel="0" collapsed="false">
      <c r="B18" s="63"/>
      <c r="C18" s="91"/>
      <c r="D18" s="30"/>
      <c r="E18" s="29"/>
      <c r="F18" s="29"/>
      <c r="G18" s="30"/>
      <c r="H18" s="25"/>
      <c r="I18" s="25"/>
      <c r="J18" s="22"/>
    </row>
    <row r="19" customFormat="false" ht="12.75" hidden="false" customHeight="false" outlineLevel="0" collapsed="false">
      <c r="B19" s="63"/>
      <c r="C19" s="91"/>
      <c r="D19" s="30"/>
      <c r="E19" s="29"/>
      <c r="F19" s="29"/>
      <c r="G19" s="30"/>
      <c r="H19" s="25"/>
      <c r="I19" s="25"/>
      <c r="J19" s="22"/>
    </row>
    <row r="20" customFormat="false" ht="12.75" hidden="false" customHeight="false" outlineLevel="0" collapsed="false">
      <c r="B20" s="63"/>
      <c r="C20" s="91"/>
      <c r="D20" s="30"/>
      <c r="E20" s="29"/>
      <c r="F20" s="103"/>
      <c r="G20" s="30"/>
      <c r="H20" s="25"/>
      <c r="I20" s="25"/>
      <c r="J20" s="22"/>
    </row>
    <row r="21" customFormat="false" ht="12.75" hidden="false" customHeight="false" outlineLevel="0" collapsed="false">
      <c r="B21" s="63"/>
      <c r="C21" s="91"/>
      <c r="D21" s="30"/>
      <c r="E21" s="29"/>
      <c r="F21" s="103"/>
      <c r="G21" s="30"/>
      <c r="H21" s="25"/>
      <c r="I21" s="25"/>
      <c r="J21" s="22"/>
    </row>
    <row r="22" customFormat="false" ht="12.75" hidden="false" customHeight="false" outlineLevel="0" collapsed="false">
      <c r="B22" s="63"/>
      <c r="C22" s="91"/>
      <c r="D22" s="30"/>
      <c r="E22" s="29"/>
      <c r="F22" s="29"/>
      <c r="G22" s="30"/>
      <c r="H22" s="25"/>
      <c r="I22" s="25"/>
      <c r="J22" s="22"/>
    </row>
    <row r="24" customFormat="false" ht="12.75" hidden="false" customHeight="false" outlineLevel="0" collapsed="false">
      <c r="C24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cp:lastPrinted>2000-12-05T01:21:53Z</cp:lastPrinted>
  <dcterms:modified xsi:type="dcterms:W3CDTF">2000-12-05T01:23:01Z</dcterms:modified>
  <cp:revision>0</cp:revision>
  <dc:subject/>
  <dc:title/>
</cp:coreProperties>
</file>