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 and out" sheetId="1" state="visible" r:id="rId3"/>
    <sheet name="facts" sheetId="2" state="visible" r:id="rId4"/>
    <sheet name="facts premium" sheetId="3" state="visible" r:id="rId5"/>
    <sheet name="attendance" sheetId="4" state="visible" r:id="rId6"/>
    <sheet name="Chart1" sheetId="5" state="visible" r:id="rId7"/>
    <sheet name="elasticity" sheetId="6" state="visible" r:id="rId8"/>
  </sheets>
  <definedNames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attendance!$F$22</definedName>
    <definedName function="false" hidden="false" name="tixdr2" vbProcedure="false">attendance!$G$22</definedName>
    <definedName function="false" hidden="false" name="tixdr3" vbProcedure="false">attendance!$H$22</definedName>
    <definedName function="false" hidden="false" name="tixdr4" vbProcedure="false">attendance!$I$22</definedName>
    <definedName function="false" hidden="false" name="tixdr5" vbProcedure="false">attendance!$J$22</definedName>
    <definedName function="false" hidden="false" name="tixdr6" vbProcedure="false">attendance!$K$22</definedName>
    <definedName function="false" hidden="false" localSheetId="2" name="DiscRate" vbProcedure="false">'facts premium'!$C$15</definedName>
    <definedName function="false" hidden="false" localSheetId="2" name="discrate2" vbProcedure="false">'facts premium'!$D$15</definedName>
    <definedName function="false" hidden="false" localSheetId="2" name="DiscRate3" vbProcedure="false">'facts premium'!$E$15</definedName>
    <definedName function="false" hidden="false" localSheetId="2" name="DiscRate4" vbProcedure="false">'facts premium'!$F$15</definedName>
    <definedName function="false" hidden="false" localSheetId="2" name="DiscRate5" vbProcedure="false">'facts premium'!$G$15</definedName>
    <definedName function="false" hidden="false" localSheetId="2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<sst xmlns="http://schemas.openxmlformats.org/spreadsheetml/2006/main" count="118" uniqueCount="74">
  <si>
    <t xml:space="preserve">IN</t>
  </si>
  <si>
    <t xml:space="preserve">lease pymts</t>
  </si>
  <si>
    <t xml:space="preserve">taxes</t>
  </si>
  <si>
    <t xml:space="preserve">int on slush</t>
  </si>
  <si>
    <t xml:space="preserve">residual value</t>
  </si>
  <si>
    <t xml:space="preserve">issue bonds</t>
  </si>
  <si>
    <t xml:space="preserve">OUT</t>
  </si>
  <si>
    <t xml:space="preserve">coupon payments</t>
  </si>
  <si>
    <t xml:space="preserve">principal bonds</t>
  </si>
  <si>
    <t xml:space="preserve">pay for construction</t>
  </si>
  <si>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</si>
  <si>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</si>
  <si>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</si>
  <si>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</si>
  <si>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</si>
  <si>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</si>
  <si>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</si>
  <si>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</si>
  <si>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Mariners</t>
  </si>
  <si>
    <t xml:space="preserve">+ &gt;$384</t>
  </si>
  <si>
    <t xml:space="preserve">+ maintenance</t>
  </si>
  <si>
    <t xml:space="preserve">10% profits</t>
  </si>
  <si>
    <t xml:space="preserve">(not likely)</t>
  </si>
  <si>
    <t xml:space="preserve">Mar/Aug 1st lease</t>
  </si>
  <si>
    <t xml:space="preserve">Discount Rate:</t>
  </si>
  <si>
    <t xml:space="preserve">Value 1/1/2019</t>
  </si>
  <si>
    <t xml:space="preserve">Cost of Building (Expense)</t>
  </si>
  <si>
    <t xml:space="preserve">$339M over 2.67 years</t>
  </si>
  <si>
    <t xml:space="preserve">Bonds Issued</t>
  </si>
  <si>
    <t xml:space="preserve">Lease Payments (Revenue)</t>
  </si>
  <si>
    <t xml:space="preserve">40 payments of $350,000</t>
  </si>
  <si>
    <t xml:space="preserve">PV 3/1/99</t>
  </si>
  <si>
    <t xml:space="preserve">Residual value of stadium 1/1/19</t>
  </si>
  <si>
    <t xml:space="preserve">PV 1/1/97</t>
  </si>
  <si>
    <t xml:space="preserve">NPV of Investments</t>
  </si>
  <si>
    <t xml:space="preserve">PV Ticket Sales</t>
  </si>
  <si>
    <t xml:space="preserve">Tax on tickets</t>
  </si>
  <si>
    <t xml:space="preserve">How long does a baseball stadium last?</t>
  </si>
  <si>
    <t xml:space="preserve">At end of 20 stadium will be in new condition, because of maintenance covered by team.</t>
  </si>
  <si>
    <t xml:space="preserve">Population</t>
  </si>
  <si>
    <t xml:space="preserve">1990</t>
  </si>
  <si>
    <t xml:space="preserve">2000</t>
  </si>
  <si>
    <t xml:space="preserve">1996</t>
  </si>
  <si>
    <t xml:space="preserve">Cost per Capita</t>
  </si>
  <si>
    <t xml:space="preserve">people per hh</t>
  </si>
  <si>
    <t xml:space="preserve">Cost per Household</t>
  </si>
  <si>
    <t xml:space="preserve">Discount Rate w/ premium:</t>
  </si>
  <si>
    <t xml:space="preserve">year</t>
  </si>
  <si>
    <t xml:space="preserve">Year</t>
  </si>
  <si>
    <t xml:space="preserve">Attendance</t>
  </si>
  <si>
    <t xml:space="preserve">price 1</t>
  </si>
  <si>
    <t xml:space="preserve">PV @ 7/96, dr</t>
  </si>
  <si>
    <t xml:space="preserve">PV @ 7/96, dr2</t>
  </si>
  <si>
    <t xml:space="preserve">PV @ 7/96, dr3</t>
  </si>
  <si>
    <t xml:space="preserve">PV @ 7/96, dr4</t>
  </si>
  <si>
    <t xml:space="preserve">PV @ 7/96, dr5</t>
  </si>
  <si>
    <t xml:space="preserve">PV @ 7/96, dr6</t>
  </si>
  <si>
    <t xml:space="preserve">Inflation:</t>
  </si>
  <si>
    <t xml:space="preserve">Price</t>
  </si>
  <si>
    <t xml:space="preserve">price</t>
  </si>
  <si>
    <t xml:space="preserve">ticket sales</t>
  </si>
  <si>
    <t xml:space="preserve">adj ticket sales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</si>
  <si>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</si>
  <si>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</si>
  <si>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</si>
  <si>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</si>
  <si>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</si>
  <si>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adjusted up to full season</t>
  </si>
  <si>
    <t xml:space="preserve">elasticity</t>
  </si>
  <si>
    <t xml:space="preserve">new price</t>
  </si>
  <si>
    <t xml:space="preserve">effective </t>
  </si>
  <si>
    <t xml:space="preserve">pretax price</t>
  </si>
  <si>
    <t xml:space="preserve">with 40% tax</t>
  </si>
  <si>
    <t xml:space="preserve">tax rate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</si>
</sst>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0.00"/>
    <numFmt numFmtId="167" formatCode="_(\$* #,##0.00_);_(\$* \(#,##0.00\);_(\$* \-??_);_(@_)"/>
    <numFmt numFmtId="168" formatCode="_(\$* #,##0.0_);_(\$* \(#,##0.0\);_(\$* \-??_);_(@_)"/>
    <numFmt numFmtId="169" formatCode="0&quot; mos&quot;"/>
    <numFmt numFmtId="170" formatCode="[$-409]mmm\-yy"/>
    <numFmt numFmtId="171" formatCode="_(\$* #,##0_);_(\$* \(#,##0\);_(\$* \-??_);_(@_)"/>
    <numFmt numFmtId="172" formatCode="0.0"/>
    <numFmt numFmtId="173" formatCode="0.0%"/>
    <numFmt numFmtId="174" formatCode="_(* #,##0.0_);_(* \(#,##0.0\);_(* \-??_);_(@_)"/>
    <numFmt numFmtId="175" formatCode="[$-409]m/d/yyyy"/>
    <numFmt numFmtId="176" formatCode="\$#,##0.00_);[RED]&quot;($&quot;#,##0.00\)"/>
    <numFmt numFmtId="177" formatCode="0%"/>
    <numFmt numFmtId="178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%changeP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elasticity!$H$3</c:f>
              <c:strCache>
                <c:ptCount val="1"/>
                <c:pt idx="0">
                  <c:v>%changeP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1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elasticity!$G$4:$G$11</c:f>
              <c:numCache>
                <c:formatCode>_(* #,##0.00_);_(* \(#,##0.00\);_(* \-??_);_(@_)</c:formatCode>
                <c:ptCount val="8"/>
                <c:pt idx="0">
                  <c:v>0</c:v>
                </c:pt>
                <c:pt idx="1">
                  <c:v>0.162757330006238</c:v>
                </c:pt>
                <c:pt idx="2">
                  <c:v>0.401866010234536</c:v>
                </c:pt>
                <c:pt idx="3">
                  <c:v>-0.219728919732006</c:v>
                </c:pt>
                <c:pt idx="4">
                  <c:v>0.242471969713484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xVal>
          <c:yVal>
            <c:numRef>
              <c:f>elasticity!$H$4:$H$11</c:f>
              <c:numCache>
                <c:formatCode>_(* #,##0.00_);_(* \(#,##0.00\);_(* \-??_);_(@_)</c:formatCode>
                <c:ptCount val="8"/>
                <c:pt idx="0">
                  <c:v>0</c:v>
                </c:pt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yVal>
          <c:smooth val="0"/>
        </c:ser>
        <c:axId val="73906830"/>
        <c:axId val="80902175"/>
      </c:scatterChart>
      <c:valAx>
        <c:axId val="73906830"/>
        <c:scaling>
          <c:orientation val="minMax"/>
        </c:scaling>
        <c:delete val="0"/>
        <c:axPos val="b"/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02175"/>
        <c:crossesAt val="0"/>
        <c:crossBetween val="midCat"/>
      </c:valAx>
      <c:valAx>
        <c:axId val="809021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0683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n">
        <f aca="false">facts!C25</f>
        <v>7.75259898169927</v>
      </c>
    </row>
    <row r="4" customFormat="false" ht="12.75" hidden="false" customHeight="false" outlineLevel="0" collapsed="false">
      <c r="A4" s="0" t="s">
        <v>2</v>
      </c>
      <c r="B4" s="0" t="n">
        <v>0</v>
      </c>
    </row>
    <row r="5" customFormat="false" ht="12.75" hidden="false" customHeight="false" outlineLevel="0" collapsed="false">
      <c r="A5" s="0" t="s">
        <v>3</v>
      </c>
      <c r="B5" s="0" t="n">
        <v>0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2" t="s">
        <v>5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A10" s="0" t="s">
        <v>7</v>
      </c>
      <c r="B10" s="3" t="n">
        <f aca="false">0.05*facts!C20</f>
        <v>16.0325479668229</v>
      </c>
    </row>
    <row r="11" customFormat="false" ht="12.75" hidden="false" customHeight="false" outlineLevel="0" collapsed="false">
      <c r="A11" s="0" t="s">
        <v>8</v>
      </c>
    </row>
    <row r="12" customFormat="false" ht="12.75" hidden="false" customHeight="false" outlineLevel="0" collapsed="false">
      <c r="A12" s="2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10</v>
      </c>
    </row>
    <row r="2" customFormat="false" ht="12.75" hidden="false" customHeight="false" outlineLevel="0" collapsed="false">
      <c r="A2" s="0" t="s">
        <v>11</v>
      </c>
    </row>
    <row r="3" customFormat="false" ht="12.75" hidden="false" customHeight="false" outlineLevel="0" collapsed="false">
      <c r="A3" s="0" t="s">
        <v>12</v>
      </c>
    </row>
    <row r="4" customFormat="false" ht="12.75" hidden="false" customHeight="false" outlineLevel="0" collapsed="false">
      <c r="A4" s="0" t="s">
        <v>13</v>
      </c>
    </row>
    <row r="5" customFormat="false" ht="12.75" hidden="false" customHeight="false" outlineLevel="0" collapsed="false">
      <c r="A5" s="0" t="s">
        <v>14</v>
      </c>
      <c r="B5" s="4" t="n">
        <v>363.5</v>
      </c>
    </row>
    <row r="6" customFormat="false" ht="12.75" hidden="false" customHeight="false" outlineLevel="0" collapsed="false">
      <c r="A6" s="5" t="s">
        <v>15</v>
      </c>
      <c r="B6" s="4" t="n">
        <f aca="false">384-45</f>
        <v>339</v>
      </c>
      <c r="C6" s="0" t="s">
        <v>16</v>
      </c>
      <c r="E6" s="0" t="s">
        <v>17</v>
      </c>
    </row>
    <row r="7" customFormat="false" ht="12.75" hidden="false" customHeight="false" outlineLevel="0" collapsed="false">
      <c r="A7" s="5"/>
      <c r="B7" s="6" t="n">
        <v>26</v>
      </c>
      <c r="D7" s="7"/>
    </row>
    <row r="8" customFormat="false" ht="12.75" hidden="false" customHeight="false" outlineLevel="0" collapsed="false">
      <c r="A8" s="5"/>
      <c r="B8" s="8" t="n">
        <f aca="false">B6/B7</f>
        <v>13.0384615384615</v>
      </c>
      <c r="D8" s="7"/>
    </row>
    <row r="9" customFormat="false" ht="12.75" hidden="false" customHeight="false" outlineLevel="0" collapsed="false">
      <c r="A9" s="5" t="s">
        <v>18</v>
      </c>
      <c r="B9" s="9" t="n">
        <v>45</v>
      </c>
    </row>
    <row r="10" customFormat="false" ht="12.75" hidden="false" customHeight="false" outlineLevel="0" collapsed="false">
      <c r="B10" s="0" t="s">
        <v>19</v>
      </c>
    </row>
    <row r="11" customFormat="false" ht="12.75" hidden="false" customHeight="false" outlineLevel="0" collapsed="false">
      <c r="B11" s="0" t="s">
        <v>20</v>
      </c>
    </row>
    <row r="12" customFormat="false" ht="12.75" hidden="false" customHeight="false" outlineLevel="0" collapsed="false">
      <c r="B12" s="0" t="s">
        <v>21</v>
      </c>
      <c r="C12" s="0" t="s">
        <v>22</v>
      </c>
    </row>
    <row r="13" customFormat="false" ht="12.75" hidden="false" customHeight="false" outlineLevel="0" collapsed="false">
      <c r="B13" s="0" t="n">
        <f aca="false">0.7/2</f>
        <v>0.35</v>
      </c>
      <c r="C13" s="0" t="s">
        <v>23</v>
      </c>
    </row>
    <row r="15" customFormat="false" ht="12.75" hidden="false" customHeight="false" outlineLevel="0" collapsed="false">
      <c r="A15" s="0" t="s">
        <v>24</v>
      </c>
      <c r="C15" s="10" t="n">
        <v>0.05</v>
      </c>
      <c r="D15" s="10" t="n">
        <v>0.04</v>
      </c>
      <c r="E15" s="10" t="n">
        <v>0.045</v>
      </c>
      <c r="F15" s="10" t="n">
        <v>0.055</v>
      </c>
      <c r="G15" s="10" t="n">
        <v>0.06</v>
      </c>
      <c r="H15" s="10" t="n">
        <v>0.065</v>
      </c>
    </row>
    <row r="16" customFormat="false" ht="12.75" hidden="false" customHeight="false" outlineLevel="0" collapsed="false">
      <c r="A16" s="0" t="s">
        <v>25</v>
      </c>
      <c r="C16" s="11" t="n">
        <v>250</v>
      </c>
      <c r="D16" s="11" t="n">
        <v>250</v>
      </c>
      <c r="E16" s="11" t="n">
        <v>250</v>
      </c>
      <c r="F16" s="11" t="n">
        <v>250</v>
      </c>
      <c r="G16" s="11" t="n">
        <v>250</v>
      </c>
      <c r="H16" s="11" t="n">
        <v>250</v>
      </c>
    </row>
    <row r="18" customFormat="false" ht="12.75" hidden="false" customHeight="false" outlineLevel="0" collapsed="false">
      <c r="A18" s="0" t="s">
        <v>26</v>
      </c>
      <c r="C18" s="3"/>
    </row>
    <row r="19" customFormat="false" ht="12.75" hidden="false" customHeight="false" outlineLevel="0" collapsed="false">
      <c r="B19" s="0" t="s">
        <v>27</v>
      </c>
      <c r="J19" s="7"/>
    </row>
    <row r="20" customFormat="false" ht="12.75" hidden="false" customHeight="false" outlineLevel="0" collapsed="false">
      <c r="A20" s="12" t="s">
        <v>28</v>
      </c>
      <c r="B20" s="13" t="n">
        <v>35431</v>
      </c>
      <c r="C20" s="3" t="n">
        <f aca="false">-PV(DiscRate/12,$B$7,$B$6/$B$7,,0)</f>
        <v>320.650959336458</v>
      </c>
      <c r="D20" s="3" t="n">
        <f aca="false">-PV(discrate2/12,$B$7,$B$6/$B$7,,0)</f>
        <v>324.208355998784</v>
      </c>
      <c r="E20" s="3" t="n">
        <f aca="false">-PV(DiscRate3/12,$B$7,$B$6/$B$7,,0)</f>
        <v>322.4228204678</v>
      </c>
      <c r="F20" s="3" t="n">
        <f aca="false">-PV(DiscRate4/12,$B$7,$B$6/$B$7,,0)</f>
        <v>318.892650333809</v>
      </c>
      <c r="G20" s="3" t="n">
        <f aca="false">-PV(DiscRate5/12,$B$7,$B$6/$B$7,,0)</f>
        <v>317.14777239629</v>
      </c>
      <c r="H20" s="3" t="n">
        <f aca="false">-PV(DiscRate6/12,$B$7,$B$6/$B$7,,0)</f>
        <v>315.416205654918</v>
      </c>
      <c r="J20" s="7"/>
    </row>
    <row r="21" customFormat="false" ht="12.75" hidden="false" customHeight="false" outlineLevel="0" collapsed="false">
      <c r="J21" s="14"/>
    </row>
    <row r="22" customFormat="false" ht="12.75" hidden="false" customHeight="false" outlineLevel="0" collapsed="false">
      <c r="A22" s="0" t="s">
        <v>29</v>
      </c>
      <c r="J22" s="14"/>
    </row>
    <row r="23" customFormat="false" ht="12.75" hidden="false" customHeight="false" outlineLevel="0" collapsed="false">
      <c r="B23" s="0" t="s">
        <v>30</v>
      </c>
    </row>
    <row r="24" customFormat="false" ht="12.75" hidden="false" customHeight="false" outlineLevel="0" collapsed="false">
      <c r="B24" s="0" t="s">
        <v>31</v>
      </c>
      <c r="C24" s="14" t="n">
        <f aca="false">PV(POWER(1+DiscRate,0.5)-1,40,-$B$13)</f>
        <v>8.83126157341537</v>
      </c>
      <c r="D24" s="15" t="n">
        <f aca="false">PV(POWER(1+discrate2,0.5)-1,40,-$B$13)</f>
        <v>9.60742796677458</v>
      </c>
      <c r="E24" s="15" t="n">
        <f aca="false">PV(POWER(1+DiscRate3,0.5)-1,40,-$B$13)</f>
        <v>9.20686581615095</v>
      </c>
      <c r="F24" s="15" t="n">
        <f aca="false">PV(POWER(1+DiscRate4,0.5)-1,40,-$B$13)</f>
        <v>8.47875066550912</v>
      </c>
      <c r="G24" s="15" t="n">
        <f aca="false">PV(POWER(1+DiscRate5,0.5)-1,40,-$B$13)</f>
        <v>8.14762475793908</v>
      </c>
      <c r="H24" s="15" t="n">
        <f aca="false">PV(POWER(1+DiscRate6,0.5)-1,40,-$B$13)</f>
        <v>7.83631751130972</v>
      </c>
    </row>
    <row r="25" customFormat="false" ht="12.75" hidden="false" customHeight="false" outlineLevel="0" collapsed="false">
      <c r="B25" s="13" t="n">
        <v>35431</v>
      </c>
      <c r="C25" s="1" t="n">
        <f aca="false">C24/POWER(1+DiscRate,2.67)</f>
        <v>7.75259898169927</v>
      </c>
      <c r="D25" s="16" t="n">
        <f aca="false">D24/POWER(1+discrate2,2.67)</f>
        <v>8.6522313023305</v>
      </c>
      <c r="E25" s="1" t="n">
        <f aca="false">E24/POWER(1+DiscRate3,2.67)</f>
        <v>8.18599204283958</v>
      </c>
      <c r="F25" s="16" t="n">
        <f aca="false">F24/POWER(1+DiscRate4,2.67)</f>
        <v>7.34933081918997</v>
      </c>
      <c r="G25" s="16" t="n">
        <f aca="false">G24/POWER(1+DiscRate5,2.67)</f>
        <v>6.9737176360407</v>
      </c>
      <c r="H25" s="16" t="n">
        <f aca="false">H24/POWER(1+DiscRate6,2.67)</f>
        <v>6.62351572369836</v>
      </c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 t="s">
        <v>32</v>
      </c>
    </row>
    <row r="28" customFormat="false" ht="12.75" hidden="false" customHeight="false" outlineLevel="0" collapsed="false">
      <c r="B28" s="0" t="s">
        <v>33</v>
      </c>
      <c r="C28" s="1" t="n">
        <f aca="false">C16/POWER(1+DiscRate,22.5)</f>
        <v>83.4028285327202</v>
      </c>
      <c r="D28" s="1" t="n">
        <f aca="false">D16/POWER(1+discrate2,22.5)</f>
        <v>103.440324538318</v>
      </c>
      <c r="E28" s="1" t="n">
        <f aca="false">E16/POWER(1+DiscRate3,22.5)</f>
        <v>92.8588869303496</v>
      </c>
      <c r="F28" s="1" t="n">
        <f aca="false">F16/POWER(1+DiscRate4,22.5)</f>
        <v>74.9479342140704</v>
      </c>
      <c r="G28" s="1" t="n">
        <f aca="false">G16/POWER(1+DiscRate5,22.5)</f>
        <v>67.3841943397609</v>
      </c>
      <c r="H28" s="1" t="n">
        <f aca="false">H16/POWER(1+DiscRate6,22.5)</f>
        <v>60.6141240912388</v>
      </c>
    </row>
    <row r="29" customFormat="false" ht="12.75" hidden="false" customHeight="false" outlineLevel="0" collapsed="false">
      <c r="A29" s="13"/>
      <c r="E29" s="14"/>
    </row>
    <row r="30" customFormat="false" ht="12.75" hidden="false" customHeight="false" outlineLevel="0" collapsed="false">
      <c r="A30" s="13" t="s">
        <v>34</v>
      </c>
      <c r="C30" s="1" t="n">
        <f aca="false">C28+C25-C20</f>
        <v>-229.495531822038</v>
      </c>
      <c r="D30" s="1" t="n">
        <f aca="false">D28+D25-D20</f>
        <v>-212.115800158135</v>
      </c>
      <c r="E30" s="1" t="n">
        <f aca="false">E28+E25-E20</f>
        <v>-221.377941494611</v>
      </c>
      <c r="F30" s="1" t="n">
        <f aca="false">F28+F25-F20</f>
        <v>-236.595385300548</v>
      </c>
      <c r="G30" s="1" t="n">
        <f aca="false">G28+G25-G20</f>
        <v>-242.789860420488</v>
      </c>
      <c r="H30" s="1" t="n">
        <f aca="false">H28+H25-H20</f>
        <v>-248.178565839981</v>
      </c>
    </row>
    <row r="31" customFormat="false" ht="12.75" hidden="false" customHeight="false" outlineLevel="0" collapsed="false">
      <c r="A31" s="13" t="s">
        <v>35</v>
      </c>
      <c r="C31" s="1" t="n">
        <f aca="false">tixdr0/1000000</f>
        <v>561.895566637323</v>
      </c>
      <c r="D31" s="1" t="n">
        <f aca="false">tixdr2/1000000</f>
        <v>631.051849082786</v>
      </c>
      <c r="E31" s="1" t="n">
        <f aca="false">tixdr3/1000000</f>
        <v>595.160111178856</v>
      </c>
      <c r="F31" s="1" t="n">
        <f aca="false">tixdr4/1000000</f>
        <v>531.035969510792</v>
      </c>
      <c r="G31" s="1" t="n">
        <f aca="false">tixdr5/1000000</f>
        <v>502.379794982215</v>
      </c>
      <c r="H31" s="1" t="n">
        <f aca="false">tixdr6/1000000</f>
        <v>475.74416014391</v>
      </c>
    </row>
    <row r="32" customFormat="false" ht="12.75" hidden="false" customHeight="false" outlineLevel="0" collapsed="false">
      <c r="A32" s="13" t="s">
        <v>36</v>
      </c>
      <c r="C32" s="17" t="n">
        <f aca="false">-C30/C31</f>
        <v>0.408430935298991</v>
      </c>
      <c r="D32" s="17" t="n">
        <f aca="false">-D30/D31</f>
        <v>0.336130542151867</v>
      </c>
      <c r="E32" s="17" t="n">
        <f aca="false">-E30/E31</f>
        <v>0.371963673869405</v>
      </c>
      <c r="F32" s="17" t="n">
        <f aca="false">-F30/F31</f>
        <v>0.445535517148693</v>
      </c>
      <c r="G32" s="17" t="n">
        <f aca="false">-G30/G31</f>
        <v>0.483279508542105</v>
      </c>
      <c r="H32" s="17" t="n">
        <f aca="false">-H30/H31</f>
        <v>0.521663924923236</v>
      </c>
    </row>
    <row r="33" customFormat="false" ht="12.75" hidden="false" customHeight="false" outlineLevel="0" collapsed="false">
      <c r="A33" s="13"/>
      <c r="E33" s="1"/>
    </row>
    <row r="34" customFormat="false" ht="12.75" hidden="false" customHeight="false" outlineLevel="0" collapsed="false">
      <c r="A34" s="13" t="s">
        <v>37</v>
      </c>
    </row>
    <row r="35" customFormat="false" ht="12.75" hidden="false" customHeight="false" outlineLevel="0" collapsed="false">
      <c r="A35" s="14" t="s">
        <v>38</v>
      </c>
    </row>
    <row r="36" customFormat="false" ht="12.75" hidden="false" customHeight="false" outlineLevel="0" collapsed="false">
      <c r="A36" s="1"/>
    </row>
    <row r="38" customFormat="false" ht="12.75" hidden="false" customHeight="false" outlineLevel="0" collapsed="false">
      <c r="A38" s="18" t="s">
        <v>39</v>
      </c>
      <c r="B38" s="18" t="s">
        <v>40</v>
      </c>
      <c r="C38" s="18" t="s">
        <v>41</v>
      </c>
      <c r="D38" s="18" t="s">
        <v>42</v>
      </c>
    </row>
    <row r="39" customFormat="false" ht="12.75" hidden="false" customHeight="false" outlineLevel="0" collapsed="false">
      <c r="B39" s="19" t="n">
        <v>1507319</v>
      </c>
      <c r="C39" s="19" t="n">
        <v>1686234</v>
      </c>
      <c r="D39" s="19" t="n">
        <f aca="false">(C39*6+B39*4)/10</f>
        <v>1614668</v>
      </c>
    </row>
    <row r="40" customFormat="false" ht="12.75" hidden="false" customHeight="false" outlineLevel="0" collapsed="false">
      <c r="B40" s="0" t="n">
        <v>2.4</v>
      </c>
      <c r="C40" s="0" t="n">
        <v>2.34</v>
      </c>
      <c r="D40" s="20" t="n">
        <f aca="false">(C40*6+B40*4)/10</f>
        <v>2.364</v>
      </c>
    </row>
    <row r="41" customFormat="false" ht="12.75" hidden="false" customHeight="false" outlineLevel="0" collapsed="false">
      <c r="D41" s="19"/>
    </row>
    <row r="42" customFormat="false" ht="12.75" hidden="false" customHeight="false" outlineLevel="0" collapsed="false">
      <c r="A42" s="0" t="s">
        <v>43</v>
      </c>
      <c r="C42" s="21" t="n">
        <f aca="false">C20*1000000/$D$39</f>
        <v>198.5863095921</v>
      </c>
      <c r="D42" s="21" t="n">
        <f aca="false">D20*1000000/$D$39</f>
        <v>200.789484896452</v>
      </c>
      <c r="E42" s="21" t="n">
        <f aca="false">E20*1000000/$D$39</f>
        <v>199.683662813532</v>
      </c>
      <c r="F42" s="21" t="n">
        <f aca="false">F20*1000000/$D$39</f>
        <v>197.497349507025</v>
      </c>
      <c r="G42" s="21" t="n">
        <f aca="false">G20*1000000/$D$39</f>
        <v>196.416707580933</v>
      </c>
      <c r="H42" s="21" t="n">
        <f aca="false">H20*1000000/$D$39</f>
        <v>195.344309576283</v>
      </c>
    </row>
    <row r="43" customFormat="false" ht="12.75" hidden="false" customHeight="false" outlineLevel="0" collapsed="false">
      <c r="A43" s="0" t="s">
        <v>44</v>
      </c>
      <c r="C43" s="1" t="n">
        <f aca="false">$D$40</f>
        <v>2.364</v>
      </c>
      <c r="D43" s="1" t="n">
        <f aca="false">$D$40</f>
        <v>2.364</v>
      </c>
      <c r="E43" s="1" t="n">
        <f aca="false">$D$40</f>
        <v>2.364</v>
      </c>
      <c r="F43" s="1" t="n">
        <f aca="false">$D$40</f>
        <v>2.364</v>
      </c>
      <c r="G43" s="1" t="n">
        <f aca="false">$D$40</f>
        <v>2.364</v>
      </c>
      <c r="H43" s="1" t="n">
        <f aca="false">$D$40</f>
        <v>2.364</v>
      </c>
    </row>
    <row r="44" customFormat="false" ht="12.75" hidden="false" customHeight="false" outlineLevel="0" collapsed="false">
      <c r="A44" s="0" t="s">
        <v>45</v>
      </c>
      <c r="C44" s="21" t="n">
        <f aca="false">C42*C43</f>
        <v>469.458035875725</v>
      </c>
      <c r="D44" s="21" t="n">
        <f aca="false">D42*D43</f>
        <v>474.666342295212</v>
      </c>
      <c r="E44" s="21" t="n">
        <f aca="false">E42*E43</f>
        <v>472.05217889119</v>
      </c>
      <c r="F44" s="21" t="n">
        <f aca="false">F42*F43</f>
        <v>466.883734234607</v>
      </c>
      <c r="G44" s="21" t="n">
        <f aca="false">G42*G43</f>
        <v>464.329096721325</v>
      </c>
      <c r="H44" s="21" t="n">
        <f aca="false">H42*H43</f>
        <v>461.793947838333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1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2.85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10</v>
      </c>
    </row>
    <row r="2" customFormat="false" ht="12.75" hidden="false" customHeight="false" outlineLevel="0" collapsed="false">
      <c r="A2" s="0" t="s">
        <v>11</v>
      </c>
    </row>
    <row r="3" customFormat="false" ht="12.75" hidden="false" customHeight="false" outlineLevel="0" collapsed="false">
      <c r="A3" s="0" t="s">
        <v>12</v>
      </c>
    </row>
    <row r="4" customFormat="false" ht="12.75" hidden="false" customHeight="false" outlineLevel="0" collapsed="false">
      <c r="A4" s="0" t="s">
        <v>13</v>
      </c>
    </row>
    <row r="5" customFormat="false" ht="12.75" hidden="false" customHeight="false" outlineLevel="0" collapsed="false">
      <c r="A5" s="0" t="s">
        <v>14</v>
      </c>
      <c r="B5" s="4" t="n">
        <v>363.5</v>
      </c>
    </row>
    <row r="6" customFormat="false" ht="12.75" hidden="false" customHeight="false" outlineLevel="0" collapsed="false">
      <c r="A6" s="5" t="s">
        <v>15</v>
      </c>
      <c r="B6" s="4" t="n">
        <f aca="false">384-45</f>
        <v>339</v>
      </c>
      <c r="C6" s="0" t="s">
        <v>16</v>
      </c>
      <c r="E6" s="0" t="s">
        <v>17</v>
      </c>
    </row>
    <row r="7" customFormat="false" ht="12.75" hidden="false" customHeight="false" outlineLevel="0" collapsed="false">
      <c r="A7" s="5"/>
      <c r="B7" s="6" t="n">
        <v>26</v>
      </c>
      <c r="D7" s="7"/>
    </row>
    <row r="8" customFormat="false" ht="12.75" hidden="false" customHeight="false" outlineLevel="0" collapsed="false">
      <c r="A8" s="5"/>
      <c r="B8" s="8" t="n">
        <f aca="false">B6/B7</f>
        <v>13.0384615384615</v>
      </c>
      <c r="D8" s="7"/>
    </row>
    <row r="9" customFormat="false" ht="12.75" hidden="false" customHeight="false" outlineLevel="0" collapsed="false">
      <c r="A9" s="5" t="s">
        <v>18</v>
      </c>
      <c r="B9" s="9" t="n">
        <v>45</v>
      </c>
    </row>
    <row r="10" customFormat="false" ht="12.75" hidden="false" customHeight="false" outlineLevel="0" collapsed="false">
      <c r="B10" s="0" t="s">
        <v>19</v>
      </c>
    </row>
    <row r="11" customFormat="false" ht="12.75" hidden="false" customHeight="false" outlineLevel="0" collapsed="false">
      <c r="B11" s="0" t="s">
        <v>20</v>
      </c>
    </row>
    <row r="12" customFormat="false" ht="12.75" hidden="false" customHeight="false" outlineLevel="0" collapsed="false">
      <c r="B12" s="0" t="s">
        <v>21</v>
      </c>
      <c r="C12" s="0" t="s">
        <v>22</v>
      </c>
    </row>
    <row r="13" customFormat="false" ht="12.75" hidden="false" customHeight="false" outlineLevel="0" collapsed="false">
      <c r="B13" s="0" t="n">
        <f aca="false">0.7/2</f>
        <v>0.35</v>
      </c>
      <c r="C13" s="0" t="s">
        <v>23</v>
      </c>
    </row>
    <row r="15" customFormat="false" ht="12.75" hidden="false" customHeight="false" outlineLevel="0" collapsed="false">
      <c r="A15" s="0" t="s">
        <v>24</v>
      </c>
      <c r="C15" s="10" t="n">
        <v>0.05</v>
      </c>
      <c r="D15" s="10" t="n">
        <v>0.04</v>
      </c>
      <c r="E15" s="10" t="n">
        <v>0.045</v>
      </c>
      <c r="F15" s="10" t="n">
        <v>0.055</v>
      </c>
      <c r="G15" s="10" t="n">
        <v>0.06</v>
      </c>
      <c r="H15" s="10" t="n">
        <v>0.065</v>
      </c>
    </row>
    <row r="16" customFormat="false" ht="12.75" hidden="false" customHeight="false" outlineLevel="0" collapsed="false">
      <c r="A16" s="0" t="s">
        <v>46</v>
      </c>
      <c r="C16" s="10" t="n">
        <f aca="false">DiscRate+0.005</f>
        <v>0.055</v>
      </c>
      <c r="D16" s="10" t="n">
        <f aca="false">DiscRate+0.005</f>
        <v>0.055</v>
      </c>
      <c r="E16" s="10" t="n">
        <f aca="false">DiscRate+0.005</f>
        <v>0.055</v>
      </c>
      <c r="F16" s="10" t="n">
        <f aca="false">DiscRate+0.005</f>
        <v>0.055</v>
      </c>
      <c r="G16" s="10" t="n">
        <f aca="false">DiscRate+0.005</f>
        <v>0.055</v>
      </c>
      <c r="H16" s="10" t="n">
        <f aca="false">DiscRate+0.005</f>
        <v>0.055</v>
      </c>
    </row>
    <row r="17" customFormat="false" ht="12.75" hidden="false" customHeight="false" outlineLevel="0" collapsed="false">
      <c r="A17" s="0" t="s">
        <v>25</v>
      </c>
      <c r="C17" s="11" t="n">
        <v>0.6</v>
      </c>
      <c r="D17" s="11" t="n">
        <v>0.6</v>
      </c>
      <c r="E17" s="11" t="n">
        <v>0.6</v>
      </c>
      <c r="F17" s="11" t="n">
        <v>0.6</v>
      </c>
      <c r="G17" s="11" t="n">
        <v>0.6</v>
      </c>
      <c r="H17" s="11" t="n">
        <v>0.6</v>
      </c>
    </row>
    <row r="19" customFormat="false" ht="12.75" hidden="false" customHeight="false" outlineLevel="0" collapsed="false">
      <c r="A19" s="0" t="s">
        <v>26</v>
      </c>
      <c r="C19" s="3"/>
    </row>
    <row r="20" customFormat="false" ht="12.75" hidden="false" customHeight="false" outlineLevel="0" collapsed="false">
      <c r="B20" s="0" t="s">
        <v>27</v>
      </c>
      <c r="J20" s="7"/>
    </row>
    <row r="21" customFormat="false" ht="12.75" hidden="false" customHeight="false" outlineLevel="0" collapsed="false">
      <c r="A21" s="12" t="s">
        <v>28</v>
      </c>
      <c r="B21" s="13" t="n">
        <v>35431</v>
      </c>
      <c r="C21" s="3" t="n">
        <f aca="false">-PV(DiscRate/12,$B$7,$B$6/$B$7,,0)</f>
        <v>320.650959336458</v>
      </c>
      <c r="D21" s="3" t="n">
        <f aca="false">-PV(discrate2/12,$B$7,$B$6/$B$7,,0)</f>
        <v>324.208355998784</v>
      </c>
      <c r="E21" s="3" t="n">
        <f aca="false">-PV(DiscRate3/12,$B$7,$B$6/$B$7,,0)</f>
        <v>322.4228204678</v>
      </c>
      <c r="F21" s="3" t="n">
        <f aca="false">-PV(DiscRate4/12,$B$7,$B$6/$B$7,,0)</f>
        <v>318.892650333809</v>
      </c>
      <c r="G21" s="3" t="n">
        <f aca="false">-PV(DiscRate5/12,$B$7,$B$6/$B$7,,0)</f>
        <v>317.14777239629</v>
      </c>
      <c r="H21" s="3" t="n">
        <f aca="false">-PV(DiscRate6/12,$B$7,$B$6/$B$7,,0)</f>
        <v>315.416205654918</v>
      </c>
      <c r="J21" s="7"/>
    </row>
    <row r="22" customFormat="false" ht="12.75" hidden="false" customHeight="false" outlineLevel="0" collapsed="false">
      <c r="J22" s="14"/>
    </row>
    <row r="23" customFormat="false" ht="12.75" hidden="false" customHeight="false" outlineLevel="0" collapsed="false">
      <c r="A23" s="0" t="s">
        <v>29</v>
      </c>
      <c r="J23" s="14"/>
    </row>
    <row r="24" customFormat="false" ht="12.75" hidden="false" customHeight="false" outlineLevel="0" collapsed="false">
      <c r="B24" s="0" t="s">
        <v>30</v>
      </c>
    </row>
    <row r="25" customFormat="false" ht="12.75" hidden="false" customHeight="false" outlineLevel="0" collapsed="false">
      <c r="B25" s="0" t="s">
        <v>31</v>
      </c>
      <c r="C25" s="14" t="n">
        <f aca="false">PV(POWER(1+DiscRate,0.5)-1,40,-$B$13)</f>
        <v>8.83126157341537</v>
      </c>
      <c r="D25" s="15" t="n">
        <f aca="false">PV(POWER(1+discrate2,0.5)-1,40,-$B$13)</f>
        <v>9.60742796677458</v>
      </c>
      <c r="E25" s="15" t="n">
        <f aca="false">PV(POWER(1+DiscRate3,0.5)-1,40,-$B$13)</f>
        <v>9.20686581615095</v>
      </c>
      <c r="F25" s="15" t="n">
        <f aca="false">PV(POWER(1+DiscRate4,0.5)-1,40,-$B$13)</f>
        <v>8.47875066550912</v>
      </c>
      <c r="G25" s="15" t="n">
        <f aca="false">PV(POWER(1+DiscRate5,0.5)-1,40,-$B$13)</f>
        <v>8.14762475793908</v>
      </c>
      <c r="H25" s="15" t="n">
        <f aca="false">PV(POWER(1+DiscRate6,0.5)-1,40,-$B$13)</f>
        <v>7.83631751130972</v>
      </c>
    </row>
    <row r="26" customFormat="false" ht="12.75" hidden="false" customHeight="false" outlineLevel="0" collapsed="false">
      <c r="B26" s="13" t="n">
        <v>35431</v>
      </c>
      <c r="C26" s="1" t="n">
        <f aca="false">C25/POWER(1+DiscRate,2.167)</f>
        <v>7.94521286698427</v>
      </c>
      <c r="D26" s="1" t="n">
        <f aca="false">D25/POWER(1+DiscRate,2.167)</f>
        <v>8.64350576253186</v>
      </c>
      <c r="E26" s="1" t="n">
        <f aca="false">E25/POWER(1+DiscRate,2.167)</f>
        <v>8.28313238589651</v>
      </c>
      <c r="F26" s="1" t="n">
        <f aca="false">F25/POWER(1+DiscRate,2.167)</f>
        <v>7.62806970708963</v>
      </c>
      <c r="G26" s="1" t="n">
        <f aca="false">G25/POWER(1+DiscRate,2.167)</f>
        <v>7.33016597051173</v>
      </c>
      <c r="H26" s="1" t="n">
        <f aca="false">H25/POWER(1+DiscRate,2.167)</f>
        <v>7.05009247014676</v>
      </c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 t="s">
        <v>32</v>
      </c>
    </row>
    <row r="29" customFormat="false" ht="12.75" hidden="false" customHeight="false" outlineLevel="0" collapsed="false">
      <c r="B29" s="0" t="s">
        <v>33</v>
      </c>
      <c r="C29" s="1" t="n">
        <f aca="false">C17/POWER(1+DiscRate,22.5)</f>
        <v>0.200166788478528</v>
      </c>
      <c r="D29" s="1" t="n">
        <f aca="false">D17/POWER(1+discrate2,22.5)</f>
        <v>0.248256778891963</v>
      </c>
      <c r="E29" s="1" t="n">
        <f aca="false">E17/POWER(1+DiscRate3,22.5)</f>
        <v>0.222861328632839</v>
      </c>
      <c r="F29" s="1" t="n">
        <f aca="false">F17/POWER(1+DiscRate4,22.5)</f>
        <v>0.179875042113769</v>
      </c>
      <c r="G29" s="1" t="n">
        <f aca="false">G17/POWER(1+DiscRate5,22.5)</f>
        <v>0.161722066415426</v>
      </c>
      <c r="H29" s="1" t="n">
        <f aca="false">H17/POWER(1+DiscRate6,22.5)</f>
        <v>0.145473897818973</v>
      </c>
    </row>
    <row r="30" customFormat="false" ht="12.75" hidden="false" customHeight="false" outlineLevel="0" collapsed="false">
      <c r="A30" s="13"/>
      <c r="E30" s="14"/>
    </row>
    <row r="31" customFormat="false" ht="12.75" hidden="false" customHeight="false" outlineLevel="0" collapsed="false">
      <c r="A31" s="13" t="s">
        <v>34</v>
      </c>
      <c r="C31" s="1" t="n">
        <f aca="false">C29+C26-C21</f>
        <v>-312.505579680995</v>
      </c>
      <c r="D31" s="1" t="n">
        <f aca="false">D29+D26-D21</f>
        <v>-315.31659345736</v>
      </c>
      <c r="E31" s="1" t="n">
        <f aca="false">E29+E26-E21</f>
        <v>-313.916826753271</v>
      </c>
      <c r="F31" s="1" t="n">
        <f aca="false">F29+F26-F21</f>
        <v>-311.084705584605</v>
      </c>
      <c r="G31" s="1" t="n">
        <f aca="false">G29+G26-G21</f>
        <v>-309.655884359363</v>
      </c>
      <c r="H31" s="1" t="n">
        <f aca="false">H29+H26-H21</f>
        <v>-308.220639286952</v>
      </c>
    </row>
    <row r="32" customFormat="false" ht="12.75" hidden="false" customHeight="false" outlineLevel="0" collapsed="false">
      <c r="A32" s="13" t="s">
        <v>35</v>
      </c>
      <c r="C32" s="1" t="n">
        <f aca="false">tixdr0/1000000</f>
        <v>561.895566637323</v>
      </c>
      <c r="D32" s="1" t="n">
        <f aca="false">tixdr2/1000000</f>
        <v>631.051849082786</v>
      </c>
      <c r="E32" s="1" t="n">
        <f aca="false">tixdr3/1000000</f>
        <v>595.160111178856</v>
      </c>
      <c r="F32" s="1" t="n">
        <f aca="false">tixdr4/1000000</f>
        <v>531.035969510792</v>
      </c>
      <c r="G32" s="1" t="n">
        <f aca="false">tixdr5/1000000</f>
        <v>502.379794982215</v>
      </c>
      <c r="H32" s="1" t="n">
        <f aca="false">tixdr6/1000000</f>
        <v>475.74416014391</v>
      </c>
    </row>
    <row r="33" customFormat="false" ht="12.75" hidden="false" customHeight="false" outlineLevel="0" collapsed="false">
      <c r="A33" s="13" t="s">
        <v>36</v>
      </c>
      <c r="C33" s="17" t="n">
        <f aca="false">-C31/C32</f>
        <v>0.556163099045596</v>
      </c>
      <c r="D33" s="17" t="n">
        <f aca="false">-D31/D32</f>
        <v>0.499668282274527</v>
      </c>
      <c r="E33" s="17" t="n">
        <f aca="false">-E31/E32</f>
        <v>0.527449371785827</v>
      </c>
      <c r="F33" s="17" t="n">
        <f aca="false">-F31/F32</f>
        <v>0.585807221064869</v>
      </c>
      <c r="G33" s="17" t="n">
        <f aca="false">-G31/G32</f>
        <v>0.616378061881102</v>
      </c>
      <c r="H33" s="17" t="n">
        <f aca="false">-H31/H32</f>
        <v>0.647870568066915</v>
      </c>
    </row>
    <row r="34" customFormat="false" ht="12.75" hidden="false" customHeight="false" outlineLevel="0" collapsed="false">
      <c r="A34" s="13"/>
      <c r="E34" s="1"/>
    </row>
    <row r="35" customFormat="false" ht="12.75" hidden="false" customHeight="false" outlineLevel="0" collapsed="false">
      <c r="A35" s="13" t="s">
        <v>37</v>
      </c>
    </row>
    <row r="36" customFormat="false" ht="12.75" hidden="false" customHeight="false" outlineLevel="0" collapsed="false">
      <c r="A36" s="14" t="s">
        <v>38</v>
      </c>
    </row>
    <row r="37" customFormat="false" ht="12.75" hidden="false" customHeight="false" outlineLevel="0" collapsed="false">
      <c r="A37" s="1"/>
    </row>
    <row r="39" customFormat="false" ht="12.75" hidden="false" customHeight="false" outlineLevel="0" collapsed="false">
      <c r="A39" s="18" t="s">
        <v>39</v>
      </c>
      <c r="B39" s="18" t="s">
        <v>40</v>
      </c>
      <c r="C39" s="18" t="s">
        <v>41</v>
      </c>
      <c r="D39" s="18" t="s">
        <v>42</v>
      </c>
    </row>
    <row r="40" customFormat="false" ht="12.75" hidden="false" customHeight="false" outlineLevel="0" collapsed="false">
      <c r="B40" s="19" t="n">
        <v>1507319</v>
      </c>
      <c r="C40" s="19" t="n">
        <v>1686234</v>
      </c>
      <c r="D40" s="19" t="n">
        <f aca="false">(C40*6+B40*4)/10</f>
        <v>1614668</v>
      </c>
    </row>
    <row r="41" customFormat="false" ht="12.75" hidden="false" customHeight="false" outlineLevel="0" collapsed="false">
      <c r="B41" s="0" t="n">
        <v>2.4</v>
      </c>
      <c r="C41" s="0" t="n">
        <v>2.34</v>
      </c>
      <c r="D41" s="20" t="n">
        <f aca="false">(C41*6+B41*4)/10</f>
        <v>2.364</v>
      </c>
    </row>
    <row r="42" customFormat="false" ht="12.75" hidden="false" customHeight="false" outlineLevel="0" collapsed="false">
      <c r="D42" s="19"/>
    </row>
    <row r="43" customFormat="false" ht="12.75" hidden="false" customHeight="false" outlineLevel="0" collapsed="false">
      <c r="A43" s="0" t="s">
        <v>43</v>
      </c>
      <c r="C43" s="21" t="n">
        <f aca="false">C21*1000000/$D$40</f>
        <v>198.5863095921</v>
      </c>
      <c r="D43" s="21" t="n">
        <f aca="false">D21*1000000/$D$40</f>
        <v>200.789484896452</v>
      </c>
      <c r="E43" s="21" t="n">
        <f aca="false">E21*1000000/$D$40</f>
        <v>199.683662813532</v>
      </c>
      <c r="F43" s="21" t="n">
        <f aca="false">F21*1000000/$D$40</f>
        <v>197.497349507025</v>
      </c>
      <c r="G43" s="21" t="n">
        <f aca="false">G21*1000000/$D$40</f>
        <v>196.416707580933</v>
      </c>
      <c r="H43" s="21" t="n">
        <f aca="false">H21*1000000/$D$40</f>
        <v>195.344309576283</v>
      </c>
    </row>
    <row r="44" customFormat="false" ht="12.75" hidden="false" customHeight="false" outlineLevel="0" collapsed="false">
      <c r="A44" s="0" t="s">
        <v>44</v>
      </c>
      <c r="C44" s="1" t="n">
        <f aca="false">$D$41</f>
        <v>2.364</v>
      </c>
      <c r="D44" s="1" t="n">
        <f aca="false">$D$41</f>
        <v>2.364</v>
      </c>
      <c r="E44" s="1" t="n">
        <f aca="false">$D$41</f>
        <v>2.364</v>
      </c>
      <c r="F44" s="1" t="n">
        <f aca="false">$D$41</f>
        <v>2.364</v>
      </c>
      <c r="G44" s="1" t="n">
        <f aca="false">$D$41</f>
        <v>2.364</v>
      </c>
      <c r="H44" s="1" t="n">
        <f aca="false">$D$41</f>
        <v>2.364</v>
      </c>
    </row>
    <row r="45" customFormat="false" ht="12.75" hidden="false" customHeight="false" outlineLevel="0" collapsed="false">
      <c r="A45" s="0" t="s">
        <v>45</v>
      </c>
      <c r="C45" s="21" t="n">
        <f aca="false">C43*C44</f>
        <v>469.458035875725</v>
      </c>
      <c r="D45" s="21" t="n">
        <f aca="false">D43*D44</f>
        <v>474.666342295212</v>
      </c>
      <c r="E45" s="21" t="n">
        <f aca="false">E43*E44</f>
        <v>472.05217889119</v>
      </c>
      <c r="F45" s="21" t="n">
        <f aca="false">F43*F44</f>
        <v>466.883734234607</v>
      </c>
      <c r="G45" s="21" t="n">
        <f aca="false">G43*G44</f>
        <v>464.329096721325</v>
      </c>
      <c r="H45" s="21" t="n">
        <f aca="false">H43*H44</f>
        <v>461.793947838333</v>
      </c>
    </row>
    <row r="50" customFormat="false" ht="12.75" hidden="false" customHeight="false" outlineLevel="0" collapsed="false">
      <c r="A50" s="0" t="s">
        <v>47</v>
      </c>
    </row>
    <row r="51" customFormat="false" ht="12.75" hidden="false" customHeight="false" outlineLevel="0" collapsed="false">
      <c r="A51" s="0" t="n">
        <v>1996</v>
      </c>
      <c r="B51" s="19" t="n">
        <v>4602104</v>
      </c>
      <c r="C51" s="19" t="n">
        <f aca="false">B51/(POWER(1+C$16,(A51-1997)))</f>
        <v>4855219.72</v>
      </c>
    </row>
    <row r="52" customFormat="false" ht="12.75" hidden="false" customHeight="false" outlineLevel="0" collapsed="false">
      <c r="A52" s="0" t="n">
        <v>1997</v>
      </c>
      <c r="B52" s="19" t="n">
        <v>19893231</v>
      </c>
      <c r="C52" s="19" t="n">
        <f aca="false">B52/(POWER(1+C$16,(A52-1997)))</f>
        <v>19893231</v>
      </c>
    </row>
    <row r="53" customFormat="false" ht="12.75" hidden="false" customHeight="false" outlineLevel="0" collapsed="false">
      <c r="A53" s="0" t="n">
        <v>1998</v>
      </c>
      <c r="B53" s="19" t="n">
        <v>20428789</v>
      </c>
      <c r="C53" s="19" t="n">
        <f aca="false">B53/(POWER(1+C$16,(A53-1997)))</f>
        <v>19363781.042654</v>
      </c>
    </row>
    <row r="54" customFormat="false" ht="12.75" hidden="false" customHeight="false" outlineLevel="0" collapsed="false">
      <c r="A54" s="0" t="n">
        <v>1999</v>
      </c>
      <c r="B54" s="19" t="n">
        <v>24715328</v>
      </c>
      <c r="C54" s="19" t="n">
        <f aca="false">B54/(POWER(1+C$16,(A54-1997)))</f>
        <v>22205546.1467622</v>
      </c>
    </row>
    <row r="55" customFormat="false" ht="12.75" hidden="false" customHeight="false" outlineLevel="0" collapsed="false">
      <c r="A55" s="0" t="n">
        <v>2000</v>
      </c>
      <c r="B55" s="19" t="n">
        <v>25091313</v>
      </c>
      <c r="C55" s="19" t="n">
        <f aca="false">B55/(POWER(1+C$16,(A55-1997)))</f>
        <v>21368105.0031132</v>
      </c>
    </row>
    <row r="56" customFormat="false" ht="12.75" hidden="false" customHeight="false" outlineLevel="0" collapsed="false">
      <c r="A56" s="0" t="n">
        <v>2001</v>
      </c>
      <c r="B56" s="19" t="n">
        <v>25488810</v>
      </c>
      <c r="C56" s="19" t="n">
        <f aca="false">B56/(POWER(1+C$16,(A56-1997)))</f>
        <v>20574994.1988486</v>
      </c>
    </row>
    <row r="57" customFormat="false" ht="12.75" hidden="false" customHeight="false" outlineLevel="0" collapsed="false">
      <c r="A57" s="0" t="n">
        <v>2002</v>
      </c>
      <c r="B57" s="19" t="n">
        <v>26244265</v>
      </c>
      <c r="C57" s="19" t="n">
        <f aca="false">B57/(POWER(1+C$16,(A57-1997)))</f>
        <v>20080388.7428056</v>
      </c>
    </row>
    <row r="58" customFormat="false" ht="12.75" hidden="false" customHeight="false" outlineLevel="0" collapsed="false">
      <c r="A58" s="0" t="n">
        <v>2003</v>
      </c>
      <c r="B58" s="19" t="n">
        <v>27316484</v>
      </c>
      <c r="C58" s="19" t="n">
        <f aca="false">B58/(POWER(1+C$16,(A58-1997)))</f>
        <v>19811166.1938831</v>
      </c>
    </row>
    <row r="59" customFormat="false" ht="12.75" hidden="false" customHeight="false" outlineLevel="0" collapsed="false">
      <c r="A59" s="0" t="n">
        <v>2004</v>
      </c>
      <c r="B59" s="19" t="n">
        <v>28432512</v>
      </c>
      <c r="C59" s="19" t="n">
        <f aca="false">B59/(POWER(1+C$16,(A59-1997)))</f>
        <v>19545555.3084567</v>
      </c>
    </row>
    <row r="60" customFormat="false" ht="12.75" hidden="false" customHeight="false" outlineLevel="0" collapsed="false">
      <c r="A60" s="0" t="n">
        <v>2005</v>
      </c>
      <c r="B60" s="19" t="n">
        <v>29594139</v>
      </c>
      <c r="C60" s="19" t="n">
        <f aca="false">B60/(POWER(1+C$16,(A60-1997)))</f>
        <v>19283507.5507744</v>
      </c>
    </row>
    <row r="61" customFormat="false" ht="12.75" hidden="false" customHeight="false" outlineLevel="0" collapsed="false">
      <c r="A61" s="0" t="n">
        <v>2006</v>
      </c>
      <c r="B61" s="19" t="n">
        <v>30803229</v>
      </c>
      <c r="C61" s="19" t="n">
        <f aca="false">B61/(POWER(1+C$16,(A61-1997)))</f>
        <v>19024975.5728054</v>
      </c>
    </row>
    <row r="62" customFormat="false" ht="12.75" hidden="false" customHeight="false" outlineLevel="0" collapsed="false">
      <c r="A62" s="0" t="n">
        <v>2007</v>
      </c>
      <c r="B62" s="19" t="n">
        <v>32061720</v>
      </c>
      <c r="C62" s="19" t="n">
        <f aca="false">B62/(POWER(1+C$16,(A62-1997)))</f>
        <v>18769911.3170457</v>
      </c>
    </row>
    <row r="63" customFormat="false" ht="12.75" hidden="false" customHeight="false" outlineLevel="0" collapsed="false">
      <c r="A63" s="0" t="n">
        <v>2008</v>
      </c>
      <c r="B63" s="19" t="n">
        <v>33371633</v>
      </c>
      <c r="C63" s="19" t="n">
        <f aca="false">B63/(POWER(1+C$16,(A63-1997)))</f>
        <v>18518269.6148203</v>
      </c>
    </row>
    <row r="64" customFormat="false" ht="12.75" hidden="false" customHeight="false" outlineLevel="0" collapsed="false">
      <c r="A64" s="0" t="n">
        <v>2009</v>
      </c>
      <c r="B64" s="19" t="n">
        <v>34735066</v>
      </c>
      <c r="C64" s="19" t="n">
        <f aca="false">B64/(POWER(1+C$16,(A64-1997)))</f>
        <v>18270002.7536095</v>
      </c>
    </row>
    <row r="65" customFormat="false" ht="12.75" hidden="false" customHeight="false" outlineLevel="0" collapsed="false">
      <c r="A65" s="0" t="n">
        <v>2010</v>
      </c>
      <c r="B65" s="19" t="n">
        <v>36154209</v>
      </c>
      <c r="C65" s="19" t="n">
        <f aca="false">B65/(POWER(1+C$16,(A65-1997)))</f>
        <v>18025067.0554142</v>
      </c>
    </row>
    <row r="66" customFormat="false" ht="12.75" hidden="false" customHeight="false" outlineLevel="0" collapsed="false">
      <c r="A66" s="0" t="n">
        <v>2011</v>
      </c>
      <c r="B66" s="19" t="n">
        <v>37631336</v>
      </c>
      <c r="C66" s="19" t="n">
        <f aca="false">B66/(POWER(1+C$16,(A66-1997)))</f>
        <v>17783416.5860361</v>
      </c>
    </row>
    <row r="67" customFormat="false" ht="12.75" hidden="false" customHeight="false" outlineLevel="0" collapsed="false">
      <c r="A67" s="0" t="n">
        <v>2012</v>
      </c>
      <c r="B67" s="19" t="n">
        <v>39168818</v>
      </c>
      <c r="C67" s="19" t="n">
        <f aca="false">B67/(POWER(1+C$16,(A67-1997)))</f>
        <v>17545008.0375696</v>
      </c>
    </row>
    <row r="68" customFormat="false" ht="12.75" hidden="false" customHeight="false" outlineLevel="0" collapsed="false">
      <c r="A68" s="0" t="n">
        <v>2013</v>
      </c>
      <c r="B68" s="19" t="n">
        <v>40769121</v>
      </c>
      <c r="C68" s="19" t="n">
        <f aca="false">B68/(POWER(1+C$16,(A68-1997)))</f>
        <v>17309797.7613817</v>
      </c>
    </row>
    <row r="69" customFormat="false" ht="12.75" hidden="false" customHeight="false" outlineLevel="0" collapsed="false">
      <c r="A69" s="0" t="n">
        <v>2014</v>
      </c>
      <c r="B69" s="19" t="n">
        <v>42434811</v>
      </c>
      <c r="C69" s="19" t="n">
        <f aca="false">B69/(POWER(1+C$16,(A69-1997)))</f>
        <v>17077742.4021585</v>
      </c>
    </row>
    <row r="70" customFormat="false" ht="12.75" hidden="false" customHeight="false" outlineLevel="0" collapsed="false">
      <c r="A70" s="0" t="n">
        <v>2015</v>
      </c>
      <c r="B70" s="19" t="n">
        <v>44168561</v>
      </c>
      <c r="C70" s="19" t="n">
        <f aca="false">B70/(POWER(1+C$16,(A70-1997)))</f>
        <v>16848800.0683178</v>
      </c>
    </row>
    <row r="71" customFormat="false" ht="12.75" hidden="false" customHeight="false" outlineLevel="0" collapsed="false">
      <c r="B71" s="19" t="n">
        <f aca="false">SUM(B51:B70)</f>
        <v>603105479</v>
      </c>
      <c r="C71" s="19" t="n">
        <f aca="false">SUM(C51:C70)</f>
        <v>366154486.076457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11" min="5" style="0" width="13.99"/>
  </cols>
  <sheetData>
    <row r="1" customFormat="false" ht="12.75" hidden="false" customHeight="false" outlineLevel="0" collapsed="false">
      <c r="B1" s="0" t="s">
        <v>48</v>
      </c>
      <c r="C1" s="0" t="s">
        <v>49</v>
      </c>
      <c r="D1" s="0" t="s">
        <v>50</v>
      </c>
      <c r="F1" s="0" t="s">
        <v>51</v>
      </c>
      <c r="G1" s="0" t="s">
        <v>52</v>
      </c>
      <c r="H1" s="0" t="s">
        <v>53</v>
      </c>
      <c r="I1" s="0" t="s">
        <v>54</v>
      </c>
      <c r="J1" s="0" t="s">
        <v>55</v>
      </c>
      <c r="K1" s="0" t="s">
        <v>56</v>
      </c>
    </row>
    <row r="2" customFormat="false" ht="12.75" hidden="false" customHeight="false" outlineLevel="0" collapsed="false">
      <c r="A2" s="0" t="n">
        <v>1</v>
      </c>
      <c r="B2" s="0" t="n">
        <v>1999</v>
      </c>
      <c r="C2" s="19" t="n">
        <v>2703704</v>
      </c>
      <c r="D2" s="0" t="n">
        <v>15.64</v>
      </c>
      <c r="E2" s="19" t="n">
        <f aca="false">C2*D2</f>
        <v>42285930.56</v>
      </c>
      <c r="F2" s="22" t="n">
        <f aca="false">$E2/POWER(1+DiscRate,2+attendance!$A2)</f>
        <v>36528176.7066192</v>
      </c>
      <c r="G2" s="22" t="n">
        <f aca="false">$E2/POWER(1+discrate2,2+attendance!$A2)</f>
        <v>37592038.2908512</v>
      </c>
      <c r="H2" s="22" t="n">
        <f aca="false">$E2/POWER(1+DiscRate3,2+attendance!$A2)</f>
        <v>37055017.3490297</v>
      </c>
      <c r="I2" s="22" t="n">
        <f aca="false">$E2/POWER(1+DiscRate4,2+attendance!$A2)</f>
        <v>36011276.2676243</v>
      </c>
      <c r="J2" s="22" t="n">
        <f aca="false">$E2/POWER(1+DiscRate5,2+attendance!$A2)</f>
        <v>35504082.6991409</v>
      </c>
      <c r="K2" s="22" t="n">
        <f aca="false">$E2/POWER(1+DiscRate6,2+attendance!$A2)</f>
        <v>35006369.2101399</v>
      </c>
    </row>
    <row r="3" customFormat="false" ht="12.75" hidden="false" customHeight="false" outlineLevel="0" collapsed="false">
      <c r="A3" s="0" t="n">
        <v>2</v>
      </c>
      <c r="B3" s="0" t="n">
        <v>2000</v>
      </c>
      <c r="C3" s="19" t="n">
        <v>2478395</v>
      </c>
      <c r="D3" s="0" t="n">
        <v>16.23</v>
      </c>
      <c r="E3" s="19" t="n">
        <f aca="false">C3*D3</f>
        <v>40224350.85</v>
      </c>
      <c r="F3" s="22" t="n">
        <f aca="false">E3/POWER(1+DiscRate,2+attendance!A3)</f>
        <v>33092672.9911919</v>
      </c>
      <c r="G3" s="22" t="n">
        <f aca="false">$E3/POWER(1+discrate2,2+attendance!$A3)</f>
        <v>34383943.6880301</v>
      </c>
      <c r="H3" s="22" t="n">
        <f aca="false">$E3/POWER(1+DiscRate3,2+attendance!$A3)</f>
        <v>33730585.6939409</v>
      </c>
      <c r="I3" s="22" t="n">
        <f aca="false">$E3/POWER(1+DiscRate4,2+attendance!$A3)</f>
        <v>32469769.4945821</v>
      </c>
      <c r="J3" s="22" t="n">
        <f aca="false">$E3/POWER(1+DiscRate5,2+attendance!$A3)</f>
        <v>31861453.4161479</v>
      </c>
      <c r="K3" s="22" t="n">
        <f aca="false">$E3/POWER(1+DiscRate6,2+attendance!$A3)</f>
        <v>31267316.7319596</v>
      </c>
    </row>
    <row r="4" customFormat="false" ht="12.75" hidden="false" customHeight="false" outlineLevel="0" collapsed="false">
      <c r="A4" s="0" t="n">
        <v>3</v>
      </c>
      <c r="B4" s="0" t="n">
        <v>2001</v>
      </c>
      <c r="C4" s="19" t="n">
        <v>2253086</v>
      </c>
      <c r="D4" s="0" t="n">
        <v>16.87</v>
      </c>
      <c r="E4" s="19" t="n">
        <f aca="false">C4*D4</f>
        <v>38009560.82</v>
      </c>
      <c r="F4" s="22" t="n">
        <f aca="false">E4/POWER(1+DiscRate,2+attendance!A4)</f>
        <v>29781485.4784443</v>
      </c>
      <c r="G4" s="22" t="n">
        <f aca="false">$E4/POWER(1+discrate2,2+attendance!$A4)</f>
        <v>31241088.3539762</v>
      </c>
      <c r="H4" s="22" t="n">
        <f aca="false">$E4/POWER(1+DiscRate3,2+attendance!$A4)</f>
        <v>30500811.8570404</v>
      </c>
      <c r="I4" s="22" t="n">
        <f aca="false">$E4/POWER(1+DiscRate4,2+attendance!$A4)</f>
        <v>29082420.757789</v>
      </c>
      <c r="J4" s="22" t="n">
        <f aca="false">$E4/POWER(1+DiscRate5,2+attendance!$A4)</f>
        <v>28402954.9697945</v>
      </c>
      <c r="K4" s="22" t="n">
        <f aca="false">$E4/POWER(1+DiscRate6,2+attendance!$A4)</f>
        <v>27742450.0470957</v>
      </c>
    </row>
    <row r="5" customFormat="false" ht="12.75" hidden="false" customHeight="false" outlineLevel="0" collapsed="false">
      <c r="A5" s="0" t="n">
        <v>4</v>
      </c>
      <c r="B5" s="0" t="n">
        <v>2002</v>
      </c>
      <c r="C5" s="19" t="n">
        <v>2253086</v>
      </c>
      <c r="D5" s="0" t="n">
        <v>17.54</v>
      </c>
      <c r="E5" s="19" t="n">
        <f aca="false">C5*D5</f>
        <v>39519128.44</v>
      </c>
      <c r="F5" s="22" t="n">
        <f aca="false">E5/POWER(1+DiscRate,2+attendance!A5)</f>
        <v>29489782.1035884</v>
      </c>
      <c r="G5" s="22" t="n">
        <f aca="false">$E5/POWER(1+discrate2,2+attendance!$A5)</f>
        <v>31232541.2503273</v>
      </c>
      <c r="H5" s="22" t="n">
        <f aca="false">$E5/POWER(1+DiscRate3,2+attendance!$A5)</f>
        <v>30346570.3095435</v>
      </c>
      <c r="I5" s="22" t="n">
        <f aca="false">$E5/POWER(1+DiscRate4,2+attendance!$A5)</f>
        <v>28661083.2258738</v>
      </c>
      <c r="J5" s="22" t="n">
        <f aca="false">$E5/POWER(1+DiscRate5,2+attendance!$A5)</f>
        <v>27859426.1427674</v>
      </c>
      <c r="K5" s="22" t="n">
        <f aca="false">$E5/POWER(1+DiscRate6,2+attendance!$A5)</f>
        <v>27083807.0651326</v>
      </c>
    </row>
    <row r="6" customFormat="false" ht="12.75" hidden="false" customHeight="false" outlineLevel="0" collapsed="false">
      <c r="A6" s="0" t="n">
        <v>5</v>
      </c>
      <c r="B6" s="0" t="n">
        <v>2003</v>
      </c>
      <c r="C6" s="19" t="n">
        <v>2253086</v>
      </c>
      <c r="D6" s="0" t="n">
        <v>18.26</v>
      </c>
      <c r="E6" s="19" t="n">
        <f aca="false">C6*D6</f>
        <v>41141350.36</v>
      </c>
      <c r="F6" s="22" t="n">
        <f aca="false">E6/POWER(1+DiscRate,2+attendance!A6)</f>
        <v>29238389.5971942</v>
      </c>
      <c r="G6" s="22" t="n">
        <f aca="false">$E6/POWER(1+discrate2,2+attendance!$A6)</f>
        <v>31264044.9977511</v>
      </c>
      <c r="H6" s="22" t="n">
        <f aca="false">$E6/POWER(1+DiscRate3,2+attendance!$A6)</f>
        <v>30231835.0320124</v>
      </c>
      <c r="I6" s="22" t="n">
        <f aca="false">$E6/POWER(1+DiscRate4,2+attendance!$A6)</f>
        <v>28282078.5910853</v>
      </c>
      <c r="J6" s="22" t="n">
        <f aca="false">$E6/POWER(1+DiscRate5,2+attendance!$A6)</f>
        <v>27361347.7209469</v>
      </c>
      <c r="K6" s="22" t="n">
        <f aca="false">$E6/POWER(1+DiscRate6,2+attendance!$A6)</f>
        <v>26474714.6433543</v>
      </c>
    </row>
    <row r="7" customFormat="false" ht="12.75" hidden="false" customHeight="false" outlineLevel="0" collapsed="false">
      <c r="A7" s="0" t="n">
        <v>6</v>
      </c>
      <c r="B7" s="0" t="n">
        <v>2004</v>
      </c>
      <c r="C7" s="19" t="n">
        <v>2253086</v>
      </c>
      <c r="D7" s="0" t="n">
        <v>19.01</v>
      </c>
      <c r="E7" s="19" t="n">
        <f aca="false">C7*D7</f>
        <v>42831164.86</v>
      </c>
      <c r="F7" s="22" t="n">
        <f aca="false">E7/POWER(1+DiscRate,2+attendance!A7)</f>
        <v>28989818.2987879</v>
      </c>
      <c r="G7" s="22" t="n">
        <f aca="false">$E7/POWER(1+discrate2,2+attendance!$A7)</f>
        <v>31296312.6320272</v>
      </c>
      <c r="H7" s="22" t="n">
        <f aca="false">$E7/POWER(1+DiscRate3,2+attendance!$A7)</f>
        <v>30118238.1003032</v>
      </c>
      <c r="I7" s="22" t="n">
        <f aca="false">$E7/POWER(1+DiscRate4,2+attendance!$A7)</f>
        <v>27908738.6521458</v>
      </c>
      <c r="J7" s="22" t="n">
        <f aca="false">$E7/POWER(1+DiscRate5,2+attendance!$A7)</f>
        <v>26872802.7121453</v>
      </c>
      <c r="K7" s="22" t="n">
        <f aca="false">$E7/POWER(1+DiscRate6,2+attendance!$A7)</f>
        <v>25879925.6112884</v>
      </c>
    </row>
    <row r="8" customFormat="false" ht="12.75" hidden="false" customHeight="false" outlineLevel="0" collapsed="false">
      <c r="A8" s="0" t="n">
        <v>7</v>
      </c>
      <c r="B8" s="0" t="n">
        <v>2005</v>
      </c>
      <c r="C8" s="19" t="n">
        <v>2253086</v>
      </c>
      <c r="D8" s="0" t="n">
        <v>19.79</v>
      </c>
      <c r="E8" s="19" t="n">
        <f aca="false">C8*D8</f>
        <v>44588571.94</v>
      </c>
      <c r="F8" s="22" t="n">
        <f aca="false">E8/POWER(1+DiscRate,2+attendance!A8)</f>
        <v>28742191.0339427</v>
      </c>
      <c r="G8" s="22" t="n">
        <f aca="false">$E8/POWER(1+discrate2,2+attendance!$A8)</f>
        <v>31327339.2034464</v>
      </c>
      <c r="H8" s="22" t="n">
        <f aca="false">$E8/POWER(1+DiscRate3,2+attendance!$A8)</f>
        <v>30003847.4841999</v>
      </c>
      <c r="I8" s="22" t="n">
        <f aca="false">$E8/POWER(1+DiscRate4,2+attendance!$A8)</f>
        <v>27539206.7495514</v>
      </c>
      <c r="J8" s="22" t="n">
        <f aca="false">$E8/POWER(1+DiscRate5,2+attendance!$A8)</f>
        <v>26391907.222284</v>
      </c>
      <c r="K8" s="22" t="n">
        <f aca="false">$E8/POWER(1+DiscRate6,2+attendance!$A8)</f>
        <v>25297470.2144608</v>
      </c>
    </row>
    <row r="9" customFormat="false" ht="12.75" hidden="false" customHeight="false" outlineLevel="0" collapsed="false">
      <c r="A9" s="0" t="n">
        <v>8</v>
      </c>
      <c r="B9" s="0" t="n">
        <v>2006</v>
      </c>
      <c r="C9" s="19" t="n">
        <v>2253086</v>
      </c>
      <c r="D9" s="0" t="n">
        <v>20.6</v>
      </c>
      <c r="E9" s="19" t="n">
        <f aca="false">C9*D9</f>
        <v>46413571.6</v>
      </c>
      <c r="F9" s="22" t="n">
        <f aca="false">E9/POWER(1+DiscRate,2+attendance!A9)</f>
        <v>28493906.749403</v>
      </c>
      <c r="G9" s="22" t="n">
        <f aca="false">$E9/POWER(1+discrate2,2+attendance!$A9)</f>
        <v>31355345.9201907</v>
      </c>
      <c r="H9" s="22" t="n">
        <f aca="false">$E9/POWER(1+DiscRate3,2+attendance!$A9)</f>
        <v>29886983.5751234</v>
      </c>
      <c r="I9" s="22" t="n">
        <f aca="false">$E9/POWER(1+DiscRate4,2+attendance!$A9)</f>
        <v>27171924.1150927</v>
      </c>
      <c r="J9" s="22" t="n">
        <f aca="false">$E9/POWER(1+DiscRate5,2+attendance!$A9)</f>
        <v>25917095.9594159</v>
      </c>
      <c r="K9" s="22" t="n">
        <f aca="false">$E9/POWER(1+DiscRate6,2+attendance!$A9)</f>
        <v>24725717.9928162</v>
      </c>
    </row>
    <row r="10" customFormat="false" ht="12.75" hidden="false" customHeight="false" outlineLevel="0" collapsed="false">
      <c r="A10" s="0" t="n">
        <v>9</v>
      </c>
      <c r="B10" s="0" t="n">
        <v>2007</v>
      </c>
      <c r="C10" s="19" t="n">
        <v>2253086</v>
      </c>
      <c r="D10" s="0" t="n">
        <v>21.45</v>
      </c>
      <c r="E10" s="19" t="n">
        <f aca="false">C10*D10</f>
        <v>48328694.7</v>
      </c>
      <c r="F10" s="22" t="n">
        <f aca="false">E10/POWER(1+DiscRate,2+attendance!A10)</f>
        <v>28256786.8596715</v>
      </c>
      <c r="G10" s="22" t="n">
        <f aca="false">$E10/POWER(1+discrate2,2+attendance!$A10)</f>
        <v>31393398.5244628</v>
      </c>
      <c r="H10" s="22" t="n">
        <f aca="false">$E10/POWER(1+DiscRate3,2+attendance!$A10)</f>
        <v>29780080.7212523</v>
      </c>
      <c r="I10" s="22" t="n">
        <f aca="false">$E10/POWER(1+DiscRate4,2+attendance!$A10)</f>
        <v>26818100.2286265</v>
      </c>
      <c r="J10" s="22" t="n">
        <f aca="false">$E10/POWER(1+DiscRate5,2+attendance!$A10)</f>
        <v>25458953.4864201</v>
      </c>
      <c r="K10" s="22" t="n">
        <f aca="false">$E10/POWER(1+DiscRate6,2+attendance!$A10)</f>
        <v>24174604.6285568</v>
      </c>
    </row>
    <row r="11" customFormat="false" ht="12.75" hidden="false" customHeight="false" outlineLevel="0" collapsed="false">
      <c r="A11" s="0" t="n">
        <v>10</v>
      </c>
      <c r="B11" s="0" t="n">
        <v>2008</v>
      </c>
      <c r="C11" s="19" t="n">
        <v>2253086</v>
      </c>
      <c r="D11" s="0" t="n">
        <v>22.32</v>
      </c>
      <c r="E11" s="19" t="n">
        <f aca="false">C11*D11</f>
        <v>50288879.52</v>
      </c>
      <c r="F11" s="22" t="n">
        <f aca="false">E11/POWER(1+DiscRate,2+attendance!A11)</f>
        <v>28002729.8349591</v>
      </c>
      <c r="G11" s="22" t="n">
        <f aca="false">$E11/POWER(1+discrate2,2+attendance!$A11)</f>
        <v>31410285.7748794</v>
      </c>
      <c r="H11" s="22" t="n">
        <f aca="false">$E11/POWER(1+DiscRate3,2+attendance!$A11)</f>
        <v>29653535.0575323</v>
      </c>
      <c r="I11" s="22" t="n">
        <f aca="false">$E11/POWER(1+DiscRate4,2+attendance!$A11)</f>
        <v>26451021.2045181</v>
      </c>
      <c r="J11" s="22" t="n">
        <f aca="false">$E11/POWER(1+DiscRate5,2+attendance!$A11)</f>
        <v>24992032.4500549</v>
      </c>
      <c r="K11" s="22" t="n">
        <f aca="false">$E11/POWER(1+DiscRate6,2+attendance!$A11)</f>
        <v>23619824.4770298</v>
      </c>
    </row>
    <row r="12" customFormat="false" ht="12.75" hidden="false" customHeight="false" outlineLevel="0" collapsed="false">
      <c r="A12" s="0" t="n">
        <v>11</v>
      </c>
      <c r="B12" s="0" t="n">
        <v>2009</v>
      </c>
      <c r="C12" s="19" t="n">
        <v>2253086</v>
      </c>
      <c r="D12" s="0" t="n">
        <v>23.24</v>
      </c>
      <c r="E12" s="19" t="n">
        <f aca="false">C12*D12</f>
        <v>52361718.64</v>
      </c>
      <c r="F12" s="22" t="n">
        <f aca="false">E12/POWER(1+DiscRate,2+attendance!A12)</f>
        <v>27768537.3512737</v>
      </c>
      <c r="G12" s="22" t="n">
        <f aca="false">$E12/POWER(1+discrate2,2+attendance!$A12)</f>
        <v>31447091.3206591</v>
      </c>
      <c r="H12" s="22" t="n">
        <f aca="false">$E12/POWER(1+DiscRate3,2+attendance!$A12)</f>
        <v>29546232.9036138</v>
      </c>
      <c r="I12" s="22" t="n">
        <f aca="false">$E12/POWER(1+DiscRate4,2+attendance!$A12)</f>
        <v>26105494.0967657</v>
      </c>
      <c r="J12" s="22" t="n">
        <f aca="false">$E12/POWER(1+DiscRate5,2+attendance!$A12)</f>
        <v>24549216.970112</v>
      </c>
      <c r="K12" s="22" t="n">
        <f aca="false">$E12/POWER(1+DiscRate6,2+attendance!$A12)</f>
        <v>23092395.7479838</v>
      </c>
    </row>
    <row r="13" customFormat="false" ht="12.75" hidden="false" customHeight="false" outlineLevel="0" collapsed="false">
      <c r="A13" s="0" t="n">
        <v>12</v>
      </c>
      <c r="B13" s="0" t="n">
        <v>2010</v>
      </c>
      <c r="C13" s="19" t="n">
        <v>2253086</v>
      </c>
      <c r="D13" s="0" t="n">
        <v>24.19</v>
      </c>
      <c r="E13" s="19" t="n">
        <f aca="false">C13*D13</f>
        <v>54502150.34</v>
      </c>
      <c r="F13" s="22" t="n">
        <f aca="false">E13/POWER(1+DiscRate,2+attendance!A13)</f>
        <v>27527289.5060778</v>
      </c>
      <c r="G13" s="22" t="n">
        <f aca="false">$E13/POWER(1+discrate2,2+attendance!$A13)</f>
        <v>31473633.781558</v>
      </c>
      <c r="H13" s="22" t="n">
        <f aca="false">$E13/POWER(1+DiscRate3,2+attendance!$A13)</f>
        <v>29429682.1162333</v>
      </c>
      <c r="I13" s="22" t="n">
        <f aca="false">$E13/POWER(1+DiscRate4,2+attendance!$A13)</f>
        <v>25756046.6184615</v>
      </c>
      <c r="J13" s="22" t="n">
        <f aca="false">$E13/POWER(1+DiscRate5,2+attendance!$A13)</f>
        <v>24106353.6561479</v>
      </c>
      <c r="K13" s="22" t="n">
        <f aca="false">$E13/POWER(1+DiscRate6,2+attendance!$A13)</f>
        <v>22569354.0012657</v>
      </c>
    </row>
    <row r="14" customFormat="false" ht="12.75" hidden="false" customHeight="false" outlineLevel="0" collapsed="false">
      <c r="A14" s="0" t="n">
        <v>13</v>
      </c>
      <c r="B14" s="0" t="n">
        <v>2011</v>
      </c>
      <c r="C14" s="19" t="n">
        <v>2253086</v>
      </c>
      <c r="D14" s="0" t="n">
        <v>25.18</v>
      </c>
      <c r="E14" s="19" t="n">
        <f aca="false">C14*D14</f>
        <v>56732705.48</v>
      </c>
      <c r="F14" s="22" t="n">
        <f aca="false">E14/POWER(1+DiscRate,2+attendance!A14)</f>
        <v>27289401.3568393</v>
      </c>
      <c r="G14" s="22" t="n">
        <f aca="false">$E14/POWER(1+discrate2,2+attendance!$A14)</f>
        <v>31501657.4959309</v>
      </c>
      <c r="H14" s="22" t="n">
        <f aca="false">$E14/POWER(1+DiscRate3,2+attendance!$A14)</f>
        <v>29314948.6693958</v>
      </c>
      <c r="I14" s="22" t="n">
        <f aca="false">$E14/POWER(1+DiscRate4,2+attendance!$A14)</f>
        <v>25412453.6931308</v>
      </c>
      <c r="J14" s="22" t="n">
        <f aca="false">$E14/POWER(1+DiscRate5,2+attendance!$A14)</f>
        <v>23672575.7978037</v>
      </c>
      <c r="K14" s="22" t="n">
        <f aca="false">$E14/POWER(1+DiscRate6,2+attendance!$A14)</f>
        <v>22059180.6939922</v>
      </c>
    </row>
    <row r="15" customFormat="false" ht="12.75" hidden="false" customHeight="false" outlineLevel="0" collapsed="false">
      <c r="A15" s="0" t="n">
        <v>14</v>
      </c>
      <c r="B15" s="0" t="n">
        <v>2012</v>
      </c>
      <c r="C15" s="19" t="n">
        <v>2253086</v>
      </c>
      <c r="D15" s="0" t="n">
        <v>26.22</v>
      </c>
      <c r="E15" s="19" t="n">
        <f aca="false">C15*D15</f>
        <v>59075914.92</v>
      </c>
      <c r="F15" s="22" t="n">
        <f aca="false">E15/POWER(1+DiscRate,2+attendance!A15)</f>
        <v>27063357.2970357</v>
      </c>
      <c r="G15" s="22" t="n">
        <f aca="false">$E15/POWER(1+discrate2,2+attendance!$A15)</f>
        <v>31541113.9619092</v>
      </c>
      <c r="H15" s="22" t="n">
        <f aca="false">$E15/POWER(1+DiscRate3,2+attendance!$A15)</f>
        <v>29211227.6437044</v>
      </c>
      <c r="I15" s="22" t="n">
        <f aca="false">$E15/POWER(1+DiscRate4,2+attendance!$A15)</f>
        <v>25082516.2463962</v>
      </c>
      <c r="J15" s="22" t="n">
        <f aca="false">$E15/POWER(1+DiscRate5,2+attendance!$A15)</f>
        <v>23255014.36519</v>
      </c>
      <c r="K15" s="22" t="n">
        <f aca="false">$E15/POWER(1+DiscRate6,2+attendance!$A15)</f>
        <v>21568340.5413968</v>
      </c>
    </row>
    <row r="16" customFormat="false" ht="12.75" hidden="false" customHeight="false" outlineLevel="0" collapsed="false">
      <c r="A16" s="0" t="n">
        <v>15</v>
      </c>
      <c r="B16" s="0" t="n">
        <v>2013</v>
      </c>
      <c r="C16" s="19" t="n">
        <v>2253086</v>
      </c>
      <c r="D16" s="0" t="n">
        <v>27.29</v>
      </c>
      <c r="E16" s="19" t="n">
        <f aca="false">C16*D16</f>
        <v>61486716.94</v>
      </c>
      <c r="F16" s="22" t="n">
        <f aca="false">E16/POWER(1+DiscRate,2+attendance!A16)</f>
        <v>26826450.9329884</v>
      </c>
      <c r="G16" s="22" t="n">
        <f aca="false">$E16/POWER(1+discrate2,2+attendance!$A16)</f>
        <v>31565635.4522568</v>
      </c>
      <c r="H16" s="22" t="n">
        <f aca="false">$E16/POWER(1+DiscRate3,2+attendance!$A16)</f>
        <v>29094062.4745598</v>
      </c>
      <c r="I16" s="22" t="n">
        <f aca="false">$E16/POWER(1+DiscRate4,2+attendance!$A16)</f>
        <v>24745115.8214363</v>
      </c>
      <c r="J16" s="22" t="n">
        <f aca="false">$E16/POWER(1+DiscRate5,2+attendance!$A16)</f>
        <v>22833978.8878587</v>
      </c>
      <c r="K16" s="22" t="n">
        <f aca="false">$E16/POWER(1+DiscRate6,2+attendance!$A16)</f>
        <v>21078416.0524962</v>
      </c>
    </row>
    <row r="17" customFormat="false" ht="12.75" hidden="false" customHeight="false" outlineLevel="0" collapsed="false">
      <c r="A17" s="0" t="n">
        <v>16</v>
      </c>
      <c r="B17" s="0" t="n">
        <v>2014</v>
      </c>
      <c r="C17" s="19" t="n">
        <v>2253086</v>
      </c>
      <c r="D17" s="0" t="n">
        <v>28.42</v>
      </c>
      <c r="E17" s="19" t="n">
        <f aca="false">C17*D17</f>
        <v>64032704.12</v>
      </c>
      <c r="F17" s="22" t="n">
        <f aca="false">E17/POWER(1+DiscRate,2+attendance!A17)</f>
        <v>26606911.1488782</v>
      </c>
      <c r="G17" s="22" t="n">
        <f aca="false">$E17/POWER(1+discrate2,2+attendance!$A17)</f>
        <v>31608343.4180293</v>
      </c>
      <c r="H17" s="22" t="n">
        <f aca="false">$E17/POWER(1+DiscRate3,2+attendance!$A17)</f>
        <v>28994032.0438105</v>
      </c>
      <c r="I17" s="22" t="n">
        <f aca="false">$E17/POWER(1+DiscRate4,2+attendance!$A17)</f>
        <v>24426293.3889024</v>
      </c>
      <c r="J17" s="22" t="n">
        <f aca="false">$E17/POWER(1+DiscRate5,2+attendance!$A17)</f>
        <v>22433460.3176554</v>
      </c>
      <c r="K17" s="22" t="n">
        <f aca="false">$E17/POWER(1+DiscRate6,2+attendance!$A17)</f>
        <v>20611466.9671066</v>
      </c>
    </row>
    <row r="18" customFormat="false" ht="12.75" hidden="false" customHeight="false" outlineLevel="0" collapsed="false">
      <c r="A18" s="0" t="n">
        <v>17</v>
      </c>
      <c r="B18" s="0" t="n">
        <v>2015</v>
      </c>
      <c r="C18" s="19" t="n">
        <v>2253086</v>
      </c>
      <c r="D18" s="0" t="n">
        <v>29.58</v>
      </c>
      <c r="E18" s="19" t="n">
        <f aca="false">C18*D18</f>
        <v>66646283.88</v>
      </c>
      <c r="F18" s="22" t="n">
        <f aca="false">E18/POWER(1+DiscRate,2+attendance!A18)</f>
        <v>26374197.6402874</v>
      </c>
      <c r="G18" s="22" t="n">
        <f aca="false">$E18/POWER(1+discrate2,2+attendance!$A18)</f>
        <v>31633153.7346839</v>
      </c>
      <c r="H18" s="22" t="n">
        <f aca="false">$E18/POWER(1+DiscRate3,2+attendance!$A18)</f>
        <v>28877953.9934447</v>
      </c>
      <c r="I18" s="22" t="n">
        <f aca="false">$E18/POWER(1+DiscRate4,2+attendance!$A18)</f>
        <v>24097900.4320344</v>
      </c>
      <c r="J18" s="22" t="n">
        <f aca="false">$E18/POWER(1+DiscRate5,2+attendance!$A18)</f>
        <v>22027463.9237664</v>
      </c>
      <c r="K18" s="22" t="n">
        <f aca="false">$E18/POWER(1+DiscRate6,2+attendance!$A18)</f>
        <v>20143428.4817943</v>
      </c>
    </row>
    <row r="19" customFormat="false" ht="12.75" hidden="false" customHeight="false" outlineLevel="0" collapsed="false">
      <c r="A19" s="0" t="n">
        <v>18</v>
      </c>
      <c r="B19" s="0" t="n">
        <v>2016</v>
      </c>
      <c r="C19" s="19" t="n">
        <v>2253086</v>
      </c>
      <c r="D19" s="0" t="n">
        <v>29.58</v>
      </c>
      <c r="E19" s="19" t="n">
        <f aca="false">C19*D19</f>
        <v>66646283.88</v>
      </c>
      <c r="F19" s="22" t="n">
        <f aca="false">E19/POWER(1+DiscRate,2+attendance!A19)</f>
        <v>25118283.4669404</v>
      </c>
      <c r="G19" s="22" t="n">
        <f aca="false">$E19/POWER(1+discrate2,2+attendance!$A19)</f>
        <v>30416493.9756576</v>
      </c>
      <c r="H19" s="22" t="n">
        <f aca="false">$E19/POWER(1+DiscRate3,2+attendance!$A19)</f>
        <v>27634405.7353538</v>
      </c>
      <c r="I19" s="22" t="n">
        <f aca="false">$E19/POWER(1+DiscRate4,2+attendance!$A19)</f>
        <v>22841611.7839189</v>
      </c>
      <c r="J19" s="22" t="n">
        <f aca="false">$E19/POWER(1+DiscRate5,2+attendance!$A19)</f>
        <v>20780626.3431758</v>
      </c>
      <c r="K19" s="22" t="n">
        <f aca="false">$E19/POWER(1+DiscRate6,2+attendance!$A19)</f>
        <v>18914017.3537975</v>
      </c>
    </row>
    <row r="20" customFormat="false" ht="12.75" hidden="false" customHeight="false" outlineLevel="0" collapsed="false">
      <c r="A20" s="0" t="n">
        <v>19</v>
      </c>
      <c r="B20" s="0" t="n">
        <v>2017</v>
      </c>
      <c r="C20" s="19" t="n">
        <v>2253086</v>
      </c>
      <c r="D20" s="0" t="n">
        <v>29.58</v>
      </c>
      <c r="E20" s="19" t="n">
        <f aca="false">C20*D20</f>
        <v>66646283.88</v>
      </c>
      <c r="F20" s="22" t="n">
        <f aca="false">E20/POWER(1+DiscRate,2+attendance!A20)</f>
        <v>23922174.7304194</v>
      </c>
      <c r="G20" s="22" t="n">
        <f aca="false">$E20/POWER(1+discrate2,2+attendance!$A20)</f>
        <v>29246628.8227477</v>
      </c>
      <c r="H20" s="22" t="n">
        <f aca="false">$E20/POWER(1+DiscRate3,2+attendance!$A20)</f>
        <v>26444407.4022524</v>
      </c>
      <c r="I20" s="22" t="n">
        <f aca="false">$E20/POWER(1+DiscRate4,2+attendance!$A20)</f>
        <v>21650816.8567952</v>
      </c>
      <c r="J20" s="22" t="n">
        <f aca="false">$E20/POWER(1+DiscRate5,2+attendance!$A20)</f>
        <v>19604364.4746942</v>
      </c>
      <c r="K20" s="22" t="n">
        <f aca="false">$E20/POWER(1+DiscRate6,2+attendance!$A20)</f>
        <v>17759640.7077911</v>
      </c>
    </row>
    <row r="21" customFormat="false" ht="12.75" hidden="false" customHeight="false" outlineLevel="0" collapsed="false">
      <c r="A21" s="0" t="n">
        <v>20</v>
      </c>
      <c r="B21" s="0" t="n">
        <v>2018</v>
      </c>
      <c r="C21" s="19" t="n">
        <v>2253086</v>
      </c>
      <c r="D21" s="0" t="n">
        <v>29.58</v>
      </c>
      <c r="E21" s="19" t="n">
        <f aca="false">C21*D21</f>
        <v>66646283.88</v>
      </c>
      <c r="F21" s="22" t="n">
        <f aca="false">E21/POWER(1+DiscRate,2+attendance!A21)</f>
        <v>22783023.5527804</v>
      </c>
      <c r="G21" s="22" t="n">
        <f aca="false">$E21/POWER(1+discrate2,2+attendance!$A21)</f>
        <v>28121758.4834112</v>
      </c>
      <c r="H21" s="22" t="n">
        <f aca="false">$E21/POWER(1+DiscRate3,2+attendance!$A21)</f>
        <v>25305653.0165095</v>
      </c>
      <c r="I21" s="22" t="n">
        <f aca="false">$E21/POWER(1+DiscRate4,2+attendance!$A21)</f>
        <v>20522101.2860618</v>
      </c>
      <c r="J21" s="22" t="n">
        <f aca="false">$E21/POWER(1+DiscRate5,2+attendance!$A21)</f>
        <v>18494683.4666926</v>
      </c>
      <c r="K21" s="22" t="n">
        <f aca="false">$E21/POWER(1+DiscRate6,2+attendance!$A21)</f>
        <v>16675718.9744517</v>
      </c>
    </row>
    <row r="22" customFormat="false" ht="12.75" hidden="false" customHeight="false" outlineLevel="0" collapsed="false">
      <c r="F22" s="22" t="n">
        <f aca="false">SUM(F2:F21)</f>
        <v>561895566.637323</v>
      </c>
      <c r="G22" s="22" t="n">
        <f aca="false">SUM(G2:G21)</f>
        <v>631051849.082786</v>
      </c>
      <c r="H22" s="22" t="n">
        <f aca="false">SUM(H2:H21)</f>
        <v>595160111.178856</v>
      </c>
      <c r="I22" s="22" t="n">
        <f aca="false">SUM(I2:I21)</f>
        <v>531035969.510792</v>
      </c>
      <c r="J22" s="22" t="n">
        <f aca="false">SUM(J2:J21)</f>
        <v>502379794.982215</v>
      </c>
      <c r="K22" s="22" t="n">
        <f aca="false">SUM(K2:K21)</f>
        <v>475744160.14391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L20" activeCellId="0" sqref="L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41"/>
    <col collapsed="false" customWidth="true" hidden="false" outlineLevel="0" max="3" min="3" style="0" width="10.28"/>
    <col collapsed="false" customWidth="true" hidden="false" outlineLevel="0" max="5" min="4" style="0" width="12.85"/>
    <col collapsed="false" customWidth="true" hidden="false" outlineLevel="0" max="7" min="7" style="0" width="11.28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57</v>
      </c>
      <c r="B1" s="23" t="n">
        <v>0.03</v>
      </c>
    </row>
    <row r="2" customFormat="false" ht="12.75" hidden="false" customHeight="false" outlineLevel="0" collapsed="false">
      <c r="I2" s="24" t="s">
        <v>58</v>
      </c>
    </row>
    <row r="3" customFormat="false" ht="12.75" hidden="false" customHeight="false" outlineLevel="0" collapsed="false">
      <c r="B3" s="0" t="s">
        <v>48</v>
      </c>
      <c r="C3" s="0" t="s">
        <v>59</v>
      </c>
      <c r="D3" s="0" t="s">
        <v>60</v>
      </c>
      <c r="E3" s="0" t="s">
        <v>61</v>
      </c>
      <c r="G3" s="0" t="s">
        <v>62</v>
      </c>
      <c r="H3" s="0" t="s">
        <v>63</v>
      </c>
      <c r="I3" s="24" t="s">
        <v>64</v>
      </c>
      <c r="J3" s="0" t="s">
        <v>65</v>
      </c>
    </row>
    <row r="4" customFormat="false" ht="12.75" hidden="false" customHeight="false" outlineLevel="0" collapsed="false">
      <c r="A4" s="0" t="n">
        <f aca="false">$B$11-B4</f>
        <v>7</v>
      </c>
      <c r="B4" s="0" t="n">
        <v>1989</v>
      </c>
      <c r="C4" s="20" t="n">
        <v>6.8</v>
      </c>
      <c r="D4" s="19" t="n">
        <v>1298430</v>
      </c>
      <c r="E4" s="19" t="n">
        <f aca="false">D4</f>
        <v>1298430</v>
      </c>
      <c r="F4" s="20" t="n">
        <f aca="false">C4*POWER(1+inflation,A4)</f>
        <v>8.36314228488912</v>
      </c>
      <c r="G4" s="20" t="n">
        <v>0</v>
      </c>
      <c r="H4" s="20" t="n">
        <v>0</v>
      </c>
      <c r="I4" s="20"/>
    </row>
    <row r="5" customFormat="false" ht="12.75" hidden="false" customHeight="false" outlineLevel="0" collapsed="false">
      <c r="A5" s="0" t="n">
        <f aca="false">$B$11-B5</f>
        <v>6</v>
      </c>
      <c r="B5" s="0" t="n">
        <v>1990</v>
      </c>
      <c r="C5" s="20" t="n">
        <v>7.12</v>
      </c>
      <c r="D5" s="19" t="n">
        <v>1509759</v>
      </c>
      <c r="E5" s="19" t="n">
        <f aca="false">D5</f>
        <v>1509759</v>
      </c>
      <c r="F5" s="20" t="n">
        <f aca="false">C5*POWER(1+inflation,A5)</f>
        <v>8.50165235128648</v>
      </c>
      <c r="G5" s="17" t="n">
        <f aca="false">E5/E4-1</f>
        <v>0.162757330006238</v>
      </c>
      <c r="H5" s="17" t="n">
        <f aca="false">F5/F4-1</f>
        <v>0.0165619645916619</v>
      </c>
      <c r="I5" s="14" t="n">
        <f aca="false">G5/H5</f>
        <v>9.82717533934217</v>
      </c>
    </row>
    <row r="6" customFormat="false" ht="12.75" hidden="false" customHeight="false" outlineLevel="0" collapsed="false">
      <c r="A6" s="0" t="n">
        <f aca="false">$B$11-B6</f>
        <v>5</v>
      </c>
      <c r="B6" s="0" t="n">
        <v>1991</v>
      </c>
      <c r="C6" s="20" t="n">
        <v>6.37</v>
      </c>
      <c r="D6" s="19" t="n">
        <v>2147877</v>
      </c>
      <c r="E6" s="19" t="n">
        <f aca="false">D6-200000/C6</f>
        <v>2116479.82574568</v>
      </c>
      <c r="F6" s="20" t="n">
        <f aca="false">C6*POWER(1+inflation,A6)</f>
        <v>7.384575853291</v>
      </c>
      <c r="G6" s="17" t="n">
        <f aca="false">E6/E5-1</f>
        <v>0.401866010234536</v>
      </c>
      <c r="H6" s="17" t="n">
        <f aca="false">F6/F5-1</f>
        <v>-0.131395221991928</v>
      </c>
      <c r="I6" s="14" t="n">
        <f aca="false">G6/H6</f>
        <v>-3.0584522339726</v>
      </c>
      <c r="J6" s="0" t="s">
        <v>66</v>
      </c>
    </row>
    <row r="7" customFormat="false" ht="12.75" hidden="false" customHeight="false" outlineLevel="0" collapsed="false">
      <c r="A7" s="0" t="n">
        <f aca="false">$B$11-B7</f>
        <v>4</v>
      </c>
      <c r="B7" s="0" t="n">
        <v>1992</v>
      </c>
      <c r="C7" s="20" t="n">
        <v>8.88</v>
      </c>
      <c r="D7" s="19" t="n">
        <v>1651428</v>
      </c>
      <c r="E7" s="19" t="n">
        <f aca="false">D7</f>
        <v>1651428</v>
      </c>
      <c r="F7" s="20" t="n">
        <f aca="false">C7*POWER(1+inflation,A7)</f>
        <v>9.9945182328</v>
      </c>
      <c r="G7" s="17" t="n">
        <f aca="false">E7/E6-1</f>
        <v>-0.219728919732006</v>
      </c>
      <c r="H7" s="17" t="n">
        <f aca="false">F7/F6-1</f>
        <v>0.353431589215223</v>
      </c>
      <c r="I7" s="14" t="n">
        <f aca="false">G7/H7</f>
        <v>-0.621701416729338</v>
      </c>
    </row>
    <row r="8" customFormat="false" ht="12.75" hidden="false" customHeight="false" outlineLevel="0" collapsed="false">
      <c r="A8" s="0" t="n">
        <f aca="false">$B$11-B8</f>
        <v>3</v>
      </c>
      <c r="B8" s="0" t="n">
        <v>1993</v>
      </c>
      <c r="C8" s="20" t="n">
        <v>8.91</v>
      </c>
      <c r="D8" s="19" t="n">
        <v>2051853</v>
      </c>
      <c r="E8" s="19" t="n">
        <f aca="false">D8</f>
        <v>2051853</v>
      </c>
      <c r="F8" s="20" t="n">
        <f aca="false">C8*POWER(1+inflation,A8)</f>
        <v>9.73619757</v>
      </c>
      <c r="G8" s="17" t="n">
        <f aca="false">E8/E7-1</f>
        <v>0.242471969713484</v>
      </c>
      <c r="H8" s="17" t="n">
        <f aca="false">F8/F7-1</f>
        <v>-0.025846234584099</v>
      </c>
      <c r="I8" s="14" t="n">
        <f aca="false">G8/H8</f>
        <v>-9.38132666576729</v>
      </c>
    </row>
    <row r="9" customFormat="false" ht="12.75" hidden="false" customHeight="false" outlineLevel="0" collapsed="false">
      <c r="A9" s="0" t="n">
        <f aca="false">$B$11-B9</f>
        <v>2</v>
      </c>
      <c r="B9" s="0" t="n">
        <v>1994</v>
      </c>
      <c r="C9" s="20" t="n">
        <v>11.86</v>
      </c>
      <c r="D9" s="19" t="n">
        <v>1104206</v>
      </c>
      <c r="E9" s="19" t="n">
        <v>2032743</v>
      </c>
      <c r="F9" s="20" t="n">
        <f aca="false">C9*POWER(1+inflation,A9)</f>
        <v>12.582274</v>
      </c>
      <c r="G9" s="17" t="n">
        <f aca="false">E9/E8-1</f>
        <v>-0.00931353269459367</v>
      </c>
      <c r="H9" s="17" t="n">
        <f aca="false">F9/F8-1</f>
        <v>0.292319091671842</v>
      </c>
      <c r="I9" s="14" t="n">
        <f aca="false">G9/H9</f>
        <v>-0.0318608430305642</v>
      </c>
      <c r="J9" s="0" t="s">
        <v>67</v>
      </c>
    </row>
    <row r="10" customFormat="false" ht="12.75" hidden="false" customHeight="false" outlineLevel="0" collapsed="false">
      <c r="A10" s="0" t="n">
        <f aca="false">$B$11-B10</f>
        <v>1</v>
      </c>
      <c r="B10" s="0" t="n">
        <v>1995</v>
      </c>
      <c r="C10" s="20" t="n">
        <v>10.88</v>
      </c>
      <c r="D10" s="19" t="n">
        <v>1643203</v>
      </c>
      <c r="E10" s="19" t="n">
        <v>1823280</v>
      </c>
      <c r="F10" s="20" t="n">
        <f aca="false">C10*POWER(1+inflation,A10)</f>
        <v>11.2064</v>
      </c>
      <c r="G10" s="17" t="n">
        <f aca="false">E10/E9-1</f>
        <v>-0.103044506856007</v>
      </c>
      <c r="H10" s="17" t="n">
        <f aca="false">F10/F9-1</f>
        <v>-0.109350185824915</v>
      </c>
      <c r="I10" s="14" t="n">
        <f aca="false">G10/H10</f>
        <v>0.942334995397223</v>
      </c>
      <c r="J10" s="0" t="s">
        <v>67</v>
      </c>
    </row>
    <row r="11" customFormat="false" ht="12.75" hidden="false" customHeight="false" outlineLevel="0" collapsed="false">
      <c r="A11" s="0" t="n">
        <f aca="false">$B$11-B11</f>
        <v>0</v>
      </c>
      <c r="B11" s="0" t="n">
        <v>1996</v>
      </c>
      <c r="C11" s="20" t="n">
        <v>12.34</v>
      </c>
      <c r="D11" s="19" t="n">
        <v>2723850</v>
      </c>
      <c r="E11" s="19" t="n">
        <f aca="false">D11</f>
        <v>2723850</v>
      </c>
      <c r="F11" s="20" t="n">
        <f aca="false">C11*POWER(1+inflation,A11)</f>
        <v>12.34</v>
      </c>
      <c r="G11" s="17" t="n">
        <f aca="false">E11/E10-1</f>
        <v>0.493928524417533</v>
      </c>
      <c r="H11" s="17" t="n">
        <f aca="false">F11/F10-1</f>
        <v>0.10115648201028</v>
      </c>
      <c r="I11" s="14" t="n">
        <f aca="false">G11/H11</f>
        <v>4.88281635147552</v>
      </c>
    </row>
    <row r="12" customFormat="false" ht="12.75" hidden="false" customHeight="false" outlineLevel="0" collapsed="false">
      <c r="B12" s="20"/>
    </row>
    <row r="13" customFormat="false" ht="12.75" hidden="false" customHeight="false" outlineLevel="0" collapsed="false">
      <c r="B13" s="20" t="s">
        <v>62</v>
      </c>
    </row>
    <row r="14" customFormat="false" ht="12.75" hidden="false" customHeight="false" outlineLevel="0" collapsed="false">
      <c r="B14" s="20" t="s">
        <v>63</v>
      </c>
    </row>
    <row r="15" customFormat="false" ht="12.75" hidden="false" customHeight="false" outlineLevel="0" collapsed="false">
      <c r="B15" s="20"/>
    </row>
    <row r="16" customFormat="false" ht="12.75" hidden="false" customHeight="false" outlineLevel="0" collapsed="false">
      <c r="A16" s="0" t="s">
        <v>68</v>
      </c>
      <c r="B16" s="20"/>
    </row>
    <row r="17" customFormat="false" ht="12.75" hidden="false" customHeight="false" outlineLevel="0" collapsed="false">
      <c r="B17" s="20"/>
      <c r="E17" s="0" t="s">
        <v>69</v>
      </c>
      <c r="F17" s="0" t="s">
        <v>70</v>
      </c>
      <c r="G17" s="0" t="s">
        <v>68</v>
      </c>
    </row>
    <row r="18" customFormat="false" ht="12.75" hidden="false" customHeight="false" outlineLevel="0" collapsed="false">
      <c r="A18" s="0" t="s">
        <v>48</v>
      </c>
      <c r="B18" s="0" t="s">
        <v>49</v>
      </c>
      <c r="C18" s="0" t="s">
        <v>50</v>
      </c>
      <c r="D18" s="0" t="s">
        <v>71</v>
      </c>
      <c r="E18" s="0" t="s">
        <v>72</v>
      </c>
      <c r="F18" s="0" t="s">
        <v>73</v>
      </c>
      <c r="G18" s="0" t="n">
        <v>1</v>
      </c>
      <c r="H18" s="0" t="n">
        <v>1.1</v>
      </c>
      <c r="I18" s="0" t="n">
        <v>1.2</v>
      </c>
      <c r="J18" s="0" t="n">
        <v>1.3</v>
      </c>
      <c r="K18" s="0" t="n">
        <v>1.4</v>
      </c>
      <c r="L18" s="0" t="n">
        <v>1.5</v>
      </c>
    </row>
    <row r="19" customFormat="false" ht="12.75" hidden="false" customHeight="false" outlineLevel="0" collapsed="false">
      <c r="A19" s="0" t="n">
        <v>1999</v>
      </c>
      <c r="B19" s="19" t="n">
        <v>2703704</v>
      </c>
      <c r="C19" s="0" t="n">
        <v>15.64</v>
      </c>
      <c r="D19" s="3" t="n">
        <f aca="false">C19/1.1</f>
        <v>14.2181818181818</v>
      </c>
      <c r="E19" s="3" t="n">
        <f aca="false">C19*1.4</f>
        <v>21.896</v>
      </c>
      <c r="F19" s="17" t="n">
        <f aca="false">E19/D19-1</f>
        <v>0.54</v>
      </c>
      <c r="G19" s="19" t="n">
        <f aca="false">(1-G$18*$F19)*$B19</f>
        <v>1243703.84</v>
      </c>
      <c r="H19" s="19" t="n">
        <f aca="false">(1-H$18*$F19)*$B19</f>
        <v>1097703.824</v>
      </c>
      <c r="I19" s="19" t="n">
        <f aca="false">(1-I$18*$F19)*$B19</f>
        <v>951703.807999999</v>
      </c>
      <c r="J19" s="19" t="n">
        <f aca="false">(1-J$18*$F19)*$B19</f>
        <v>805703.791999999</v>
      </c>
      <c r="K19" s="19" t="n">
        <f aca="false">(1-K$18*$F19)*$B19</f>
        <v>659703.775999999</v>
      </c>
      <c r="L19" s="19" t="n">
        <f aca="false">(1-L$18*$F19)*$B19</f>
        <v>513703.759999999</v>
      </c>
    </row>
    <row r="20" customFormat="false" ht="12.75" hidden="false" customHeight="false" outlineLevel="0" collapsed="false">
      <c r="A20" s="0" t="n">
        <v>2000</v>
      </c>
      <c r="B20" s="19" t="n">
        <v>2478395</v>
      </c>
      <c r="C20" s="0" t="n">
        <v>16.23</v>
      </c>
      <c r="D20" s="3" t="n">
        <f aca="false">C20/1.1</f>
        <v>14.7545454545455</v>
      </c>
      <c r="E20" s="3" t="n">
        <f aca="false">C20*1.4</f>
        <v>22.722</v>
      </c>
      <c r="F20" s="17" t="n">
        <f aca="false">E20/D20-1</f>
        <v>0.54</v>
      </c>
      <c r="G20" s="19" t="n">
        <f aca="false">(1-G$18*$F20)*$B20</f>
        <v>1140061.7</v>
      </c>
      <c r="H20" s="19" t="n">
        <f aca="false">(1-H$18*$F20)*$B20</f>
        <v>1006228.37</v>
      </c>
      <c r="I20" s="19" t="n">
        <f aca="false">(1-I$18*$F20)*$B20</f>
        <v>872395.040000001</v>
      </c>
      <c r="J20" s="19" t="n">
        <f aca="false">(1-J$18*$F20)*$B20</f>
        <v>738561.710000001</v>
      </c>
      <c r="K20" s="19" t="n">
        <f aca="false">(1-K$18*$F20)*$B20</f>
        <v>604728.380000001</v>
      </c>
      <c r="L20" s="19" t="n">
        <f aca="false">(1-L$18*$F20)*$B20</f>
        <v>470895.050000001</v>
      </c>
    </row>
    <row r="21" customFormat="false" ht="12.75" hidden="false" customHeight="false" outlineLevel="0" collapsed="false">
      <c r="A21" s="0" t="n">
        <v>2001</v>
      </c>
      <c r="B21" s="19" t="n">
        <v>2253086</v>
      </c>
      <c r="C21" s="0" t="n">
        <v>16.87</v>
      </c>
      <c r="D21" s="3" t="n">
        <f aca="false">C21/1.1</f>
        <v>15.3363636363636</v>
      </c>
      <c r="E21" s="3" t="n">
        <f aca="false">C21*1.4</f>
        <v>23.618</v>
      </c>
      <c r="F21" s="17" t="n">
        <f aca="false">E21/D21-1</f>
        <v>0.54</v>
      </c>
      <c r="G21" s="19" t="n">
        <f aca="false">(1-G$18*$F21)*$B21</f>
        <v>1036419.56</v>
      </c>
      <c r="H21" s="19" t="n">
        <f aca="false">(1-H$18*$F21)*$B21</f>
        <v>914752.916</v>
      </c>
      <c r="I21" s="19" t="n">
        <f aca="false">(1-I$18*$F21)*$B21</f>
        <v>793086.272</v>
      </c>
      <c r="J21" s="19" t="n">
        <f aca="false">(1-J$18*$F21)*$B21</f>
        <v>671419.628</v>
      </c>
      <c r="K21" s="19" t="n">
        <f aca="false">(1-K$18*$F21)*$B21</f>
        <v>549752.984</v>
      </c>
      <c r="L21" s="19" t="n">
        <f aca="false">(1-L$18*$F21)*$B21</f>
        <v>428086.34</v>
      </c>
    </row>
    <row r="22" customFormat="false" ht="12.75" hidden="false" customHeight="false" outlineLevel="0" collapsed="false">
      <c r="A22" s="0" t="n">
        <v>2002</v>
      </c>
      <c r="B22" s="19" t="n">
        <v>2253086</v>
      </c>
      <c r="C22" s="0" t="n">
        <v>17.54</v>
      </c>
      <c r="D22" s="3" t="n">
        <f aca="false">C22/1.1</f>
        <v>15.9454545454545</v>
      </c>
      <c r="E22" s="3" t="n">
        <f aca="false">C22*1.4</f>
        <v>24.556</v>
      </c>
      <c r="F22" s="17" t="n">
        <f aca="false">E22/D22-1</f>
        <v>0.54</v>
      </c>
      <c r="G22" s="19" t="n">
        <f aca="false">(1-G$18*$F22)*$B22</f>
        <v>1036419.56</v>
      </c>
      <c r="H22" s="19" t="n">
        <f aca="false">(1-H$18*$F22)*$B22</f>
        <v>914752.916</v>
      </c>
      <c r="I22" s="19" t="n">
        <f aca="false">(1-I$18*$F22)*$B22</f>
        <v>793086.272</v>
      </c>
      <c r="J22" s="19" t="n">
        <f aca="false">(1-J$18*$F22)*$B22</f>
        <v>671419.628</v>
      </c>
      <c r="K22" s="19" t="n">
        <f aca="false">(1-K$18*$F22)*$B22</f>
        <v>549752.984</v>
      </c>
      <c r="L22" s="19" t="n">
        <f aca="false">(1-L$18*$F22)*$B22</f>
        <v>428086.34</v>
      </c>
    </row>
    <row r="23" customFormat="false" ht="12.75" hidden="false" customHeight="false" outlineLevel="0" collapsed="false">
      <c r="A23" s="0" t="n">
        <v>2003</v>
      </c>
      <c r="B23" s="19" t="n">
        <v>2253086</v>
      </c>
      <c r="C23" s="0" t="n">
        <v>18.26</v>
      </c>
      <c r="D23" s="3" t="n">
        <f aca="false">C23/1.1</f>
        <v>16.6</v>
      </c>
      <c r="E23" s="3" t="n">
        <f aca="false">C23*1.4</f>
        <v>25.564</v>
      </c>
      <c r="F23" s="17" t="n">
        <f aca="false">E23/D23-1</f>
        <v>0.54</v>
      </c>
      <c r="G23" s="19" t="n">
        <f aca="false">(1-G$18*$F23)*$B23</f>
        <v>1036419.56</v>
      </c>
      <c r="H23" s="19" t="n">
        <f aca="false">(1-H$18*$F23)*$B23</f>
        <v>914752.916</v>
      </c>
      <c r="I23" s="19" t="n">
        <f aca="false">(1-I$18*$F23)*$B23</f>
        <v>793086.272000001</v>
      </c>
      <c r="J23" s="19" t="n">
        <f aca="false">(1-J$18*$F23)*$B23</f>
        <v>671419.628000001</v>
      </c>
      <c r="K23" s="19" t="n">
        <f aca="false">(1-K$18*$F23)*$B23</f>
        <v>549752.984000001</v>
      </c>
      <c r="L23" s="19" t="n">
        <f aca="false">(1-L$18*$F23)*$B23</f>
        <v>428086.340000001</v>
      </c>
    </row>
    <row r="24" customFormat="false" ht="12.75" hidden="false" customHeight="false" outlineLevel="0" collapsed="false">
      <c r="A24" s="0" t="n">
        <v>2004</v>
      </c>
      <c r="B24" s="19" t="n">
        <v>2253086</v>
      </c>
      <c r="C24" s="0" t="n">
        <v>19.01</v>
      </c>
      <c r="D24" s="3" t="n">
        <f aca="false">C24/1.1</f>
        <v>17.2818181818182</v>
      </c>
      <c r="E24" s="3" t="n">
        <f aca="false">C24*1.4</f>
        <v>26.614</v>
      </c>
      <c r="F24" s="17" t="n">
        <f aca="false">E24/D24-1</f>
        <v>0.54</v>
      </c>
      <c r="G24" s="19" t="n">
        <f aca="false">(1-G$18*$F24)*$B24</f>
        <v>1036419.56</v>
      </c>
      <c r="H24" s="19" t="n">
        <f aca="false">(1-H$18*$F24)*$B24</f>
        <v>914752.916</v>
      </c>
      <c r="I24" s="19" t="n">
        <f aca="false">(1-I$18*$F24)*$B24</f>
        <v>793086.272</v>
      </c>
      <c r="J24" s="19" t="n">
        <f aca="false">(1-J$18*$F24)*$B24</f>
        <v>671419.628</v>
      </c>
      <c r="K24" s="19" t="n">
        <f aca="false">(1-K$18*$F24)*$B24</f>
        <v>549752.984</v>
      </c>
      <c r="L24" s="19" t="n">
        <f aca="false">(1-L$18*$F24)*$B24</f>
        <v>428086.34</v>
      </c>
    </row>
    <row r="25" customFormat="false" ht="12.75" hidden="false" customHeight="false" outlineLevel="0" collapsed="false">
      <c r="A25" s="0" t="n">
        <v>2005</v>
      </c>
      <c r="B25" s="19" t="n">
        <v>2253086</v>
      </c>
      <c r="C25" s="0" t="n">
        <v>19.79</v>
      </c>
      <c r="D25" s="3" t="n">
        <f aca="false">C25/1.1</f>
        <v>17.9909090909091</v>
      </c>
      <c r="E25" s="3" t="n">
        <f aca="false">C25*1.4</f>
        <v>27.706</v>
      </c>
      <c r="F25" s="17" t="n">
        <f aca="false">E25/D25-1</f>
        <v>0.54</v>
      </c>
      <c r="G25" s="19" t="n">
        <f aca="false">(1-G$18*$F25)*$B25</f>
        <v>1036419.56</v>
      </c>
      <c r="H25" s="19" t="n">
        <f aca="false">(1-H$18*$F25)*$B25</f>
        <v>914752.916</v>
      </c>
      <c r="I25" s="19" t="n">
        <f aca="false">(1-I$18*$F25)*$B25</f>
        <v>793086.272</v>
      </c>
      <c r="J25" s="19" t="n">
        <f aca="false">(1-J$18*$F25)*$B25</f>
        <v>671419.628</v>
      </c>
      <c r="K25" s="19" t="n">
        <f aca="false">(1-K$18*$F25)*$B25</f>
        <v>549752.984</v>
      </c>
      <c r="L25" s="19" t="n">
        <f aca="false">(1-L$18*$F25)*$B25</f>
        <v>428086.34</v>
      </c>
    </row>
    <row r="26" customFormat="false" ht="12.75" hidden="false" customHeight="false" outlineLevel="0" collapsed="false">
      <c r="A26" s="0" t="n">
        <v>2006</v>
      </c>
      <c r="B26" s="19" t="n">
        <v>2253086</v>
      </c>
      <c r="C26" s="0" t="n">
        <v>20.6</v>
      </c>
      <c r="D26" s="3" t="n">
        <f aca="false">C26/1.1</f>
        <v>18.7272727272727</v>
      </c>
      <c r="E26" s="3" t="n">
        <f aca="false">C26*1.4</f>
        <v>28.84</v>
      </c>
      <c r="F26" s="17" t="n">
        <f aca="false">E26/D26-1</f>
        <v>0.54</v>
      </c>
      <c r="G26" s="19" t="n">
        <f aca="false">(1-G$18*$F26)*$B26</f>
        <v>1036419.56</v>
      </c>
      <c r="H26" s="19" t="n">
        <f aca="false">(1-H$18*$F26)*$B26</f>
        <v>914752.916</v>
      </c>
      <c r="I26" s="19" t="n">
        <f aca="false">(1-I$18*$F26)*$B26</f>
        <v>793086.272</v>
      </c>
      <c r="J26" s="19" t="n">
        <f aca="false">(1-J$18*$F26)*$B26</f>
        <v>671419.628</v>
      </c>
      <c r="K26" s="19" t="n">
        <f aca="false">(1-K$18*$F26)*$B26</f>
        <v>549752.984</v>
      </c>
      <c r="L26" s="19" t="n">
        <f aca="false">(1-L$18*$F26)*$B26</f>
        <v>428086.34</v>
      </c>
    </row>
    <row r="27" customFormat="false" ht="12.75" hidden="false" customHeight="false" outlineLevel="0" collapsed="false">
      <c r="A27" s="0" t="n">
        <v>2007</v>
      </c>
      <c r="B27" s="19" t="n">
        <v>2253086</v>
      </c>
      <c r="C27" s="0" t="n">
        <v>21.45</v>
      </c>
      <c r="D27" s="3" t="n">
        <f aca="false">C27/1.1</f>
        <v>19.5</v>
      </c>
      <c r="E27" s="3" t="n">
        <f aca="false">C27*1.4</f>
        <v>30.03</v>
      </c>
      <c r="F27" s="17" t="n">
        <f aca="false">E27/D27-1</f>
        <v>0.54</v>
      </c>
      <c r="G27" s="19" t="n">
        <f aca="false">(1-G$18*$F27)*$B27</f>
        <v>1036419.56</v>
      </c>
      <c r="H27" s="19" t="n">
        <f aca="false">(1-H$18*$F27)*$B27</f>
        <v>914752.915999999</v>
      </c>
      <c r="I27" s="19" t="n">
        <f aca="false">(1-I$18*$F27)*$B27</f>
        <v>793086.271999999</v>
      </c>
      <c r="J27" s="19" t="n">
        <f aca="false">(1-J$18*$F27)*$B27</f>
        <v>671419.627999999</v>
      </c>
      <c r="K27" s="19" t="n">
        <f aca="false">(1-K$18*$F27)*$B27</f>
        <v>549752.983999999</v>
      </c>
      <c r="L27" s="19" t="n">
        <f aca="false">(1-L$18*$F27)*$B27</f>
        <v>428086.339999999</v>
      </c>
    </row>
    <row r="28" customFormat="false" ht="12.75" hidden="false" customHeight="false" outlineLevel="0" collapsed="false">
      <c r="A28" s="0" t="n">
        <v>2008</v>
      </c>
      <c r="B28" s="19" t="n">
        <v>2253086</v>
      </c>
      <c r="C28" s="0" t="n">
        <v>22.32</v>
      </c>
      <c r="D28" s="3" t="n">
        <f aca="false">C28/1.1</f>
        <v>20.2909090909091</v>
      </c>
      <c r="E28" s="3" t="n">
        <f aca="false">C28*1.4</f>
        <v>31.248</v>
      </c>
      <c r="F28" s="17" t="n">
        <f aca="false">E28/D28-1</f>
        <v>0.54</v>
      </c>
      <c r="G28" s="19" t="n">
        <f aca="false">(1-G$18*$F28)*$B28</f>
        <v>1036419.56</v>
      </c>
      <c r="H28" s="19" t="n">
        <f aca="false">(1-H$18*$F28)*$B28</f>
        <v>914752.916</v>
      </c>
      <c r="I28" s="19" t="n">
        <f aca="false">(1-I$18*$F28)*$B28</f>
        <v>793086.272</v>
      </c>
      <c r="J28" s="19" t="n">
        <f aca="false">(1-J$18*$F28)*$B28</f>
        <v>671419.628</v>
      </c>
      <c r="K28" s="19" t="n">
        <f aca="false">(1-K$18*$F28)*$B28</f>
        <v>549752.984</v>
      </c>
      <c r="L28" s="19" t="n">
        <f aca="false">(1-L$18*$F28)*$B28</f>
        <v>428086.34</v>
      </c>
    </row>
    <row r="29" customFormat="false" ht="12.75" hidden="false" customHeight="false" outlineLevel="0" collapsed="false">
      <c r="A29" s="0" t="n">
        <v>2009</v>
      </c>
      <c r="B29" s="19" t="n">
        <v>2253086</v>
      </c>
      <c r="C29" s="0" t="n">
        <v>23.24</v>
      </c>
      <c r="D29" s="3" t="n">
        <f aca="false">C29/1.1</f>
        <v>21.1272727272727</v>
      </c>
      <c r="E29" s="3" t="n">
        <f aca="false">C29*1.4</f>
        <v>32.536</v>
      </c>
      <c r="F29" s="17" t="n">
        <f aca="false">E29/D29-1</f>
        <v>0.54</v>
      </c>
      <c r="G29" s="19" t="n">
        <f aca="false">(1-G$18*$F29)*$B29</f>
        <v>1036419.56</v>
      </c>
      <c r="H29" s="19" t="n">
        <f aca="false">(1-H$18*$F29)*$B29</f>
        <v>914752.916</v>
      </c>
      <c r="I29" s="19" t="n">
        <f aca="false">(1-I$18*$F29)*$B29</f>
        <v>793086.272000001</v>
      </c>
      <c r="J29" s="19" t="n">
        <f aca="false">(1-J$18*$F29)*$B29</f>
        <v>671419.628000001</v>
      </c>
      <c r="K29" s="19" t="n">
        <f aca="false">(1-K$18*$F29)*$B29</f>
        <v>549752.984000001</v>
      </c>
      <c r="L29" s="19" t="n">
        <f aca="false">(1-L$18*$F29)*$B29</f>
        <v>428086.340000001</v>
      </c>
    </row>
    <row r="30" customFormat="false" ht="12.75" hidden="false" customHeight="false" outlineLevel="0" collapsed="false">
      <c r="A30" s="0" t="n">
        <v>2010</v>
      </c>
      <c r="B30" s="19" t="n">
        <v>2253086</v>
      </c>
      <c r="C30" s="0" t="n">
        <v>24.19</v>
      </c>
      <c r="D30" s="3" t="n">
        <f aca="false">C30/1.1</f>
        <v>21.9909090909091</v>
      </c>
      <c r="E30" s="3" t="n">
        <f aca="false">C30*1.4</f>
        <v>33.866</v>
      </c>
      <c r="F30" s="17" t="n">
        <f aca="false">E30/D30-1</f>
        <v>0.54</v>
      </c>
      <c r="G30" s="19" t="n">
        <f aca="false">(1-G$18*$F30)*$B30</f>
        <v>1036419.56</v>
      </c>
      <c r="H30" s="19" t="n">
        <f aca="false">(1-H$18*$F30)*$B30</f>
        <v>914752.916</v>
      </c>
      <c r="I30" s="19" t="n">
        <f aca="false">(1-I$18*$F30)*$B30</f>
        <v>793086.272000001</v>
      </c>
      <c r="J30" s="19" t="n">
        <f aca="false">(1-J$18*$F30)*$B30</f>
        <v>671419.628000001</v>
      </c>
      <c r="K30" s="19" t="n">
        <f aca="false">(1-K$18*$F30)*$B30</f>
        <v>549752.984000001</v>
      </c>
      <c r="L30" s="19" t="n">
        <f aca="false">(1-L$18*$F30)*$B30</f>
        <v>428086.340000001</v>
      </c>
    </row>
    <row r="31" customFormat="false" ht="12.75" hidden="false" customHeight="false" outlineLevel="0" collapsed="false">
      <c r="A31" s="0" t="n">
        <v>2011</v>
      </c>
      <c r="B31" s="19" t="n">
        <v>2253086</v>
      </c>
      <c r="C31" s="0" t="n">
        <v>25.18</v>
      </c>
      <c r="D31" s="3" t="n">
        <f aca="false">C31/1.1</f>
        <v>22.8909090909091</v>
      </c>
      <c r="E31" s="3" t="n">
        <f aca="false">C31*1.4</f>
        <v>35.252</v>
      </c>
      <c r="F31" s="17" t="n">
        <f aca="false">E31/D31-1</f>
        <v>0.54</v>
      </c>
      <c r="G31" s="19" t="n">
        <f aca="false">(1-G$18*$F31)*$B31</f>
        <v>1036419.56</v>
      </c>
      <c r="H31" s="19" t="n">
        <f aca="false">(1-H$18*$F31)*$B31</f>
        <v>914752.916</v>
      </c>
      <c r="I31" s="19" t="n">
        <f aca="false">(1-I$18*$F31)*$B31</f>
        <v>793086.272</v>
      </c>
      <c r="J31" s="19" t="n">
        <f aca="false">(1-J$18*$F31)*$B31</f>
        <v>671419.628</v>
      </c>
      <c r="K31" s="19" t="n">
        <f aca="false">(1-K$18*$F31)*$B31</f>
        <v>549752.984</v>
      </c>
      <c r="L31" s="19" t="n">
        <f aca="false">(1-L$18*$F31)*$B31</f>
        <v>428086.34</v>
      </c>
    </row>
    <row r="32" customFormat="false" ht="12.75" hidden="false" customHeight="false" outlineLevel="0" collapsed="false">
      <c r="A32" s="0" t="n">
        <v>2012</v>
      </c>
      <c r="B32" s="19" t="n">
        <v>2253086</v>
      </c>
      <c r="C32" s="0" t="n">
        <v>26.22</v>
      </c>
      <c r="D32" s="3" t="n">
        <f aca="false">C32/1.1</f>
        <v>23.8363636363636</v>
      </c>
      <c r="E32" s="3" t="n">
        <f aca="false">C32*1.4</f>
        <v>36.708</v>
      </c>
      <c r="F32" s="17" t="n">
        <f aca="false">E32/D32-1</f>
        <v>0.54</v>
      </c>
      <c r="G32" s="19" t="n">
        <f aca="false">(1-G$18*$F32)*$B32</f>
        <v>1036419.56</v>
      </c>
      <c r="H32" s="19" t="n">
        <f aca="false">(1-H$18*$F32)*$B32</f>
        <v>914752.915999999</v>
      </c>
      <c r="I32" s="19" t="n">
        <f aca="false">(1-I$18*$F32)*$B32</f>
        <v>793086.271999999</v>
      </c>
      <c r="J32" s="19" t="n">
        <f aca="false">(1-J$18*$F32)*$B32</f>
        <v>671419.627999999</v>
      </c>
      <c r="K32" s="19" t="n">
        <f aca="false">(1-K$18*$F32)*$B32</f>
        <v>549752.983999999</v>
      </c>
      <c r="L32" s="19" t="n">
        <f aca="false">(1-L$18*$F32)*$B32</f>
        <v>428086.339999999</v>
      </c>
    </row>
    <row r="33" customFormat="false" ht="12.75" hidden="false" customHeight="false" outlineLevel="0" collapsed="false">
      <c r="A33" s="0" t="n">
        <v>2013</v>
      </c>
      <c r="B33" s="19" t="n">
        <v>2253086</v>
      </c>
      <c r="C33" s="0" t="n">
        <v>27.29</v>
      </c>
      <c r="D33" s="3" t="n">
        <f aca="false">C33/1.1</f>
        <v>24.8090909090909</v>
      </c>
      <c r="E33" s="3" t="n">
        <f aca="false">C33*1.4</f>
        <v>38.206</v>
      </c>
      <c r="F33" s="17" t="n">
        <f aca="false">E33/D33-1</f>
        <v>0.54</v>
      </c>
      <c r="G33" s="19" t="n">
        <f aca="false">(1-G$18*$F33)*$B33</f>
        <v>1036419.56</v>
      </c>
      <c r="H33" s="19" t="n">
        <f aca="false">(1-H$18*$F33)*$B33</f>
        <v>914752.916</v>
      </c>
      <c r="I33" s="19" t="n">
        <f aca="false">(1-I$18*$F33)*$B33</f>
        <v>793086.272</v>
      </c>
      <c r="J33" s="19" t="n">
        <f aca="false">(1-J$18*$F33)*$B33</f>
        <v>671419.628</v>
      </c>
      <c r="K33" s="19" t="n">
        <f aca="false">(1-K$18*$F33)*$B33</f>
        <v>549752.984</v>
      </c>
      <c r="L33" s="19" t="n">
        <f aca="false">(1-L$18*$F33)*$B33</f>
        <v>428086.34</v>
      </c>
    </row>
    <row r="34" customFormat="false" ht="12.75" hidden="false" customHeight="false" outlineLevel="0" collapsed="false">
      <c r="A34" s="0" t="n">
        <v>2014</v>
      </c>
      <c r="B34" s="19" t="n">
        <v>2253086</v>
      </c>
      <c r="C34" s="0" t="n">
        <v>28.42</v>
      </c>
      <c r="D34" s="3" t="n">
        <f aca="false">C34/1.1</f>
        <v>25.8363636363636</v>
      </c>
      <c r="E34" s="3" t="n">
        <f aca="false">C34*1.4</f>
        <v>39.788</v>
      </c>
      <c r="F34" s="17" t="n">
        <f aca="false">E34/D34-1</f>
        <v>0.54</v>
      </c>
      <c r="G34" s="19" t="n">
        <f aca="false">(1-G$18*$F34)*$B34</f>
        <v>1036419.56</v>
      </c>
      <c r="H34" s="19" t="n">
        <f aca="false">(1-H$18*$F34)*$B34</f>
        <v>914752.916</v>
      </c>
      <c r="I34" s="19" t="n">
        <f aca="false">(1-I$18*$F34)*$B34</f>
        <v>793086.272000001</v>
      </c>
      <c r="J34" s="19" t="n">
        <f aca="false">(1-J$18*$F34)*$B34</f>
        <v>671419.628000001</v>
      </c>
      <c r="K34" s="19" t="n">
        <f aca="false">(1-K$18*$F34)*$B34</f>
        <v>549752.984000001</v>
      </c>
      <c r="L34" s="19" t="n">
        <f aca="false">(1-L$18*$F34)*$B34</f>
        <v>428086.340000001</v>
      </c>
    </row>
    <row r="35" customFormat="false" ht="12.75" hidden="false" customHeight="false" outlineLevel="0" collapsed="false">
      <c r="A35" s="0" t="n">
        <v>2015</v>
      </c>
      <c r="B35" s="19" t="n">
        <v>2253086</v>
      </c>
      <c r="C35" s="0" t="n">
        <v>29.58</v>
      </c>
      <c r="D35" s="3" t="n">
        <f aca="false">C35/1.1</f>
        <v>26.8909090909091</v>
      </c>
      <c r="E35" s="3" t="n">
        <f aca="false">C35*1.4</f>
        <v>41.412</v>
      </c>
      <c r="F35" s="17" t="n">
        <f aca="false">E35/D35-1</f>
        <v>0.54</v>
      </c>
      <c r="G35" s="19" t="n">
        <f aca="false">(1-G$18*$F35)*$B35</f>
        <v>1036419.56</v>
      </c>
      <c r="H35" s="19" t="n">
        <f aca="false">(1-H$18*$F35)*$B35</f>
        <v>914752.916</v>
      </c>
      <c r="I35" s="19" t="n">
        <f aca="false">(1-I$18*$F35)*$B35</f>
        <v>793086.272000001</v>
      </c>
      <c r="J35" s="19" t="n">
        <f aca="false">(1-J$18*$F35)*$B35</f>
        <v>671419.628000001</v>
      </c>
      <c r="K35" s="19" t="n">
        <f aca="false">(1-K$18*$F35)*$B35</f>
        <v>549752.984000001</v>
      </c>
      <c r="L35" s="19" t="n">
        <f aca="false">(1-L$18*$F35)*$B35</f>
        <v>428086.340000001</v>
      </c>
    </row>
    <row r="36" customFormat="false" ht="12.75" hidden="false" customHeight="false" outlineLevel="0" collapsed="false">
      <c r="A36" s="0" t="n">
        <v>2016</v>
      </c>
      <c r="B36" s="19" t="n">
        <v>2253086</v>
      </c>
      <c r="C36" s="0" t="n">
        <v>29.58</v>
      </c>
      <c r="D36" s="3" t="n">
        <f aca="false">C36/1.1</f>
        <v>26.8909090909091</v>
      </c>
      <c r="E36" s="3" t="n">
        <f aca="false">C36*1.4</f>
        <v>41.412</v>
      </c>
      <c r="F36" s="17" t="n">
        <f aca="false">E36/D36-1</f>
        <v>0.54</v>
      </c>
      <c r="G36" s="19" t="n">
        <f aca="false">(1-G$18*$F36)*$B36</f>
        <v>1036419.56</v>
      </c>
      <c r="H36" s="19" t="n">
        <f aca="false">(1-H$18*$F36)*$B36</f>
        <v>914752.916</v>
      </c>
      <c r="I36" s="19" t="n">
        <f aca="false">(1-I$18*$F36)*$B36</f>
        <v>793086.272000001</v>
      </c>
      <c r="J36" s="19" t="n">
        <f aca="false">(1-J$18*$F36)*$B36</f>
        <v>671419.628000001</v>
      </c>
      <c r="K36" s="19" t="n">
        <f aca="false">(1-K$18*$F36)*$B36</f>
        <v>549752.984000001</v>
      </c>
      <c r="L36" s="19" t="n">
        <f aca="false">(1-L$18*$F36)*$B36</f>
        <v>428086.340000001</v>
      </c>
    </row>
    <row r="37" customFormat="false" ht="12.75" hidden="false" customHeight="false" outlineLevel="0" collapsed="false">
      <c r="A37" s="0" t="n">
        <v>2017</v>
      </c>
      <c r="B37" s="19" t="n">
        <v>2253086</v>
      </c>
      <c r="C37" s="0" t="n">
        <v>29.58</v>
      </c>
      <c r="D37" s="3" t="n">
        <f aca="false">C37/1.1</f>
        <v>26.8909090909091</v>
      </c>
      <c r="E37" s="3" t="n">
        <f aca="false">C37*1.4</f>
        <v>41.412</v>
      </c>
      <c r="F37" s="17" t="n">
        <f aca="false">E37/D37-1</f>
        <v>0.54</v>
      </c>
      <c r="G37" s="19" t="n">
        <f aca="false">(1-G$18*$F37)*$B37</f>
        <v>1036419.56</v>
      </c>
      <c r="H37" s="19" t="n">
        <f aca="false">(1-H$18*$F37)*$B37</f>
        <v>914752.916</v>
      </c>
      <c r="I37" s="19" t="n">
        <f aca="false">(1-I$18*$F37)*$B37</f>
        <v>793086.272000001</v>
      </c>
      <c r="J37" s="19" t="n">
        <f aca="false">(1-J$18*$F37)*$B37</f>
        <v>671419.628000001</v>
      </c>
      <c r="K37" s="19" t="n">
        <f aca="false">(1-K$18*$F37)*$B37</f>
        <v>549752.984000001</v>
      </c>
      <c r="L37" s="19" t="n">
        <f aca="false">(1-L$18*$F37)*$B37</f>
        <v>428086.340000001</v>
      </c>
    </row>
    <row r="38" customFormat="false" ht="12.75" hidden="false" customHeight="false" outlineLevel="0" collapsed="false">
      <c r="A38" s="0" t="n">
        <v>2018</v>
      </c>
      <c r="B38" s="19" t="n">
        <v>2253086</v>
      </c>
      <c r="C38" s="0" t="n">
        <v>29.58</v>
      </c>
      <c r="D38" s="3" t="n">
        <f aca="false">C38/1.1</f>
        <v>26.8909090909091</v>
      </c>
      <c r="E38" s="3" t="n">
        <f aca="false">C38*1.4</f>
        <v>41.412</v>
      </c>
      <c r="F38" s="17" t="n">
        <f aca="false">E38/D38-1</f>
        <v>0.54</v>
      </c>
      <c r="G38" s="19" t="n">
        <f aca="false">(1-G$18*$F38)*$B38</f>
        <v>1036419.56</v>
      </c>
      <c r="H38" s="19" t="n">
        <f aca="false">(1-H$18*$F38)*$B38</f>
        <v>914752.916</v>
      </c>
      <c r="I38" s="19" t="n">
        <f aca="false">(1-I$18*$F38)*$B38</f>
        <v>793086.272000001</v>
      </c>
      <c r="J38" s="19" t="n">
        <f aca="false">(1-J$18*$F38)*$B38</f>
        <v>671419.628000001</v>
      </c>
      <c r="K38" s="19" t="n">
        <f aca="false">(1-K$18*$F38)*$B38</f>
        <v>549752.984000001</v>
      </c>
      <c r="L38" s="19" t="n">
        <f aca="false">(1-L$18*$F38)*$B38</f>
        <v>428086.340000001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dcterms:modified xsi:type="dcterms:W3CDTF">2000-11-17T03:08:28Z</dcterms:modified>
  <cp:revision>0</cp:revision>
  <dc:subject/>
  <dc:title/>
</cp:coreProperties>
</file>