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s" sheetId="1" state="visible" r:id="rId3"/>
    <sheet name="facts premium" sheetId="2" state="visible" r:id="rId4"/>
    <sheet name="tax rev" sheetId="3" state="visible" r:id="rId5"/>
    <sheet name="cashflow 4.88" sheetId="4" state="visible" r:id="rId6"/>
    <sheet name="cashflow 5.63" sheetId="5" state="visible" r:id="rId7"/>
    <sheet name="attendance" sheetId="6" state="visible" r:id="rId8"/>
    <sheet name="elasticity" sheetId="7" state="visible" r:id="rId9"/>
    <sheet name="Chart3" sheetId="8" state="visible" r:id="rId10"/>
    <sheet name="chart data" sheetId="9" state="visible" r:id="rId11"/>
  </sheets>
  <definedNames>
    <definedName function="false" hidden="false" localSheetId="5" name="_xlnm.Print_Area" vbProcedure="false">attendance!$B$3:$K$24</definedName>
    <definedName function="false" hidden="false" localSheetId="3" name="_xlnm.Print_Area" vbProcedure="false">'cashflow 4.88'!$A$1:$K$70</definedName>
    <definedName function="false" hidden="false" localSheetId="4" name="_xlnm.Print_Area" vbProcedure="false">'cashflow 5.63'!$A$1:$K$70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1" name="DiscRate" vbProcedure="false">'facts premium'!$C$15</definedName>
    <definedName function="false" hidden="false" localSheetId="1" name="discrate2" vbProcedure="false">'facts premium'!$D$15</definedName>
    <definedName function="false" hidden="false" localSheetId="1" name="DiscRate3" vbProcedure="false">'facts premium'!$E$15</definedName>
    <definedName function="false" hidden="false" localSheetId="1" name="DiscRate4" vbProcedure="false">'facts premium'!$F$15</definedName>
    <definedName function="false" hidden="false" localSheetId="1" name="DiscRate5" vbProcedure="false">'facts premium'!$G$15</definedName>
    <definedName function="false" hidden="false" localSheetId="1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<sst xmlns="http://schemas.openxmlformats.org/spreadsheetml/2006/main" count="162" uniqueCount="78">
  <si>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</si>
  <si>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</si>
  <si>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</si>
  <si>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</si>
  <si>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</si>
  <si>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</si>
  <si>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</si>
  <si>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</si>
  <si>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</si>
  <si>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</si>
  <si>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</si>
  <si>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(APR):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</si>
  <si>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</si>
  <si>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</si>
  <si>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</si>
  <si>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</si>
  <si>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</si>
  <si>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</si>
  <si>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</si>
  <si>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</si>
  <si>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</si>
  <si>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</si>
  <si>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</si>
  <si>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</si>
  <si>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</si>
  <si>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1990</t>
  </si>
  <si>
    <t xml:space="preserve">2000</t>
  </si>
  <si>
    <t xml:space="preserve">est 1996</t>
  </si>
  <si>
    <t xml:space="preserve">Population</t>
  </si>
  <si>
    <t xml:space="preserve">people per hh</t>
  </si>
  <si>
    <t xml:space="preserve">Cost per Capita</t>
  </si>
  <si>
    <t xml:space="preserve">Cost per Household</t>
  </si>
  <si>
    <t xml:space="preserve">Monthly pymt</t>
  </si>
  <si>
    <t xml:space="preserve">Discount Rate: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</si>
  <si>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</si>
  <si>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</si>
  <si>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</si>
  <si>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</si>
  <si>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</si>
  <si>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</si>
  <si>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PV of cash flow</t>
  </si>
  <si>
    <t xml:space="preserve">year</t>
  </si>
  <si>
    <t xml:space="preserve">no tax rev</t>
  </si>
  <si>
    <t xml:space="preserve">month</t>
  </si>
  <si>
    <t xml:space="preserve">beg bal</t>
  </si>
  <si>
    <t xml:space="preserve">interest</t>
  </si>
  <si>
    <t xml:space="preserve">tax rev</t>
  </si>
  <si>
    <t xml:space="preserve">lease pay</t>
  </si>
  <si>
    <t xml:space="preserve">const pay</t>
  </si>
  <si>
    <t xml:space="preserve">coupon</t>
  </si>
  <si>
    <t xml:space="preserve">end bal</t>
  </si>
  <si>
    <t xml:space="preserve">ASSUMES ATTENDANCE HOLDS DESPITE INCREASED PRICES</t>
  </si>
  <si>
    <t xml:space="preserve">Year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</si>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</sst>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0&quot; mos&quot;"/>
    <numFmt numFmtId="168" formatCode="[$-409]mmm\-yy"/>
    <numFmt numFmtId="169" formatCode="_(\$* #,##0_);_(\$* \(#,##0\);_(\$* \-??_);_(@_)"/>
    <numFmt numFmtId="170" formatCode="0.0"/>
    <numFmt numFmtId="171" formatCode="0.00%"/>
    <numFmt numFmtId="172" formatCode="[$-409]m/d/yyyy"/>
    <numFmt numFmtId="173" formatCode="_(* #,##0.00_);_(* \(#,##0.00\);_(* \-??_);_(@_)"/>
    <numFmt numFmtId="174" formatCode="0.00"/>
    <numFmt numFmtId="175" formatCode="\$#,##0.00_);[RED]&quot;($&quot;#,##0.00\)"/>
    <numFmt numFmtId="176" formatCode="0%"/>
    <numFmt numFmtId="177" formatCode="_(* #,##0_);_(* \(#,##0\);_(* \-??_);_(@_)"/>
    <numFmt numFmtId="178" formatCode="&quot;@ &amp;&quot;0.00%"/>
    <numFmt numFmtId="179" formatCode="mm/yyyy"/>
    <numFmt numFmtId="180" formatCode="0.0%"/>
    <numFmt numFmtId="181" formatCode="&quot;DR=&quot;0.00%"/>
    <numFmt numFmtId="182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66662767"/>
        <c:axId val="10964669"/>
      </c:scatterChart>
      <c:valAx>
        <c:axId val="666627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64669"/>
        <c:crossesAt val="-0.3"/>
        <c:crossBetween val="midCat"/>
      </c:valAx>
      <c:valAx>
        <c:axId val="1096466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62767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/>
      <c r="B8" s="6" t="n">
        <f aca="false">B6/B7</f>
        <v>11.3</v>
      </c>
      <c r="D8" s="5"/>
    </row>
    <row r="9" customFormat="false" ht="12.75" hidden="false" customHeight="false" outlineLevel="0" collapsed="false">
      <c r="A9" s="2" t="s">
        <v>10</v>
      </c>
      <c r="B9" s="7" t="n">
        <v>45</v>
      </c>
    </row>
    <row r="13" customFormat="false" ht="12.75" hidden="false" customHeight="false" outlineLevel="0" collapsed="false">
      <c r="B13" s="8"/>
    </row>
    <row r="15" customFormat="false" ht="12.75" hidden="false" customHeight="false" outlineLevel="0" collapsed="false">
      <c r="A15" s="0" t="s">
        <v>11</v>
      </c>
      <c r="C15" s="9" t="n">
        <v>0.0488</v>
      </c>
      <c r="D15" s="10" t="n">
        <f aca="false">DiscRate-0.0025</f>
        <v>0.0463</v>
      </c>
      <c r="E15" s="10" t="n">
        <f aca="false">DiscRate-0.005</f>
        <v>0.0438</v>
      </c>
      <c r="F15" s="10" t="n">
        <f aca="false">DiscRate+0.0025</f>
        <v>0.0513</v>
      </c>
      <c r="G15" s="10" t="n">
        <f aca="false">DiscRate+0.005</f>
        <v>0.0538</v>
      </c>
      <c r="H15" s="10" t="n">
        <f aca="false">DiscRate+0.0075</f>
        <v>0.0563</v>
      </c>
    </row>
    <row r="16" customFormat="false" ht="12.75" hidden="false" customHeight="false" outlineLevel="0" collapsed="false">
      <c r="C16" s="11"/>
      <c r="D16" s="11"/>
      <c r="E16" s="11"/>
      <c r="F16" s="11"/>
      <c r="G16" s="11"/>
      <c r="H16" s="11"/>
    </row>
    <row r="17" customFormat="false" ht="12.75" hidden="false" customHeight="false" outlineLevel="0" collapsed="false">
      <c r="A17" s="12"/>
      <c r="C17" s="11"/>
      <c r="D17" s="11"/>
      <c r="E17" s="11"/>
      <c r="F17" s="11"/>
      <c r="G17" s="11"/>
      <c r="H17" s="11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0.215406427835624</v>
      </c>
      <c r="D20" s="15" t="n">
        <f aca="false">D19/POWER(1+discrate2,21.5)</f>
        <v>0.226747447039821</v>
      </c>
      <c r="E20" s="15" t="n">
        <f aca="false">E19/POWER(1+DiscRate3,21.5)</f>
        <v>0.238714863592567</v>
      </c>
      <c r="F20" s="15" t="n">
        <f aca="false">F19/POWER(1+DiscRate4,21.5)</f>
        <v>0.204657641750197</v>
      </c>
      <c r="G20" s="15" t="n">
        <f aca="false">G19/POWER(1+DiscRate5,21.5)</f>
        <v>0.194468862674471</v>
      </c>
      <c r="H20" s="15" t="n">
        <f aca="false">H19/POWER(1+DiscRate6,21.5)</f>
        <v>0.184809688449121</v>
      </c>
    </row>
    <row r="22" customFormat="false" ht="12.75" hidden="false" customHeight="false" outlineLevel="0" collapsed="false">
      <c r="A22" s="0" t="s">
        <v>15</v>
      </c>
      <c r="C22" s="16"/>
    </row>
    <row r="23" customFormat="false" ht="12.75" hidden="false" customHeight="false" outlineLevel="0" collapsed="false">
      <c r="B23" s="2" t="s">
        <v>16</v>
      </c>
      <c r="C23" s="17" t="n">
        <f aca="false">B6</f>
        <v>339</v>
      </c>
      <c r="J23" s="5"/>
    </row>
    <row r="24" customFormat="false" ht="12.75" hidden="false" customHeight="false" outlineLevel="0" collapsed="false">
      <c r="A24" s="18"/>
      <c r="B24" s="19" t="s">
        <v>17</v>
      </c>
      <c r="C24" s="20" t="n">
        <f aca="false">-PV(DiscRate/12,$B$7,$B$6/$B$7,,0)</f>
        <v>318.528351536298</v>
      </c>
      <c r="D24" s="16" t="n">
        <f aca="false">-PV(discrate2/12,$B$7,$B$6/$B$7,,0)</f>
        <v>319.534881633226</v>
      </c>
      <c r="E24" s="16" t="n">
        <f aca="false">-PV(DiscRate3/12,$B$7,$B$6/$B$7,,0)</f>
        <v>320.54583590625</v>
      </c>
      <c r="F24" s="16" t="n">
        <f aca="false">-PV(DiscRate4/12,$B$7,$B$6/$B$7,,0)</f>
        <v>317.526223082538</v>
      </c>
      <c r="G24" s="16" t="n">
        <f aca="false">-PV(DiscRate5/12,$B$7,$B$6/$B$7,,0)</f>
        <v>316.528473865329</v>
      </c>
      <c r="H24" s="16" t="n">
        <f aca="false">-PV(DiscRate6/12,$B$7,$B$6/$B$7,,0)</f>
        <v>315.535081603604</v>
      </c>
      <c r="J24" s="5"/>
    </row>
    <row r="25" customFormat="false" ht="12.75" hidden="false" customHeight="false" outlineLevel="0" collapsed="false">
      <c r="C25" s="21"/>
      <c r="J25" s="22"/>
    </row>
    <row r="26" customFormat="false" ht="12.75" hidden="false" customHeight="false" outlineLevel="0" collapsed="false">
      <c r="A26" s="0" t="s">
        <v>18</v>
      </c>
      <c r="J26" s="22"/>
    </row>
    <row r="27" customFormat="false" ht="12.75" hidden="false" customHeight="false" outlineLevel="0" collapsed="false">
      <c r="B27" s="0" t="s">
        <v>19</v>
      </c>
    </row>
    <row r="28" customFormat="false" ht="12.75" hidden="false" customHeight="false" outlineLevel="0" collapsed="false">
      <c r="B28" s="0" t="s">
        <v>20</v>
      </c>
      <c r="C28" s="23" t="n">
        <f aca="false">PV(DiscRate/2,40,-0.35)</f>
        <v>8.87541966826759</v>
      </c>
      <c r="D28" s="23" t="n">
        <f aca="false">PV(discrate2/2,40,-0.35)</f>
        <v>9.06615242160244</v>
      </c>
      <c r="E28" s="23" t="n">
        <f aca="false">PV(DiscRate3/2,40,-0.35)</f>
        <v>9.26299317600685</v>
      </c>
      <c r="F28" s="23" t="n">
        <f aca="false">PV(DiscRate4/2,40,-0.35)</f>
        <v>8.69057052758831</v>
      </c>
      <c r="G28" s="23" t="n">
        <f aca="false">PV(DiscRate5/2,40,-0.35)</f>
        <v>8.51138973013206</v>
      </c>
      <c r="H28" s="23" t="n">
        <f aca="false">PV(DiscRate6/2,40,-0.35)</f>
        <v>8.33767072778593</v>
      </c>
    </row>
    <row r="29" customFormat="false" ht="12.75" hidden="false" customHeight="false" outlineLevel="0" collapsed="false">
      <c r="B29" s="12" t="s">
        <v>14</v>
      </c>
      <c r="C29" s="15" t="n">
        <f aca="false">C28/POWER(1+DiscRate,20/12)</f>
        <v>8.19787137122852</v>
      </c>
      <c r="D29" s="24" t="n">
        <f aca="false">D28/POWER(1+discrate2,20/12)</f>
        <v>8.40741800916472</v>
      </c>
      <c r="E29" s="24" t="n">
        <f aca="false">E28/POWER(1+DiscRate3,20/12)</f>
        <v>8.62427354927647</v>
      </c>
      <c r="F29" s="24" t="n">
        <f aca="false">F28/POWER(1+DiscRate4,20/12)</f>
        <v>7.99534449745462</v>
      </c>
      <c r="G29" s="24" t="n">
        <f aca="false">G28/POWER(1+DiscRate5,20/12)</f>
        <v>7.79956089659368</v>
      </c>
      <c r="H29" s="24" t="n">
        <f aca="false">H28/POWER(1+DiscRate6,20/12)</f>
        <v>7.61025613034592</v>
      </c>
    </row>
    <row r="30" customFormat="false" ht="12.75" hidden="false" customHeight="false" outlineLevel="0" collapsed="false">
      <c r="B30" s="12"/>
      <c r="C30" s="15"/>
      <c r="D30" s="24"/>
      <c r="E30" s="15"/>
      <c r="F30" s="24"/>
      <c r="G30" s="24"/>
      <c r="H30" s="24"/>
    </row>
    <row r="31" customFormat="false" ht="12.75" hidden="false" customHeight="false" outlineLevel="0" collapsed="false">
      <c r="A31" s="12" t="s">
        <v>21</v>
      </c>
      <c r="C31" s="15" t="n">
        <f aca="false">C20+C29-C24</f>
        <v>-310.115073737233</v>
      </c>
      <c r="D31" s="15" t="n">
        <f aca="false">D20+D29-D24</f>
        <v>-310.900716177022</v>
      </c>
      <c r="E31" s="15" t="n">
        <f aca="false">E20+E29-E24</f>
        <v>-311.682847493381</v>
      </c>
      <c r="F31" s="15" t="n">
        <f aca="false">F20+F29-F24</f>
        <v>-309.326220943333</v>
      </c>
      <c r="G31" s="15" t="n">
        <f aca="false">G20+G29-G24</f>
        <v>-308.534444106061</v>
      </c>
      <c r="H31" s="15" t="n">
        <f aca="false">H20+H29-H24</f>
        <v>-307.740015784809</v>
      </c>
    </row>
    <row r="32" customFormat="false" ht="12.75" hidden="false" customHeight="false" outlineLevel="0" collapsed="false">
      <c r="A32" s="12" t="s">
        <v>22</v>
      </c>
      <c r="C32" s="15" t="n">
        <f aca="false">tixdr0/1000000</f>
        <v>597.45071180101</v>
      </c>
      <c r="D32" s="15" t="n">
        <f aca="false">tixdr2/1000000</f>
        <v>613.412165373305</v>
      </c>
      <c r="E32" s="15" t="n">
        <f aca="false">tixdr3/1000000</f>
        <v>629.960107141598</v>
      </c>
      <c r="F32" s="15" t="n">
        <f aca="false">tixdr4/1000000</f>
        <v>582.051408867264</v>
      </c>
      <c r="G32" s="15" t="n">
        <f aca="false">tixdr5/1000000</f>
        <v>567.191039625139</v>
      </c>
      <c r="H32" s="15" t="n">
        <f aca="false">tixdr6/1000000</f>
        <v>552.847451925058</v>
      </c>
    </row>
    <row r="33" customFormat="false" ht="12.75" hidden="false" customHeight="false" outlineLevel="0" collapsed="false">
      <c r="A33" s="12" t="s">
        <v>23</v>
      </c>
      <c r="C33" s="25" t="n">
        <f aca="false">-C$31/C32</f>
        <v>0.519063861857983</v>
      </c>
      <c r="D33" s="25" t="n">
        <f aca="false">-D31/D32</f>
        <v>0.506838197426059</v>
      </c>
      <c r="E33" s="25" t="n">
        <f aca="false">-E31/E32</f>
        <v>0.494766008132835</v>
      </c>
      <c r="F33" s="25" t="n">
        <f aca="false">-F31/F32</f>
        <v>0.531441409179502</v>
      </c>
      <c r="G33" s="25" t="n">
        <f aca="false">-G31/G32</f>
        <v>0.543969178903062</v>
      </c>
      <c r="H33" s="25" t="n">
        <f aca="false">-H31/H32</f>
        <v>0.556645444802601</v>
      </c>
    </row>
    <row r="34" customFormat="false" ht="12.75" hidden="false" customHeight="false" outlineLevel="0" collapsed="false">
      <c r="A34" s="26" t="s">
        <v>24</v>
      </c>
      <c r="E34" s="15"/>
    </row>
    <row r="35" customFormat="false" ht="12.75" hidden="false" customHeight="false" outlineLevel="0" collapsed="false">
      <c r="A35" s="12" t="s">
        <v>22</v>
      </c>
      <c r="C35" s="15" t="n">
        <f aca="false">attendance!F49/1000000</f>
        <v>554.252334389502</v>
      </c>
      <c r="D35" s="15"/>
      <c r="E35" s="15" t="n">
        <f aca="false">attendance!J49/1000000</f>
        <v>592.223260321612</v>
      </c>
      <c r="F35" s="15"/>
      <c r="G35" s="15" t="n">
        <f aca="false">attendance!N49/1000000</f>
        <v>518.44972948389</v>
      </c>
      <c r="H35" s="15"/>
    </row>
    <row r="36" customFormat="false" ht="12.75" hidden="false" customHeight="false" outlineLevel="0" collapsed="false">
      <c r="A36" s="12" t="s">
        <v>23</v>
      </c>
      <c r="C36" s="25" t="n">
        <f aca="false">-C$31/C35</f>
        <v>0.559519652865006</v>
      </c>
      <c r="D36" s="25"/>
      <c r="E36" s="25" t="n">
        <f aca="false">-E$31/E35</f>
        <v>0.526292816199281</v>
      </c>
      <c r="F36" s="25"/>
      <c r="G36" s="25" t="n">
        <f aca="false">-G$31/G35</f>
        <v>0.595109663598828</v>
      </c>
      <c r="H36" s="25"/>
    </row>
    <row r="37" customFormat="false" ht="12.75" hidden="false" customHeight="false" outlineLevel="0" collapsed="false">
      <c r="A37" s="15"/>
    </row>
    <row r="39" customFormat="false" ht="12.75" hidden="false" customHeight="false" outlineLevel="0" collapsed="false">
      <c r="B39" s="27" t="s">
        <v>25</v>
      </c>
      <c r="C39" s="27" t="s">
        <v>26</v>
      </c>
      <c r="D39" s="27" t="s">
        <v>27</v>
      </c>
    </row>
    <row r="40" customFormat="false" ht="12.75" hidden="false" customHeight="false" outlineLevel="0" collapsed="false">
      <c r="A40" s="28" t="s">
        <v>28</v>
      </c>
      <c r="B40" s="29" t="n">
        <v>1507319</v>
      </c>
      <c r="C40" s="29" t="n">
        <v>1686234</v>
      </c>
      <c r="D40" s="29" t="n">
        <f aca="false">(C40*6+B40*4)/10</f>
        <v>1614668</v>
      </c>
    </row>
    <row r="41" customFormat="false" ht="12.75" hidden="false" customHeight="false" outlineLevel="0" collapsed="false">
      <c r="A41" s="0" t="s">
        <v>29</v>
      </c>
      <c r="B41" s="16" t="n">
        <v>2.4</v>
      </c>
      <c r="C41" s="0" t="n">
        <v>2.34</v>
      </c>
      <c r="D41" s="30" t="n">
        <f aca="false">(C41*6+B41*4)/10</f>
        <v>2.364</v>
      </c>
    </row>
    <row r="42" customFormat="false" ht="12.75" hidden="false" customHeight="false" outlineLevel="0" collapsed="false">
      <c r="D42" s="29"/>
    </row>
    <row r="43" customFormat="false" ht="12.75" hidden="false" customHeight="false" outlineLevel="0" collapsed="false">
      <c r="A43" s="0" t="s">
        <v>11</v>
      </c>
      <c r="C43" s="9" t="n">
        <v>0.0488</v>
      </c>
      <c r="D43" s="31" t="n">
        <f aca="false">DiscRate-0.0025</f>
        <v>0.0463</v>
      </c>
      <c r="E43" s="31" t="n">
        <f aca="false">DiscRate-0.005</f>
        <v>0.0438</v>
      </c>
      <c r="F43" s="31" t="n">
        <f aca="false">DiscRate+0.0025</f>
        <v>0.0513</v>
      </c>
      <c r="G43" s="31" t="n">
        <f aca="false">DiscRate+0.005</f>
        <v>0.0538</v>
      </c>
      <c r="H43" s="31" t="n">
        <f aca="false">DiscRate+0.0075</f>
        <v>0.0563</v>
      </c>
    </row>
    <row r="44" customFormat="false" ht="12.75" hidden="false" customHeight="false" outlineLevel="0" collapsed="false">
      <c r="A44" s="32" t="s">
        <v>30</v>
      </c>
      <c r="C44" s="8" t="n">
        <f aca="false">C24*1000000/$D$40</f>
        <v>197.271731115187</v>
      </c>
      <c r="D44" s="8" t="n">
        <f aca="false">D24*1000000/$D$40</f>
        <v>197.895097712487</v>
      </c>
      <c r="E44" s="8" t="n">
        <f aca="false">E24*1000000/$D$40</f>
        <v>198.521204300977</v>
      </c>
      <c r="F44" s="8" t="n">
        <f aca="false">F24*1000000/$D$40</f>
        <v>196.651090553933</v>
      </c>
      <c r="G44" s="8" t="n">
        <f aca="false">G24*1000000/$D$40</f>
        <v>196.033162151804</v>
      </c>
      <c r="H44" s="8" t="n">
        <f aca="false">H24*1000000/$D$40</f>
        <v>195.417932109637</v>
      </c>
    </row>
    <row r="45" customFormat="false" ht="12.75" hidden="false" customHeight="false" outlineLevel="0" collapsed="false">
      <c r="A45" s="0" t="s">
        <v>29</v>
      </c>
      <c r="C45" s="15" t="n">
        <f aca="false">$D$41</f>
        <v>2.364</v>
      </c>
      <c r="D45" s="15" t="n">
        <f aca="false">$D$41</f>
        <v>2.364</v>
      </c>
      <c r="E45" s="15" t="n">
        <f aca="false">$D$41</f>
        <v>2.364</v>
      </c>
      <c r="F45" s="15" t="n">
        <f aca="false">$D$41</f>
        <v>2.364</v>
      </c>
      <c r="G45" s="15" t="n">
        <f aca="false">$D$41</f>
        <v>2.364</v>
      </c>
      <c r="H45" s="15" t="n">
        <f aca="false">$D$41</f>
        <v>2.364</v>
      </c>
    </row>
    <row r="46" customFormat="false" ht="12.75" hidden="false" customHeight="false" outlineLevel="0" collapsed="false">
      <c r="A46" s="32" t="s">
        <v>31</v>
      </c>
      <c r="C46" s="8" t="n">
        <f aca="false">C44*C45</f>
        <v>466.350372356303</v>
      </c>
      <c r="D46" s="8" t="n">
        <f aca="false">D44*D45</f>
        <v>467.82401099232</v>
      </c>
      <c r="E46" s="8" t="n">
        <f aca="false">E44*E45</f>
        <v>469.30412696751</v>
      </c>
      <c r="F46" s="8" t="n">
        <f aca="false">F44*F45</f>
        <v>464.883178069497</v>
      </c>
      <c r="G46" s="8" t="n">
        <f aca="false">G44*G45</f>
        <v>463.422395326864</v>
      </c>
      <c r="H46" s="8" t="n">
        <f aca="false">H44*H45</f>
        <v>461.967991507182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 t="s">
        <v>32</v>
      </c>
      <c r="B8" s="33" t="n">
        <f aca="false">B6/B7</f>
        <v>11.3</v>
      </c>
      <c r="D8" s="5"/>
    </row>
    <row r="9" customFormat="false" ht="12.75" hidden="false" customHeight="false" outlineLevel="0" collapsed="false">
      <c r="A9" s="2"/>
      <c r="B9" s="7"/>
    </row>
    <row r="15" customFormat="false" ht="12.75" hidden="false" customHeight="false" outlineLevel="0" collapsed="false">
      <c r="A15" s="0" t="s">
        <v>33</v>
      </c>
      <c r="C15" s="9" t="n">
        <v>0.0488</v>
      </c>
      <c r="D15" s="10" t="n">
        <f aca="false">DiscRate-0.0025</f>
        <v>0.0463</v>
      </c>
      <c r="E15" s="10" t="n">
        <f aca="false">DiscRate-0.005</f>
        <v>0.0438</v>
      </c>
      <c r="F15" s="10" t="n">
        <f aca="false">DiscRate+0.0025</f>
        <v>0.0513</v>
      </c>
      <c r="G15" s="10" t="n">
        <f aca="false">DiscRate+0.005</f>
        <v>0.0538</v>
      </c>
      <c r="H15" s="10" t="n">
        <f aca="false">DiscRate+0.0075</f>
        <v>0.0563</v>
      </c>
    </row>
    <row r="16" customFormat="false" ht="12.75" hidden="false" customHeight="false" outlineLevel="0" collapsed="false">
      <c r="A16" s="0" t="s">
        <v>34</v>
      </c>
      <c r="C16" s="34" t="n">
        <v>0.057</v>
      </c>
      <c r="D16" s="35" t="n">
        <f aca="false">discrate2+($C$16-DiscRate)</f>
        <v>0.0545</v>
      </c>
      <c r="E16" s="35" t="n">
        <f aca="false">DiscRate3+($C$16-DiscRate)</f>
        <v>0.052</v>
      </c>
      <c r="F16" s="35" t="n">
        <f aca="false">DiscRate4+($C$16-DiscRate)</f>
        <v>0.0595</v>
      </c>
      <c r="G16" s="35" t="n">
        <f aca="false">DiscRate5+($C$16-DiscRate)</f>
        <v>0.062</v>
      </c>
      <c r="H16" s="35" t="n">
        <f aca="false">DiscRate6+($C$16-DiscRate)</f>
        <v>0.0645</v>
      </c>
    </row>
    <row r="17" customFormat="false" ht="12.75" hidden="false" customHeight="false" outlineLevel="0" collapsed="false">
      <c r="C17" s="16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0.215406427835624</v>
      </c>
      <c r="D20" s="15" t="n">
        <f aca="false">D19/POWER(1+discrate2,21.5)</f>
        <v>0.226747447039821</v>
      </c>
      <c r="E20" s="15" t="n">
        <f aca="false">E19/POWER(1+DiscRate3,21.5)</f>
        <v>0.238714863592567</v>
      </c>
      <c r="F20" s="15" t="n">
        <f aca="false">F19/POWER(1+DiscRate4,21.5)</f>
        <v>0.204657641750197</v>
      </c>
      <c r="G20" s="15" t="n">
        <f aca="false">G19/POWER(1+DiscRate5,21.5)</f>
        <v>0.194468862674471</v>
      </c>
      <c r="H20" s="15" t="n">
        <f aca="false">H19/POWER(1+DiscRate6,21.5)</f>
        <v>0.184809688449121</v>
      </c>
    </row>
    <row r="21" customFormat="false" ht="12.75" hidden="false" customHeight="false" outlineLevel="0" collapsed="false">
      <c r="C21" s="15"/>
      <c r="D21" s="15"/>
      <c r="E21" s="15"/>
      <c r="F21" s="15"/>
      <c r="G21" s="15"/>
      <c r="H21" s="15"/>
    </row>
    <row r="22" customFormat="false" ht="12.75" hidden="false" customHeight="false" outlineLevel="0" collapsed="false">
      <c r="A22" s="0" t="s">
        <v>15</v>
      </c>
    </row>
    <row r="23" customFormat="false" ht="12.75" hidden="false" customHeight="false" outlineLevel="0" collapsed="false">
      <c r="B23" s="2" t="s">
        <v>16</v>
      </c>
      <c r="C23" s="16" t="n">
        <v>339</v>
      </c>
      <c r="D23" s="16"/>
      <c r="E23" s="16"/>
      <c r="F23" s="16"/>
      <c r="G23" s="16"/>
      <c r="H23" s="16"/>
      <c r="J23" s="5"/>
    </row>
    <row r="24" customFormat="false" ht="12.75" hidden="false" customHeight="false" outlineLevel="0" collapsed="false">
      <c r="A24" s="18"/>
      <c r="B24" s="19" t="s">
        <v>35</v>
      </c>
      <c r="C24" s="16" t="n">
        <f aca="false">-PV(DiscRate/12,$B$7,$B$6/$B$7,,0)</f>
        <v>318.528351536298</v>
      </c>
      <c r="D24" s="16" t="n">
        <f aca="false">-PV(discrate2/12,$B$7,$B$6/$B$7,,0)</f>
        <v>319.534881633226</v>
      </c>
      <c r="E24" s="16" t="n">
        <f aca="false">-PV(DiscRate3/12,$B$7,$B$6/$B$7,,0)</f>
        <v>320.54583590625</v>
      </c>
      <c r="F24" s="16" t="n">
        <f aca="false">-PV(DiscRate4/12,$B$7,$B$6/$B$7,,0)</f>
        <v>317.526223082538</v>
      </c>
      <c r="G24" s="16" t="n">
        <f aca="false">-PV(DiscRate5/12,$B$7,$B$6/$B$7,,0)</f>
        <v>316.528473865329</v>
      </c>
      <c r="H24" s="16" t="n">
        <f aca="false">-PV(DiscRate6/12,$B$7,$B$6/$B$7,,0)</f>
        <v>315.535081603604</v>
      </c>
      <c r="J24" s="5"/>
    </row>
    <row r="25" customFormat="false" ht="12.75" hidden="false" customHeight="false" outlineLevel="0" collapsed="false">
      <c r="A25" s="18"/>
      <c r="B25" s="19"/>
      <c r="C25" s="16"/>
      <c r="D25" s="16"/>
      <c r="E25" s="16"/>
      <c r="F25" s="16"/>
      <c r="G25" s="16"/>
      <c r="H25" s="16"/>
      <c r="J25" s="5"/>
    </row>
    <row r="26" customFormat="false" ht="12.75" hidden="false" customHeight="false" outlineLevel="0" collapsed="false">
      <c r="A26" s="36" t="s">
        <v>36</v>
      </c>
      <c r="B26" s="19"/>
      <c r="C26" s="16"/>
      <c r="D26" s="16"/>
      <c r="E26" s="16"/>
      <c r="F26" s="16"/>
      <c r="G26" s="16"/>
      <c r="H26" s="16"/>
      <c r="J26" s="5"/>
    </row>
    <row r="27" customFormat="false" ht="12.75" hidden="false" customHeight="false" outlineLevel="0" collapsed="false">
      <c r="A27" s="36" t="s">
        <v>37</v>
      </c>
      <c r="B27" s="19"/>
      <c r="C27" s="16" t="n">
        <f aca="false">'tax rev'!C23/1000000</f>
        <v>350.472549334452</v>
      </c>
      <c r="D27" s="16" t="n">
        <f aca="false">'tax rev'!D23/1000000</f>
        <v>358.008851154605</v>
      </c>
      <c r="E27" s="16" t="n">
        <f aca="false">'tax rev'!E23/1000000</f>
        <v>365.788328825356</v>
      </c>
      <c r="F27" s="16" t="n">
        <f aca="false">'tax rev'!F23/1000000</f>
        <v>343.170429281532</v>
      </c>
      <c r="G27" s="16" t="n">
        <f aca="false">'tax rev'!G23/1000000</f>
        <v>336.093868374683</v>
      </c>
      <c r="H27" s="16" t="n">
        <f aca="false">'tax rev'!H23/1000000</f>
        <v>329.234598777658</v>
      </c>
      <c r="J27" s="5"/>
    </row>
    <row r="28" customFormat="false" ht="12.75" hidden="false" customHeight="false" outlineLevel="0" collapsed="false">
      <c r="A28" s="0" t="s">
        <v>38</v>
      </c>
      <c r="B28" s="16"/>
      <c r="C28" s="16" t="n">
        <f aca="false">('tax rev'!C23/(C16/DiscRate*(1-POWER(1+DiscRate,-20))+POWER(1+DiscRate,-20)))/1000000</f>
        <v>317.676301817471</v>
      </c>
      <c r="D28" s="16" t="n">
        <f aca="false">('tax rev'!D23/(D16/discrate2*(1-POWER(1+discrate2,-20))+POWER(1+discrate2,-20)))/1000000</f>
        <v>323.851102761966</v>
      </c>
      <c r="E28" s="16" t="n">
        <f aca="false">('tax rev'!E23/(E16/DiscRate3*(1-POWER(1+DiscRate3,-20))+POWER(1+DiscRate3,-20)))/1000000</f>
        <v>330.198567753616</v>
      </c>
      <c r="F28" s="16" t="n">
        <f aca="false">('tax rev'!F23/(F16/DiscRate4*(1-POWER(1+DiscRate4,-20))+POWER(1+DiscRate4,-20)))/1000000</f>
        <v>311.669087583747</v>
      </c>
      <c r="G28" s="16" t="n">
        <f aca="false">('tax rev'!G23/(G16/DiscRate5*(1-POWER(1+DiscRate5,-20))+POWER(1+DiscRate5,-20)))/1000000</f>
        <v>305.82451845255</v>
      </c>
      <c r="H28" s="16" t="n">
        <f aca="false">('tax rev'!H23/(H16/DiscRate6*(1-POWER(1+DiscRate6,-20))+POWER(1+DiscRate6,-20)))/1000000</f>
        <v>300.13778682579</v>
      </c>
      <c r="J28" s="5"/>
    </row>
    <row r="29" customFormat="false" ht="12.75" hidden="false" customHeight="false" outlineLevel="0" collapsed="false">
      <c r="C29" s="15"/>
      <c r="J29" s="22"/>
    </row>
    <row r="30" customFormat="false" ht="12.75" hidden="false" customHeight="false" outlineLevel="0" collapsed="false">
      <c r="A30" s="0" t="s">
        <v>18</v>
      </c>
      <c r="J30" s="22"/>
    </row>
    <row r="31" customFormat="false" ht="12.75" hidden="false" customHeight="false" outlineLevel="0" collapsed="false">
      <c r="B31" s="0" t="s">
        <v>19</v>
      </c>
      <c r="C31" s="22"/>
      <c r="D31" s="23"/>
      <c r="E31" s="23"/>
      <c r="F31" s="23"/>
      <c r="G31" s="23"/>
      <c r="H31" s="23"/>
    </row>
    <row r="32" customFormat="false" ht="12.75" hidden="false" customHeight="false" outlineLevel="0" collapsed="false">
      <c r="B32" s="12" t="s">
        <v>39</v>
      </c>
      <c r="C32" s="23" t="n">
        <f aca="false">PV(DiscRate/2,40,-0.35)</f>
        <v>8.87541966826759</v>
      </c>
      <c r="D32" s="23" t="n">
        <f aca="false">PV(discrate2/2,40,-0.35)</f>
        <v>9.06615242160244</v>
      </c>
      <c r="E32" s="23" t="n">
        <f aca="false">PV(DiscRate3/2,40,-0.35)</f>
        <v>9.26299317600685</v>
      </c>
      <c r="F32" s="23" t="n">
        <f aca="false">PV(DiscRate4/2,40,-0.35)</f>
        <v>8.69057052758831</v>
      </c>
      <c r="G32" s="23" t="n">
        <f aca="false">PV(DiscRate5/2,40,-0.35)</f>
        <v>8.51138973013206</v>
      </c>
      <c r="H32" s="23" t="n">
        <f aca="false">PV(DiscRate6/2,40,-0.35)</f>
        <v>8.33767072778593</v>
      </c>
    </row>
    <row r="33" customFormat="false" ht="12.75" hidden="false" customHeight="false" outlineLevel="0" collapsed="false">
      <c r="A33" s="12"/>
      <c r="B33" s="12" t="s">
        <v>14</v>
      </c>
      <c r="C33" s="15" t="n">
        <f aca="false">C32/POWER(1+DiscRate,20/12)</f>
        <v>8.19787137122852</v>
      </c>
      <c r="D33" s="24" t="n">
        <f aca="false">D32/POWER(1+discrate2,20/12)</f>
        <v>8.40741800916472</v>
      </c>
      <c r="E33" s="24" t="n">
        <f aca="false">E32/POWER(1+DiscRate3,20/12)</f>
        <v>8.62427354927647</v>
      </c>
      <c r="F33" s="24" t="n">
        <f aca="false">F32/POWER(1+DiscRate4,20/12)</f>
        <v>7.99534449745462</v>
      </c>
      <c r="G33" s="24" t="n">
        <f aca="false">G32/POWER(1+DiscRate5,20/12)</f>
        <v>7.79956089659368</v>
      </c>
      <c r="H33" s="24" t="n">
        <f aca="false">H32/POWER(1+DiscRate6,20/12)</f>
        <v>7.61025613034592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 t="s">
        <v>21</v>
      </c>
      <c r="C35" s="15" t="n">
        <f aca="false">C20+C33+C28-C24</f>
        <v>7.56122808023719</v>
      </c>
      <c r="D35" s="15" t="n">
        <f aca="false">D20+D33+D28-D24</f>
        <v>12.9503865849439</v>
      </c>
      <c r="E35" s="15" t="n">
        <f aca="false">E20+E33+E28-E24</f>
        <v>18.5157202602344</v>
      </c>
      <c r="F35" s="15" t="n">
        <f aca="false">F20+F33+F28-F24</f>
        <v>2.34286664041446</v>
      </c>
      <c r="G35" s="15" t="n">
        <f aca="false">G20+G33+G28-G24</f>
        <v>-2.70992565351054</v>
      </c>
      <c r="H35" s="15" t="n">
        <f aca="false">H20+H33+H28-H24</f>
        <v>-7.60222895901876</v>
      </c>
    </row>
    <row r="36" customFormat="false" ht="12.75" hidden="false" customHeight="false" outlineLevel="0" collapsed="false">
      <c r="A3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32"/>
      <c r="B1" s="32"/>
      <c r="C1" s="37" t="s">
        <v>40</v>
      </c>
      <c r="D1" s="37" t="s">
        <v>40</v>
      </c>
      <c r="E1" s="37" t="s">
        <v>40</v>
      </c>
      <c r="F1" s="37" t="s">
        <v>40</v>
      </c>
      <c r="G1" s="37" t="s">
        <v>40</v>
      </c>
      <c r="H1" s="37" t="s">
        <v>40</v>
      </c>
    </row>
    <row r="2" customFormat="false" ht="12.75" hidden="false" customHeight="false" outlineLevel="0" collapsed="false">
      <c r="A2" s="38" t="s">
        <v>41</v>
      </c>
      <c r="B2" s="32"/>
      <c r="C2" s="39" t="n">
        <f aca="false">'facts premium'!C16</f>
        <v>0.057</v>
      </c>
      <c r="D2" s="39" t="n">
        <f aca="false">'facts premium'!D16</f>
        <v>0.0545</v>
      </c>
      <c r="E2" s="39" t="n">
        <f aca="false">'facts premium'!E16</f>
        <v>0.052</v>
      </c>
      <c r="F2" s="39" t="n">
        <f aca="false">'facts premium'!F16</f>
        <v>0.0595</v>
      </c>
      <c r="G2" s="39" t="n">
        <f aca="false">'facts premium'!G16</f>
        <v>0.062</v>
      </c>
      <c r="H2" s="39" t="n">
        <f aca="false">'facts premium'!H16</f>
        <v>0.0645</v>
      </c>
    </row>
    <row r="3" customFormat="false" ht="12.75" hidden="false" customHeight="false" outlineLevel="0" collapsed="false">
      <c r="A3" s="37" t="n">
        <v>1996</v>
      </c>
      <c r="B3" s="29" t="n">
        <v>4602104</v>
      </c>
      <c r="C3" s="29" t="n">
        <f aca="false">$B3/(POWER(1+'facts premium'!C$16,($A3-1996.5)))</f>
        <v>4731446.37682226</v>
      </c>
      <c r="D3" s="29" t="n">
        <f aca="false">$B3/(POWER(1+'facts premium'!D$16,($A3-1996.5)))</f>
        <v>4725847.69260262</v>
      </c>
      <c r="E3" s="29" t="n">
        <f aca="false">$B3/(POWER(1+'facts premium'!E$16,($A3-1996.5)))</f>
        <v>4720242.36778266</v>
      </c>
      <c r="F3" s="29" t="n">
        <f aca="false">$B3/(POWER(1+'facts premium'!F$16,($A3-1996.5)))</f>
        <v>4737038.44398708</v>
      </c>
      <c r="G3" s="29" t="n">
        <f aca="false">$B3/(POWER(1+'facts premium'!G$16,($A3-1996.5)))</f>
        <v>4742623.91750375</v>
      </c>
      <c r="H3" s="29" t="n">
        <f aca="false">$B3/(POWER(1+'facts premium'!H$16,($A3-1996.5)))</f>
        <v>4748202.82064126</v>
      </c>
    </row>
    <row r="4" customFormat="false" ht="12.75" hidden="false" customHeight="false" outlineLevel="0" collapsed="false">
      <c r="A4" s="37" t="n">
        <v>1997</v>
      </c>
      <c r="B4" s="29" t="n">
        <v>19893231</v>
      </c>
      <c r="C4" s="29" t="n">
        <f aca="false">$B4/(POWER(1+'facts premium'!C$16,($A4-1996.5)))</f>
        <v>19349414.6750769</v>
      </c>
      <c r="D4" s="29" t="n">
        <f aca="false">$B4/(POWER(1+'facts premium'!D$16,($A4-1996.5)))</f>
        <v>19372337.8138759</v>
      </c>
      <c r="E4" s="29" t="n">
        <f aca="false">$B4/(POWER(1+'facts premium'!E$16,($A4-1996.5)))</f>
        <v>19395342.6169153</v>
      </c>
      <c r="F4" s="29" t="n">
        <f aca="false">$B4/(POWER(1+'facts premium'!F$16,($A4-1996.5)))</f>
        <v>19326572.7184953</v>
      </c>
      <c r="G4" s="29" t="n">
        <f aca="false">$B4/(POWER(1+'facts premium'!G$16,($A4-1996.5)))</f>
        <v>19303811.4660821</v>
      </c>
      <c r="H4" s="29" t="n">
        <f aca="false">$B4/(POWER(1+'facts premium'!H$16,($A4-1996.5)))</f>
        <v>19281130.4437201</v>
      </c>
    </row>
    <row r="5" customFormat="false" ht="12.75" hidden="false" customHeight="false" outlineLevel="0" collapsed="false">
      <c r="A5" s="37" t="n">
        <v>1998</v>
      </c>
      <c r="B5" s="29" t="n">
        <v>20428789</v>
      </c>
      <c r="C5" s="29" t="n">
        <f aca="false">$B5/(POWER(1+'facts premium'!C$16,($A5-1996.5)))</f>
        <v>18798800.6232539</v>
      </c>
      <c r="D5" s="29" t="n">
        <f aca="false">$B5/(POWER(1+'facts premium'!D$16,($A5-1996.5)))</f>
        <v>18865692.2954992</v>
      </c>
      <c r="E5" s="29" t="n">
        <f aca="false">$B5/(POWER(1+'facts premium'!E$16,($A5-1996.5)))</f>
        <v>18932981.6114092</v>
      </c>
      <c r="F5" s="29" t="n">
        <f aca="false">$B5/(POWER(1+'facts premium'!F$16,($A5-1996.5)))</f>
        <v>18732303.3126276</v>
      </c>
      <c r="G5" s="29" t="n">
        <f aca="false">$B5/(POWER(1+'facts premium'!G$16,($A5-1996.5)))</f>
        <v>18666197.116322</v>
      </c>
      <c r="H5" s="29" t="n">
        <f aca="false">$B5/(POWER(1+'facts premium'!H$16,($A5-1996.5)))</f>
        <v>18600478.8213368</v>
      </c>
    </row>
    <row r="6" customFormat="false" ht="12.75" hidden="false" customHeight="false" outlineLevel="0" collapsed="false">
      <c r="A6" s="37" t="n">
        <v>1999</v>
      </c>
      <c r="B6" s="29" t="n">
        <v>24715328</v>
      </c>
      <c r="C6" s="29" t="n">
        <f aca="false">$B6/(POWER(1+'facts premium'!C$16,($A6-1996.5)))</f>
        <v>21516860.7934653</v>
      </c>
      <c r="D6" s="29" t="n">
        <f aca="false">$B6/(POWER(1+'facts premium'!D$16,($A6-1996.5)))</f>
        <v>21644617.6385632</v>
      </c>
      <c r="E6" s="29" t="n">
        <f aca="false">$B6/(POWER(1+'facts premium'!E$16,($A6-1996.5)))</f>
        <v>21773438.9939294</v>
      </c>
      <c r="F6" s="29" t="n">
        <f aca="false">$B6/(POWER(1+'facts premium'!F$16,($A6-1996.5)))</f>
        <v>21390157.175447</v>
      </c>
      <c r="G6" s="29" t="n">
        <f aca="false">$B6/(POWER(1+'facts premium'!G$16,($A6-1996.5)))</f>
        <v>21264495.6471477</v>
      </c>
      <c r="H6" s="29" t="n">
        <f aca="false">$B6/(POWER(1+'facts premium'!H$16,($A6-1996.5)))</f>
        <v>21139865.214813</v>
      </c>
    </row>
    <row r="7" customFormat="false" ht="12.75" hidden="false" customHeight="false" outlineLevel="0" collapsed="false">
      <c r="A7" s="37" t="n">
        <v>2000</v>
      </c>
      <c r="B7" s="29" t="n">
        <v>25091313</v>
      </c>
      <c r="C7" s="29" t="n">
        <f aca="false">$B7/(POWER(1+'facts premium'!C$16,($A7-1996.5)))</f>
        <v>20666214.4876328</v>
      </c>
      <c r="D7" s="29" t="n">
        <f aca="false">$B7/(POWER(1+'facts premium'!D$16,($A7-1996.5)))</f>
        <v>20838206.8045665</v>
      </c>
      <c r="E7" s="29" t="n">
        <f aca="false">$B7/(POWER(1+'facts premium'!E$16,($A7-1996.5)))</f>
        <v>21012043.8608995</v>
      </c>
      <c r="F7" s="29" t="n">
        <f aca="false">$B7/(POWER(1+'facts premium'!F$16,($A7-1996.5)))</f>
        <v>20496043.0399883</v>
      </c>
      <c r="G7" s="29" t="n">
        <f aca="false">$B7/(POWER(1+'facts premium'!G$16,($A7-1996.5)))</f>
        <v>20327668.9556929</v>
      </c>
      <c r="H7" s="29" t="n">
        <f aca="false">$B7/(POWER(1+'facts premium'!H$16,($A7-1996.5)))</f>
        <v>20161069.0865798</v>
      </c>
    </row>
    <row r="8" customFormat="false" ht="12.75" hidden="false" customHeight="false" outlineLevel="0" collapsed="false">
      <c r="A8" s="37" t="n">
        <v>2001</v>
      </c>
      <c r="B8" s="29" t="n">
        <v>25488810</v>
      </c>
      <c r="C8" s="29" t="n">
        <f aca="false">$B8/(POWER(1+'facts premium'!C$16,($A8-1996.5)))</f>
        <v>19861503.3141202</v>
      </c>
      <c r="D8" s="29" t="n">
        <f aca="false">$B8/(POWER(1+'facts premium'!D$16,($A8-1996.5)))</f>
        <v>20074277.8806248</v>
      </c>
      <c r="E8" s="29" t="n">
        <f aca="false">$B8/(POWER(1+'facts premium'!E$16,($A8-1996.5)))</f>
        <v>20289845.0674946</v>
      </c>
      <c r="F8" s="29" t="n">
        <f aca="false">$B8/(POWER(1+'facts premium'!F$16,($A8-1996.5)))</f>
        <v>19651478.7130365</v>
      </c>
      <c r="G8" s="29" t="n">
        <f aca="false">$B8/(POWER(1+'facts premium'!G$16,($A8-1996.5)))</f>
        <v>19444162.1724187</v>
      </c>
      <c r="H8" s="29" t="n">
        <f aca="false">$B8/(POWER(1+'facts premium'!H$16,($A8-1996.5)))</f>
        <v>19239512.5223899</v>
      </c>
    </row>
    <row r="9" customFormat="false" ht="12.75" hidden="false" customHeight="false" outlineLevel="0" collapsed="false">
      <c r="A9" s="37" t="n">
        <v>2002</v>
      </c>
      <c r="B9" s="29" t="n">
        <v>26244265</v>
      </c>
      <c r="C9" s="29" t="n">
        <f aca="false">$B9/(POWER(1+'facts premium'!C$16,($A9-1996.5)))</f>
        <v>19347372.09276</v>
      </c>
      <c r="D9" s="29" t="n">
        <f aca="false">$B9/(POWER(1+'facts premium'!D$16,($A9-1996.5)))</f>
        <v>19600998.7942016</v>
      </c>
      <c r="E9" s="29" t="n">
        <f aca="false">$B9/(POWER(1+'facts premium'!E$16,($A9-1996.5)))</f>
        <v>19858564.2061835</v>
      </c>
      <c r="F9" s="29" t="n">
        <f aca="false">$B9/(POWER(1+'facts premium'!F$16,($A9-1996.5)))</f>
        <v>19097614.7677295</v>
      </c>
      <c r="G9" s="29" t="n">
        <f aca="false">$B9/(POWER(1+'facts premium'!G$16,($A9-1996.5)))</f>
        <v>18851658.8649798</v>
      </c>
      <c r="H9" s="29" t="n">
        <f aca="false">$B9/(POWER(1+'facts premium'!H$16,($A9-1996.5)))</f>
        <v>18609437.7797526</v>
      </c>
    </row>
    <row r="10" customFormat="false" ht="12.75" hidden="false" customHeight="false" outlineLevel="0" collapsed="false">
      <c r="A10" s="37" t="n">
        <v>2003</v>
      </c>
      <c r="B10" s="29" t="n">
        <v>27316484</v>
      </c>
      <c r="C10" s="29" t="n">
        <f aca="false">$B10/(POWER(1+'facts premium'!C$16,($A10-1996.5)))</f>
        <v>19051860.0022999</v>
      </c>
      <c r="D10" s="29" t="n">
        <f aca="false">$B10/(POWER(1+'facts premium'!D$16,($A10-1996.5)))</f>
        <v>19347372.9114131</v>
      </c>
      <c r="E10" s="29" t="n">
        <f aca="false">$B10/(POWER(1+'facts premium'!E$16,($A10-1996.5)))</f>
        <v>19648187.3343463</v>
      </c>
      <c r="F10" s="29" t="n">
        <f aca="false">$B10/(POWER(1+'facts premium'!F$16,($A10-1996.5)))</f>
        <v>18761542.9645775</v>
      </c>
      <c r="G10" s="29" t="n">
        <f aca="false">$B10/(POWER(1+'facts premium'!G$16,($A10-1996.5)))</f>
        <v>18476318.503089</v>
      </c>
      <c r="H10" s="29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37" t="n">
        <v>2004</v>
      </c>
      <c r="B11" s="29" t="n">
        <v>28432512</v>
      </c>
      <c r="C11" s="29" t="n">
        <f aca="false">$B11/(POWER(1+'facts premium'!C$16,($A11-1996.5)))</f>
        <v>18760863.6156497</v>
      </c>
      <c r="D11" s="29" t="n">
        <f aca="false">$B11/(POWER(1+'facts premium'!D$16,($A11-1996.5)))</f>
        <v>19097030.8884702</v>
      </c>
      <c r="E11" s="29" t="n">
        <f aca="false">$B11/(POWER(1+'facts premium'!E$16,($A11-1996.5)))</f>
        <v>19440041.2659135</v>
      </c>
      <c r="F11" s="29" t="n">
        <f aca="false">$B11/(POWER(1+'facts premium'!F$16,($A11-1996.5)))</f>
        <v>18431387.2230199</v>
      </c>
      <c r="G11" s="29" t="n">
        <f aca="false">$B11/(POWER(1+'facts premium'!G$16,($A11-1996.5)))</f>
        <v>18108453.2200618</v>
      </c>
      <c r="H11" s="29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37" t="n">
        <v>2005</v>
      </c>
      <c r="B12" s="29" t="n">
        <v>29594139</v>
      </c>
      <c r="C12" s="29" t="n">
        <f aca="false">$B12/(POWER(1+'facts premium'!C$16,($A12-1996.5)))</f>
        <v>18474313.8435605</v>
      </c>
      <c r="D12" s="29" t="n">
        <f aca="false">$B12/(POWER(1+'facts premium'!D$16,($A12-1996.5)))</f>
        <v>18849930.1252799</v>
      </c>
      <c r="E12" s="29" t="n">
        <f aca="false">$B12/(POWER(1+'facts premium'!E$16,($A12-1996.5)))</f>
        <v>19234102.2673564</v>
      </c>
      <c r="F12" s="29" t="n">
        <f aca="false">$B12/(POWER(1+'facts premium'!F$16,($A12-1996.5)))</f>
        <v>18107043.3111988</v>
      </c>
      <c r="G12" s="29" t="n">
        <f aca="false">$B12/(POWER(1+'facts premium'!G$16,($A12-1996.5)))</f>
        <v>17747914.0552132</v>
      </c>
      <c r="H12" s="29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37" t="n">
        <v>2006</v>
      </c>
      <c r="B13" s="29" t="n">
        <v>30803229</v>
      </c>
      <c r="C13" s="29" t="n">
        <f aca="false">$B13/(POWER(1+'facts premium'!C$16,($A13-1996.5)))</f>
        <v>18192143.1661757</v>
      </c>
      <c r="D13" s="29" t="n">
        <f aca="false">$B13/(POWER(1+'facts premium'!D$16,($A13-1996.5)))</f>
        <v>18606029.0979804</v>
      </c>
      <c r="E13" s="29" t="n">
        <f aca="false">$B13/(POWER(1+'facts premium'!E$16,($A13-1996.5)))</f>
        <v>19030347.3928008</v>
      </c>
      <c r="F13" s="29" t="n">
        <f aca="false">$B13/(POWER(1+'facts premium'!F$16,($A13-1996.5)))</f>
        <v>17788409.3350376</v>
      </c>
      <c r="G13" s="29" t="n">
        <f aca="false">$B13/(POWER(1+'facts premium'!G$16,($A13-1996.5)))</f>
        <v>17394555.5069872</v>
      </c>
      <c r="H13" s="29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37" t="n">
        <v>2007</v>
      </c>
      <c r="B14" s="29" t="n">
        <v>32061720</v>
      </c>
      <c r="C14" s="29" t="n">
        <f aca="false">$B14/(POWER(1+'facts premium'!C$16,($A14-1996.5)))</f>
        <v>17914283.8096592</v>
      </c>
      <c r="D14" s="29" t="n">
        <f aca="false">$B14/(POWER(1+'facts premium'!D$16,($A14-1996.5)))</f>
        <v>18365285.5052951</v>
      </c>
      <c r="E14" s="29" t="n">
        <f aca="false">$B14/(POWER(1+'facts premium'!E$16,($A14-1996.5)))</f>
        <v>18828752.594637</v>
      </c>
      <c r="F14" s="29" t="n">
        <f aca="false">$B14/(POWER(1+'facts premium'!F$16,($A14-1996.5)))</f>
        <v>17475383.9370369</v>
      </c>
      <c r="G14" s="29" t="n">
        <f aca="false">$B14/(POWER(1+'facts premium'!G$16,($A14-1996.5)))</f>
        <v>17048233.7424007</v>
      </c>
      <c r="H14" s="29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37" t="n">
        <v>2008</v>
      </c>
      <c r="B15" s="29" t="n">
        <v>33371633</v>
      </c>
      <c r="C15" s="29" t="n">
        <f aca="false">$B15/(POWER(1+'facts premium'!C$16,($A15-1996.5)))</f>
        <v>17640671.1785069</v>
      </c>
      <c r="D15" s="29" t="n">
        <f aca="false">$B15/(POWER(1+'facts premium'!D$16,($A15-1996.5)))</f>
        <v>18127659.7891892</v>
      </c>
      <c r="E15" s="29" t="n">
        <f aca="false">$B15/(POWER(1+'facts premium'!E$16,($A15-1996.5)))</f>
        <v>18629296.3301364</v>
      </c>
      <c r="F15" s="29" t="n">
        <f aca="false">$B15/(POWER(1+'facts premium'!F$16,($A15-1996.5)))</f>
        <v>17167869.6352239</v>
      </c>
      <c r="G15" s="29" t="n">
        <f aca="false">$B15/(POWER(1+'facts premium'!G$16,($A15-1996.5)))</f>
        <v>16708809.8342332</v>
      </c>
      <c r="H15" s="29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37" t="n">
        <v>2009</v>
      </c>
      <c r="B16" s="29" t="n">
        <v>34735066</v>
      </c>
      <c r="C16" s="29" t="n">
        <f aca="false">$B16/(POWER(1+'facts premium'!C$16,($A16-1996.5)))</f>
        <v>17371238.6622038</v>
      </c>
      <c r="D16" s="29" t="n">
        <f aca="false">$B16/(POWER(1+'facts premium'!D$16,($A16-1996.5)))</f>
        <v>17893109.8208687</v>
      </c>
      <c r="E16" s="29" t="n">
        <f aca="false">$B16/(POWER(1+'facts premium'!E$16,($A16-1996.5)))</f>
        <v>18431954.118871</v>
      </c>
      <c r="F16" s="29" t="n">
        <f aca="false">$B16/(POWER(1+'facts premium'!F$16,($A16-1996.5)))</f>
        <v>16865767.7401433</v>
      </c>
      <c r="G16" s="29" t="n">
        <f aca="false">$B16/(POWER(1+'facts premium'!G$16,($A16-1996.5)))</f>
        <v>16376144.7749274</v>
      </c>
      <c r="H16" s="29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37" t="n">
        <v>2010</v>
      </c>
      <c r="B17" s="29" t="n">
        <v>36154209</v>
      </c>
      <c r="C17" s="29" t="n">
        <f aca="false">$B17/(POWER(1+'facts premium'!C$16,($A17-1996.5)))</f>
        <v>17105923.899244</v>
      </c>
      <c r="D17" s="29" t="n">
        <f aca="false">$B17/(POWER(1+'facts premium'!D$16,($A17-1996.5)))</f>
        <v>17661597.3404937</v>
      </c>
      <c r="E17" s="29" t="n">
        <f aca="false">$B17/(POWER(1+'facts premium'!E$16,($A17-1996.5)))</f>
        <v>18236705.1587539</v>
      </c>
      <c r="F17" s="29" t="n">
        <f aca="false">$B17/(POWER(1+'facts premium'!F$16,($A17-1996.5)))</f>
        <v>16568984.4412413</v>
      </c>
      <c r="G17" s="29" t="n">
        <f aca="false">$B17/(POWER(1+'facts premium'!G$16,($A17-1996.5)))</f>
        <v>16050105.3801489</v>
      </c>
      <c r="H17" s="29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37" t="n">
        <v>2011</v>
      </c>
      <c r="B18" s="29" t="n">
        <v>37631336</v>
      </c>
      <c r="C18" s="29" t="n">
        <f aca="false">$B18/(POWER(1+'facts premium'!C$16,($A18-1996.5)))</f>
        <v>16844662.7804012</v>
      </c>
      <c r="D18" s="29" t="n">
        <f aca="false">$B18/(POWER(1+'facts premium'!D$16,($A18-1996.5)))</f>
        <v>17433081.7996554</v>
      </c>
      <c r="E18" s="29" t="n">
        <f aca="false">$B18/(POWER(1+'facts premium'!E$16,($A18-1996.5)))</f>
        <v>18043525.9983125</v>
      </c>
      <c r="F18" s="29" t="n">
        <f aca="false">$B18/(POWER(1+'facts premium'!F$16,($A18-1996.5)))</f>
        <v>16277424.9593296</v>
      </c>
      <c r="G18" s="29" t="n">
        <f aca="false">$B18/(POWER(1+'facts premium'!G$16,($A18-1996.5)))</f>
        <v>15730558.5760221</v>
      </c>
      <c r="H18" s="29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37" t="n">
        <v>2012</v>
      </c>
      <c r="B19" s="29" t="n">
        <v>39168818</v>
      </c>
      <c r="C19" s="29" t="n">
        <f aca="false">$B19/(POWER(1+'facts premium'!C$16,($A19-1996.5)))</f>
        <v>16587394.0832343</v>
      </c>
      <c r="D19" s="29" t="n">
        <f aca="false">$B19/(POWER(1+'facts premium'!D$16,($A19-1996.5)))</f>
        <v>17207525.1446171</v>
      </c>
      <c r="E19" s="29" t="n">
        <f aca="false">$B19/(POWER(1+'facts premium'!E$16,($A19-1996.5)))</f>
        <v>17852395.4691974</v>
      </c>
      <c r="F19" s="29" t="n">
        <f aca="false">$B19/(POWER(1+'facts premium'!F$16,($A19-1996.5)))</f>
        <v>15990998.0304453</v>
      </c>
      <c r="G19" s="29" t="n">
        <f aca="false">$B19/(POWER(1+'facts premium'!G$16,($A19-1996.5)))</f>
        <v>15417375.727397</v>
      </c>
      <c r="H19" s="29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37" t="n">
        <v>2013</v>
      </c>
      <c r="B20" s="29" t="n">
        <v>40769121</v>
      </c>
      <c r="C20" s="29" t="n">
        <f aca="false">$B20/(POWER(1+'facts premium'!C$16,($A20-1996.5)))</f>
        <v>16334056.647038</v>
      </c>
      <c r="D20" s="29" t="n">
        <f aca="false">$B20/(POWER(1+'facts premium'!D$16,($A20-1996.5)))</f>
        <v>16984888.9109934</v>
      </c>
      <c r="E20" s="29" t="n">
        <f aca="false">$B20/(POWER(1+'facts premium'!E$16,($A20-1996.5)))</f>
        <v>17663291.6935854</v>
      </c>
      <c r="F20" s="29" t="n">
        <f aca="false">$B20/(POWER(1+'facts premium'!F$16,($A20-1996.5)))</f>
        <v>15709613.1519525</v>
      </c>
      <c r="G20" s="29" t="n">
        <f aca="false">$B20/(POWER(1+'facts premium'!G$16,($A20-1996.5)))</f>
        <v>15110429.9433022</v>
      </c>
      <c r="H20" s="29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37" t="n">
        <v>2014</v>
      </c>
      <c r="B21" s="29" t="n">
        <v>42434811</v>
      </c>
      <c r="C21" s="29" t="n">
        <f aca="false">$B21/(POWER(1+'facts premium'!C$16,($A21-1996.5)))</f>
        <v>16084589.971366</v>
      </c>
      <c r="D21" s="29" t="n">
        <f aca="false">$B21/(POWER(1+'facts premium'!D$16,($A21-1996.5)))</f>
        <v>16765134.8453065</v>
      </c>
      <c r="E21" s="29" t="n">
        <f aca="false">$B21/(POWER(1+'facts premium'!E$16,($A21-1996.5)))</f>
        <v>17476192.7251733</v>
      </c>
      <c r="F21" s="29" t="n">
        <f aca="false">$B21/(POWER(1+'facts premium'!F$16,($A21-1996.5)))</f>
        <v>15433181.1522839</v>
      </c>
      <c r="G21" s="29" t="n">
        <f aca="false">$B21/(POWER(1+'facts premium'!G$16,($A21-1996.5)))</f>
        <v>14809596.609467</v>
      </c>
      <c r="H21" s="29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37" t="n">
        <v>2015</v>
      </c>
      <c r="B22" s="40" t="n">
        <v>44168561</v>
      </c>
      <c r="C22" s="40" t="n">
        <f aca="false">$B22/(POWER(1+'facts premium'!C$16,($A22-1996.5)))</f>
        <v>15838935.3119817</v>
      </c>
      <c r="D22" s="40" t="n">
        <f aca="false">$B22/(POWER(1+'facts premium'!D$16,($A22-1996.5)))</f>
        <v>16548226.0551085</v>
      </c>
      <c r="E22" s="40" t="n">
        <f aca="false">$B22/(POWER(1+'facts premium'!E$16,($A22-1996.5)))</f>
        <v>17291077.7516582</v>
      </c>
      <c r="F22" s="40" t="n">
        <f aca="false">$B22/(POWER(1+'facts premium'!F$16,($A22-1996.5)))</f>
        <v>15161615.2287303</v>
      </c>
      <c r="G22" s="40" t="n">
        <f aca="false">$B22/(POWER(1+'facts premium'!G$16,($A22-1996.5)))</f>
        <v>14514754.3612864</v>
      </c>
      <c r="H22" s="40" t="n">
        <f aca="false">$B22/(POWER(1+'facts premium'!H$16,($A22-1996.5)))</f>
        <v>13896916.033178</v>
      </c>
    </row>
    <row r="23" customFormat="false" ht="12.75" hidden="false" customHeight="false" outlineLevel="0" collapsed="false">
      <c r="B23" s="29" t="n">
        <f aca="false">SUM(B3:B22)</f>
        <v>603105479</v>
      </c>
      <c r="C23" s="29" t="n">
        <f aca="false">SUM(C3:C22)</f>
        <v>350472549.334452</v>
      </c>
      <c r="D23" s="29" t="n">
        <f aca="false">SUM(D3:D22)</f>
        <v>358008851.154605</v>
      </c>
      <c r="E23" s="29" t="n">
        <f aca="false">SUM(E3:E22)</f>
        <v>365788328.825356</v>
      </c>
      <c r="F23" s="29" t="n">
        <f aca="false">SUM(F3:F22)</f>
        <v>343170429.281532</v>
      </c>
      <c r="G23" s="29" t="n">
        <f aca="false">SUM(G3:G22)</f>
        <v>336093868.374683</v>
      </c>
      <c r="H23" s="29" t="n">
        <f aca="false">SUM(H3:H22)</f>
        <v>329234598.777658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1" width="9.14"/>
    <col collapsed="false" customWidth="true" hidden="false" outlineLevel="0" max="5" min="5" style="0" width="9.85"/>
    <col collapsed="false" customWidth="true" hidden="false" outlineLevel="0" max="8" min="8" style="42" width="9.14"/>
    <col collapsed="false" customWidth="true" hidden="false" outlineLevel="0" max="10" min="10" style="43" width="9.14"/>
  </cols>
  <sheetData>
    <row r="1" customFormat="false" ht="12.75" hidden="false" customHeight="false" outlineLevel="0" collapsed="false">
      <c r="D1" s="44" t="n">
        <f aca="false">'facts premium'!DiscRate</f>
        <v>0.0488</v>
      </c>
      <c r="J1" s="45" t="s">
        <v>42</v>
      </c>
      <c r="K1" s="45"/>
    </row>
    <row r="2" customFormat="false" ht="12.75" hidden="false" customHeight="false" outlineLevel="0" collapsed="false">
      <c r="B2" s="32" t="s">
        <v>43</v>
      </c>
      <c r="C2" s="41" t="s">
        <v>44</v>
      </c>
      <c r="D2" s="46" t="s">
        <v>45</v>
      </c>
      <c r="E2" s="46" t="s">
        <v>46</v>
      </c>
      <c r="F2" s="46" t="s">
        <v>47</v>
      </c>
      <c r="G2" s="47" t="s">
        <v>48</v>
      </c>
      <c r="H2" s="47" t="s">
        <v>49</v>
      </c>
      <c r="I2" s="32" t="s">
        <v>50</v>
      </c>
      <c r="J2" s="48" t="s">
        <v>44</v>
      </c>
      <c r="K2" s="37" t="s">
        <v>50</v>
      </c>
      <c r="L2" s="37"/>
      <c r="M2" s="46"/>
      <c r="N2" s="37"/>
    </row>
    <row r="3" customFormat="false" ht="12.75" hidden="false" customHeight="false" outlineLevel="0" collapsed="false">
      <c r="A3" s="49" t="n">
        <v>35582</v>
      </c>
      <c r="B3" s="0" t="n">
        <v>1</v>
      </c>
      <c r="C3" s="50" t="n">
        <f aca="false">'facts premium'!C28</f>
        <v>317.676301817471</v>
      </c>
      <c r="D3" s="51" t="n">
        <f aca="false">C3*DiscRate/12</f>
        <v>1.29188362739105</v>
      </c>
      <c r="E3" s="51" t="n">
        <f aca="false">'tax rev'!C3/1000000</f>
        <v>4.73144637682226</v>
      </c>
      <c r="F3" s="51"/>
      <c r="G3" s="52" t="n">
        <f aca="false">facts!$B$6/facts!$B$7</f>
        <v>11.3</v>
      </c>
      <c r="H3" s="52"/>
      <c r="I3" s="16" t="n">
        <f aca="false">C3+D3+E3+F3-G3-H3</f>
        <v>312.399631821684</v>
      </c>
      <c r="J3" s="43" t="n">
        <v>360.32</v>
      </c>
      <c r="K3" s="16" t="n">
        <f aca="false">J3+D3+F3-G3-H3</f>
        <v>350.311883627391</v>
      </c>
    </row>
    <row r="4" customFormat="false" ht="12.75" hidden="false" customHeight="false" outlineLevel="0" collapsed="false">
      <c r="A4" s="49"/>
      <c r="B4" s="0" t="n">
        <v>2</v>
      </c>
      <c r="C4" s="50" t="n">
        <f aca="false">I3</f>
        <v>312.399631821684</v>
      </c>
      <c r="D4" s="51" t="n">
        <f aca="false">C4*DiscRate/12</f>
        <v>1.27042516940818</v>
      </c>
      <c r="E4" s="51"/>
      <c r="F4" s="51"/>
      <c r="G4" s="52" t="n">
        <f aca="false">facts!$B$6/facts!$B$7</f>
        <v>11.3</v>
      </c>
      <c r="H4" s="53"/>
      <c r="I4" s="16" t="n">
        <f aca="false">C4+D4+E4+F4-G4-H4</f>
        <v>302.370056991092</v>
      </c>
      <c r="J4" s="54" t="n">
        <f aca="false">K3</f>
        <v>350.311883627391</v>
      </c>
      <c r="K4" s="16" t="n">
        <f aca="false">J4+D4+F4-G4-H4</f>
        <v>340.282308796799</v>
      </c>
    </row>
    <row r="5" customFormat="false" ht="12.75" hidden="false" customHeight="false" outlineLevel="0" collapsed="false">
      <c r="A5" s="49"/>
      <c r="B5" s="0" t="n">
        <v>3</v>
      </c>
      <c r="C5" s="50" t="n">
        <f aca="false">I4</f>
        <v>302.370056991092</v>
      </c>
      <c r="D5" s="51" t="n">
        <f aca="false">C5*DiscRate/12</f>
        <v>1.22963823176377</v>
      </c>
      <c r="E5" s="51"/>
      <c r="F5" s="51"/>
      <c r="G5" s="52" t="n">
        <f aca="false">facts!$B$6/facts!$B$7</f>
        <v>11.3</v>
      </c>
      <c r="H5" s="53"/>
      <c r="I5" s="16" t="n">
        <f aca="false">C5+D5+E5+F5-G5-H5</f>
        <v>292.299695222856</v>
      </c>
      <c r="J5" s="54" t="n">
        <f aca="false">K4</f>
        <v>340.282308796799</v>
      </c>
      <c r="K5" s="16" t="n">
        <f aca="false">J5+D5+F5-G5-H5</f>
        <v>330.211947028563</v>
      </c>
    </row>
    <row r="6" customFormat="false" ht="12.75" hidden="false" customHeight="false" outlineLevel="0" collapsed="false">
      <c r="A6" s="49"/>
      <c r="B6" s="0" t="n">
        <v>4</v>
      </c>
      <c r="C6" s="50" t="n">
        <f aca="false">I5</f>
        <v>292.299695222856</v>
      </c>
      <c r="D6" s="51" t="n">
        <f aca="false">C6*DiscRate/12</f>
        <v>1.18868542723961</v>
      </c>
      <c r="E6" s="51"/>
      <c r="F6" s="51"/>
      <c r="G6" s="52" t="n">
        <f aca="false">facts!$B$6/facts!$B$7</f>
        <v>11.3</v>
      </c>
      <c r="H6" s="53"/>
      <c r="I6" s="16" t="n">
        <f aca="false">C6+D6+E6+F6-G6-H6</f>
        <v>282.188380650095</v>
      </c>
      <c r="J6" s="54" t="n">
        <f aca="false">K5</f>
        <v>330.211947028563</v>
      </c>
      <c r="K6" s="16" t="n">
        <f aca="false">J6+D6+F6-G6-H6</f>
        <v>320.100632455803</v>
      </c>
    </row>
    <row r="7" customFormat="false" ht="12.75" hidden="false" customHeight="false" outlineLevel="0" collapsed="false">
      <c r="A7" s="49"/>
      <c r="B7" s="0" t="n">
        <v>5</v>
      </c>
      <c r="C7" s="50" t="n">
        <f aca="false">I6</f>
        <v>282.188380650095</v>
      </c>
      <c r="D7" s="51" t="n">
        <f aca="false">C7*DiscRate/12</f>
        <v>1.14756608131039</v>
      </c>
      <c r="E7" s="51"/>
      <c r="F7" s="51"/>
      <c r="G7" s="52" t="n">
        <f aca="false">facts!$B$6/facts!$B$7</f>
        <v>11.3</v>
      </c>
      <c r="H7" s="53"/>
      <c r="I7" s="16" t="n">
        <f aca="false">C7+D7+E7+F7-G7-H7</f>
        <v>272.035946731406</v>
      </c>
      <c r="J7" s="54" t="n">
        <f aca="false">K6</f>
        <v>320.100632455803</v>
      </c>
      <c r="K7" s="16" t="n">
        <f aca="false">J7+D7+F7-G7-H7</f>
        <v>309.948198537113</v>
      </c>
    </row>
    <row r="8" customFormat="false" ht="12.75" hidden="false" customHeight="false" outlineLevel="0" collapsed="false">
      <c r="A8" s="49" t="n">
        <v>35765</v>
      </c>
      <c r="B8" s="0" t="n">
        <v>6</v>
      </c>
      <c r="C8" s="50" t="n">
        <f aca="false">I7</f>
        <v>272.035946731406</v>
      </c>
      <c r="D8" s="51" t="n">
        <f aca="false">C8*DiscRate/12</f>
        <v>1.10627951670772</v>
      </c>
      <c r="E8" s="51" t="n">
        <v>19.89</v>
      </c>
      <c r="F8" s="51"/>
      <c r="G8" s="52" t="n">
        <f aca="false">facts!$B$6/facts!$B$7</f>
        <v>11.3</v>
      </c>
      <c r="H8" s="52" t="n">
        <f aca="false">'facts premium'!$C$28*'facts premium'!$C$16/2</f>
        <v>9.05377460179791</v>
      </c>
      <c r="I8" s="16" t="n">
        <f aca="false">C8+D8+E8+F8-G8-H8</f>
        <v>272.678451646316</v>
      </c>
      <c r="J8" s="54" t="n">
        <f aca="false">K7</f>
        <v>309.948198537113</v>
      </c>
      <c r="K8" s="16" t="n">
        <f aca="false">J8+D8+F8-G8-H8</f>
        <v>290.700703452023</v>
      </c>
    </row>
    <row r="9" customFormat="false" ht="12.75" hidden="false" customHeight="false" outlineLevel="0" collapsed="false">
      <c r="A9" s="49"/>
      <c r="B9" s="0" t="n">
        <v>7</v>
      </c>
      <c r="C9" s="50" t="n">
        <f aca="false">I8</f>
        <v>272.678451646316</v>
      </c>
      <c r="D9" s="51" t="n">
        <f aca="false">C9*DiscRate/12</f>
        <v>1.10889237002835</v>
      </c>
      <c r="E9" s="51"/>
      <c r="F9" s="51"/>
      <c r="G9" s="52" t="n">
        <f aca="false">facts!$B$6/facts!$B$7</f>
        <v>11.3</v>
      </c>
      <c r="H9" s="53"/>
      <c r="I9" s="16" t="n">
        <f aca="false">C9+D9+E9+F9-G9-H9</f>
        <v>262.487344016344</v>
      </c>
      <c r="J9" s="54" t="n">
        <f aca="false">K8</f>
        <v>290.700703452023</v>
      </c>
      <c r="K9" s="16" t="n">
        <f aca="false">J9+D9+F9-G9-H9</f>
        <v>280.509595822051</v>
      </c>
    </row>
    <row r="10" customFormat="false" ht="12.75" hidden="false" customHeight="false" outlineLevel="0" collapsed="false">
      <c r="A10" s="49"/>
      <c r="B10" s="0" t="n">
        <v>8</v>
      </c>
      <c r="C10" s="50" t="n">
        <f aca="false">I9</f>
        <v>262.487344016344</v>
      </c>
      <c r="D10" s="51" t="n">
        <f aca="false">C10*DiscRate/12</f>
        <v>1.06744853233313</v>
      </c>
      <c r="E10" s="51"/>
      <c r="F10" s="51"/>
      <c r="G10" s="52" t="n">
        <f aca="false">facts!$B$6/facts!$B$7</f>
        <v>11.3</v>
      </c>
      <c r="H10" s="53"/>
      <c r="I10" s="16" t="n">
        <f aca="false">C10+D10+E10+F10-G10-H10</f>
        <v>252.254792548677</v>
      </c>
      <c r="J10" s="54" t="n">
        <f aca="false">K9</f>
        <v>280.509595822051</v>
      </c>
      <c r="K10" s="16" t="n">
        <f aca="false">J10+D10+F10-G10-H10</f>
        <v>270.277044354384</v>
      </c>
    </row>
    <row r="11" customFormat="false" ht="12.75" hidden="false" customHeight="false" outlineLevel="0" collapsed="false">
      <c r="A11" s="49"/>
      <c r="B11" s="0" t="n">
        <v>9</v>
      </c>
      <c r="C11" s="50" t="n">
        <f aca="false">I10</f>
        <v>252.254792548677</v>
      </c>
      <c r="D11" s="51" t="n">
        <f aca="false">C11*DiscRate/12</f>
        <v>1.02583615636462</v>
      </c>
      <c r="E11" s="51"/>
      <c r="F11" s="51"/>
      <c r="G11" s="52" t="n">
        <f aca="false">facts!$B$6/facts!$B$7</f>
        <v>11.3</v>
      </c>
      <c r="H11" s="53"/>
      <c r="I11" s="16" t="n">
        <f aca="false">C11+D11+E11+F11-G11-H11</f>
        <v>241.980628705042</v>
      </c>
      <c r="J11" s="54" t="n">
        <f aca="false">K10</f>
        <v>270.277044354384</v>
      </c>
      <c r="K11" s="16" t="n">
        <f aca="false">J11+D11+F11-G11-H11</f>
        <v>260.002880510749</v>
      </c>
    </row>
    <row r="12" customFormat="false" ht="12.75" hidden="false" customHeight="false" outlineLevel="0" collapsed="false">
      <c r="A12" s="49"/>
      <c r="B12" s="0" t="n">
        <v>10</v>
      </c>
      <c r="C12" s="50" t="n">
        <f aca="false">I11</f>
        <v>241.980628705042</v>
      </c>
      <c r="D12" s="51" t="n">
        <f aca="false">C12*DiscRate/12</f>
        <v>0.984054556733836</v>
      </c>
      <c r="E12" s="51"/>
      <c r="F12" s="51"/>
      <c r="G12" s="52" t="n">
        <f aca="false">facts!$B$6/facts!$B$7</f>
        <v>11.3</v>
      </c>
      <c r="H12" s="53"/>
      <c r="I12" s="16" t="n">
        <f aca="false">C12+D12+E12+F12-G12-H12</f>
        <v>231.664683261775</v>
      </c>
      <c r="J12" s="54" t="n">
        <f aca="false">K11</f>
        <v>260.002880510749</v>
      </c>
      <c r="K12" s="16" t="n">
        <f aca="false">J12+D12+F12-G12-H12</f>
        <v>249.686935067483</v>
      </c>
    </row>
    <row r="13" customFormat="false" ht="12.75" hidden="false" customHeight="false" outlineLevel="0" collapsed="false">
      <c r="A13" s="49"/>
      <c r="B13" s="0" t="n">
        <v>11</v>
      </c>
      <c r="C13" s="50" t="n">
        <f aca="false">I12</f>
        <v>231.664683261775</v>
      </c>
      <c r="D13" s="51" t="n">
        <f aca="false">C13*DiscRate/12</f>
        <v>0.942103045264553</v>
      </c>
      <c r="E13" s="51"/>
      <c r="F13" s="51"/>
      <c r="G13" s="52" t="n">
        <f aca="false">facts!$B$6/facts!$B$7</f>
        <v>11.3</v>
      </c>
      <c r="H13" s="53"/>
      <c r="I13" s="16" t="n">
        <f aca="false">C13+D13+E13+F13-G13-H13</f>
        <v>221.30678630704</v>
      </c>
      <c r="J13" s="54" t="n">
        <f aca="false">K12</f>
        <v>249.686935067483</v>
      </c>
      <c r="K13" s="16" t="n">
        <f aca="false">J13+D13+F13-G13-H13</f>
        <v>239.329038112747</v>
      </c>
    </row>
    <row r="14" customFormat="false" ht="12.75" hidden="false" customHeight="false" outlineLevel="0" collapsed="false">
      <c r="A14" s="49" t="n">
        <v>35947</v>
      </c>
      <c r="B14" s="0" t="n">
        <v>12</v>
      </c>
      <c r="C14" s="50" t="n">
        <f aca="false">I13</f>
        <v>221.30678630704</v>
      </c>
      <c r="D14" s="51" t="n">
        <f aca="false">C14*DiscRate/12</f>
        <v>0.899980930981963</v>
      </c>
      <c r="E14" s="51"/>
      <c r="F14" s="51"/>
      <c r="G14" s="52" t="n">
        <f aca="false">facts!$B$6/facts!$B$7</f>
        <v>11.3</v>
      </c>
      <c r="H14" s="52" t="n">
        <f aca="false">'facts premium'!$C$28*'facts premium'!$C$16/2</f>
        <v>9.05377460179791</v>
      </c>
      <c r="I14" s="16" t="n">
        <f aca="false">C14+D14+E14+F14-G14-H14</f>
        <v>201.852992636224</v>
      </c>
      <c r="J14" s="54" t="n">
        <f aca="false">K13</f>
        <v>239.329038112747</v>
      </c>
      <c r="K14" s="16" t="n">
        <f aca="false">J14+D14+F14-G14-H14</f>
        <v>219.875244441931</v>
      </c>
    </row>
    <row r="15" customFormat="false" ht="12.75" hidden="false" customHeight="false" outlineLevel="0" collapsed="false">
      <c r="B15" s="0" t="n">
        <v>13</v>
      </c>
      <c r="C15" s="50" t="n">
        <f aca="false">I14</f>
        <v>201.852992636224</v>
      </c>
      <c r="D15" s="51" t="n">
        <f aca="false">C15*DiscRate/12</f>
        <v>0.820868836720644</v>
      </c>
      <c r="E15" s="51"/>
      <c r="F15" s="51"/>
      <c r="G15" s="52" t="n">
        <f aca="false">facts!$B$6/facts!$B$7</f>
        <v>11.3</v>
      </c>
      <c r="H15" s="52"/>
      <c r="I15" s="16" t="n">
        <f aca="false">C15+D15+E15+F15-G15-H15</f>
        <v>191.373861472945</v>
      </c>
      <c r="J15" s="54" t="n">
        <f aca="false">K14</f>
        <v>219.875244441931</v>
      </c>
      <c r="K15" s="16" t="n">
        <f aca="false">J15+D15+F15-G15-H15</f>
        <v>209.396113278652</v>
      </c>
    </row>
    <row r="16" customFormat="false" ht="12.75" hidden="false" customHeight="false" outlineLevel="0" collapsed="false">
      <c r="A16" s="49"/>
      <c r="B16" s="0" t="n">
        <v>14</v>
      </c>
      <c r="C16" s="50" t="n">
        <f aca="false">I15</f>
        <v>191.373861472945</v>
      </c>
      <c r="D16" s="51" t="n">
        <f aca="false">C16*DiscRate/12</f>
        <v>0.778253703323308</v>
      </c>
      <c r="E16" s="51"/>
      <c r="F16" s="51"/>
      <c r="G16" s="52" t="n">
        <f aca="false">facts!$B$6/facts!$B$7</f>
        <v>11.3</v>
      </c>
      <c r="H16" s="53"/>
      <c r="I16" s="16" t="n">
        <f aca="false">C16+D16+E16+F16-G16-H16</f>
        <v>180.852115176268</v>
      </c>
      <c r="J16" s="54" t="n">
        <f aca="false">K15</f>
        <v>209.396113278652</v>
      </c>
      <c r="K16" s="16" t="n">
        <f aca="false">J16+D16+F16-G16-H16</f>
        <v>198.874366981975</v>
      </c>
    </row>
    <row r="17" customFormat="false" ht="12.75" hidden="false" customHeight="false" outlineLevel="0" collapsed="false">
      <c r="A17" s="49"/>
      <c r="B17" s="0" t="n">
        <v>15</v>
      </c>
      <c r="C17" s="50" t="n">
        <f aca="false">I16</f>
        <v>180.852115176268</v>
      </c>
      <c r="D17" s="51" t="n">
        <f aca="false">C17*DiscRate/12</f>
        <v>0.73546526838349</v>
      </c>
      <c r="E17" s="51"/>
      <c r="F17" s="51"/>
      <c r="G17" s="52" t="n">
        <f aca="false">facts!$B$6/facts!$B$7</f>
        <v>11.3</v>
      </c>
      <c r="H17" s="53"/>
      <c r="I17" s="16" t="n">
        <f aca="false">C17+D17+E17+F17-G17-H17</f>
        <v>170.287580444651</v>
      </c>
      <c r="J17" s="54" t="n">
        <f aca="false">K16</f>
        <v>198.874366981975</v>
      </c>
      <c r="K17" s="16" t="n">
        <f aca="false">J17+D17+F17-G17-H17</f>
        <v>188.309832250359</v>
      </c>
    </row>
    <row r="18" customFormat="false" ht="12.75" hidden="false" customHeight="false" outlineLevel="0" collapsed="false">
      <c r="A18" s="49"/>
      <c r="B18" s="0" t="n">
        <v>16</v>
      </c>
      <c r="C18" s="50" t="n">
        <f aca="false">I17</f>
        <v>170.287580444651</v>
      </c>
      <c r="D18" s="51" t="n">
        <f aca="false">C18*DiscRate/12</f>
        <v>0.692502827141582</v>
      </c>
      <c r="E18" s="51"/>
      <c r="F18" s="51"/>
      <c r="G18" s="52" t="n">
        <f aca="false">facts!$B$6/facts!$B$7</f>
        <v>11.3</v>
      </c>
      <c r="H18" s="53"/>
      <c r="I18" s="16" t="n">
        <f aca="false">C18+D18+E18+F18-G18-H18</f>
        <v>159.680083271793</v>
      </c>
      <c r="J18" s="54" t="n">
        <f aca="false">K17</f>
        <v>188.309832250359</v>
      </c>
      <c r="K18" s="16" t="n">
        <f aca="false">J18+D18+F18-G18-H18</f>
        <v>177.7023350775</v>
      </c>
    </row>
    <row r="19" customFormat="false" ht="12.75" hidden="false" customHeight="false" outlineLevel="0" collapsed="false">
      <c r="A19" s="49"/>
      <c r="B19" s="0" t="n">
        <v>17</v>
      </c>
      <c r="C19" s="50" t="n">
        <f aca="false">I18</f>
        <v>159.680083271793</v>
      </c>
      <c r="D19" s="51" t="n">
        <f aca="false">C19*DiscRate/12</f>
        <v>0.649365671971958</v>
      </c>
      <c r="E19" s="51"/>
      <c r="F19" s="51"/>
      <c r="G19" s="52" t="n">
        <f aca="false">facts!$B$6/facts!$B$7</f>
        <v>11.3</v>
      </c>
      <c r="H19" s="53"/>
      <c r="I19" s="16" t="n">
        <f aca="false">C19+D19+E19+F19-G19-H19</f>
        <v>149.029448943765</v>
      </c>
      <c r="J19" s="54" t="n">
        <f aca="false">K18</f>
        <v>177.7023350775</v>
      </c>
      <c r="K19" s="16" t="n">
        <f aca="false">J19+D19+F19-G19-H19</f>
        <v>167.051700749472</v>
      </c>
    </row>
    <row r="20" customFormat="false" ht="12.75" hidden="false" customHeight="false" outlineLevel="0" collapsed="false">
      <c r="A20" s="49" t="n">
        <v>36130</v>
      </c>
      <c r="B20" s="0" t="n">
        <v>18</v>
      </c>
      <c r="C20" s="50" t="n">
        <f aca="false">I19</f>
        <v>149.029448943765</v>
      </c>
      <c r="D20" s="51" t="n">
        <f aca="false">C20*DiscRate/12</f>
        <v>0.606053092371311</v>
      </c>
      <c r="E20" s="51" t="n">
        <v>20.43</v>
      </c>
      <c r="F20" s="51"/>
      <c r="G20" s="52" t="n">
        <f aca="false">facts!$B$6/facts!$B$7</f>
        <v>11.3</v>
      </c>
      <c r="H20" s="52" t="n">
        <f aca="false">'facts premium'!$C$28*'facts premium'!$C$16/2</f>
        <v>9.05377460179791</v>
      </c>
      <c r="I20" s="16" t="n">
        <f aca="false">C20+D20+E20+F20-G20-H20</f>
        <v>149.711727434338</v>
      </c>
      <c r="J20" s="54" t="n">
        <f aca="false">K19</f>
        <v>167.051700749472</v>
      </c>
      <c r="K20" s="16" t="n">
        <f aca="false">J20+D20+F20-G20-H20</f>
        <v>147.303979240045</v>
      </c>
    </row>
    <row r="21" customFormat="false" ht="12.75" hidden="false" customHeight="false" outlineLevel="0" collapsed="false">
      <c r="A21" s="49"/>
      <c r="B21" s="0" t="n">
        <v>19</v>
      </c>
      <c r="C21" s="50" t="n">
        <f aca="false">I20</f>
        <v>149.711727434338</v>
      </c>
      <c r="D21" s="51" t="n">
        <f aca="false">C21*DiscRate/12</f>
        <v>0.608827691566309</v>
      </c>
      <c r="E21" s="51"/>
      <c r="F21" s="51"/>
      <c r="G21" s="52" t="n">
        <f aca="false">facts!$B$6/facts!$B$7</f>
        <v>11.3</v>
      </c>
      <c r="H21" s="53"/>
      <c r="I21" s="16" t="n">
        <f aca="false">C21+D21+E21+F21-G21-H21</f>
        <v>139.020555125905</v>
      </c>
      <c r="J21" s="54" t="n">
        <f aca="false">K20</f>
        <v>147.303979240045</v>
      </c>
      <c r="K21" s="16" t="n">
        <f aca="false">J21+D21+F21-G21-H21</f>
        <v>136.612806931612</v>
      </c>
    </row>
    <row r="22" customFormat="false" ht="12.75" hidden="false" customHeight="false" outlineLevel="0" collapsed="false">
      <c r="A22" s="49"/>
      <c r="B22" s="0" t="n">
        <v>20</v>
      </c>
      <c r="C22" s="50" t="n">
        <f aca="false">I21</f>
        <v>139.020555125905</v>
      </c>
      <c r="D22" s="51" t="n">
        <f aca="false">C22*DiscRate/12</f>
        <v>0.565350257512012</v>
      </c>
      <c r="E22" s="51"/>
      <c r="F22" s="51"/>
      <c r="G22" s="52" t="n">
        <f aca="false">facts!$B$6/facts!$B$7</f>
        <v>11.3</v>
      </c>
      <c r="H22" s="53"/>
      <c r="I22" s="16" t="n">
        <f aca="false">C22+D22+E22+F22-G22-H22</f>
        <v>128.285905383417</v>
      </c>
      <c r="J22" s="54" t="n">
        <f aca="false">K21</f>
        <v>136.612806931612</v>
      </c>
      <c r="K22" s="16" t="n">
        <f aca="false">J22+D22+F22-G22-H22</f>
        <v>125.878157189124</v>
      </c>
    </row>
    <row r="23" customFormat="false" ht="12.75" hidden="false" customHeight="false" outlineLevel="0" collapsed="false">
      <c r="A23" s="49"/>
      <c r="B23" s="0" t="n">
        <v>21</v>
      </c>
      <c r="C23" s="50" t="n">
        <f aca="false">I22</f>
        <v>128.285905383417</v>
      </c>
      <c r="D23" s="51" t="n">
        <f aca="false">C23*DiscRate/12</f>
        <v>0.521696015225894</v>
      </c>
      <c r="E23" s="51"/>
      <c r="F23" s="51"/>
      <c r="G23" s="52" t="n">
        <f aca="false">facts!$B$6/facts!$B$7</f>
        <v>11.3</v>
      </c>
      <c r="H23" s="53"/>
      <c r="I23" s="16" t="n">
        <f aca="false">C23+D23+E23+F23-G23-H23</f>
        <v>117.507601398643</v>
      </c>
      <c r="J23" s="54" t="n">
        <f aca="false">K22</f>
        <v>125.878157189124</v>
      </c>
      <c r="K23" s="16" t="n">
        <f aca="false">J23+D23+F23-G23-H23</f>
        <v>115.09985320435</v>
      </c>
    </row>
    <row r="24" customFormat="false" ht="12.75" hidden="false" customHeight="false" outlineLevel="0" collapsed="false">
      <c r="A24" s="49"/>
      <c r="B24" s="0" t="n">
        <v>22</v>
      </c>
      <c r="C24" s="50" t="n">
        <f aca="false">I23</f>
        <v>117.507601398643</v>
      </c>
      <c r="D24" s="51" t="n">
        <f aca="false">C24*DiscRate/12</f>
        <v>0.477864245687813</v>
      </c>
      <c r="E24" s="51"/>
      <c r="F24" s="51"/>
      <c r="G24" s="52" t="n">
        <f aca="false">facts!$B$6/facts!$B$7</f>
        <v>11.3</v>
      </c>
      <c r="H24" s="53"/>
      <c r="I24" s="16" t="n">
        <f aca="false">C24+D24+E24+F24-G24-H24</f>
        <v>106.68546564433</v>
      </c>
      <c r="J24" s="54" t="n">
        <f aca="false">K23</f>
        <v>115.09985320435</v>
      </c>
      <c r="K24" s="16" t="n">
        <f aca="false">J24+D24+F24-G24-H24</f>
        <v>104.277717450038</v>
      </c>
    </row>
    <row r="25" customFormat="false" ht="12.75" hidden="false" customHeight="false" outlineLevel="0" collapsed="false">
      <c r="A25" s="49"/>
      <c r="B25" s="0" t="n">
        <v>23</v>
      </c>
      <c r="C25" s="50" t="n">
        <f aca="false">I24</f>
        <v>106.68546564433</v>
      </c>
      <c r="D25" s="51" t="n">
        <f aca="false">C25*DiscRate/12</f>
        <v>0.43385422695361</v>
      </c>
      <c r="E25" s="51"/>
      <c r="F25" s="51"/>
      <c r="G25" s="52" t="n">
        <f aca="false">facts!$B$6/facts!$B$7</f>
        <v>11.3</v>
      </c>
      <c r="H25" s="53"/>
      <c r="I25" s="16" t="n">
        <f aca="false">C25+D25+E25+F25-G25-H25</f>
        <v>95.8193198712839</v>
      </c>
      <c r="J25" s="54" t="n">
        <f aca="false">K24</f>
        <v>104.277717450038</v>
      </c>
      <c r="K25" s="16" t="n">
        <f aca="false">J25+D25+F25-G25-H25</f>
        <v>93.4115716769911</v>
      </c>
    </row>
    <row r="26" customFormat="false" ht="12.75" hidden="false" customHeight="false" outlineLevel="0" collapsed="false">
      <c r="A26" s="49" t="n">
        <v>36312</v>
      </c>
      <c r="B26" s="0" t="n">
        <v>24</v>
      </c>
      <c r="C26" s="50" t="n">
        <f aca="false">I25</f>
        <v>95.8193198712839</v>
      </c>
      <c r="D26" s="51" t="n">
        <f aca="false">C26*DiscRate/12</f>
        <v>0.389665234143221</v>
      </c>
      <c r="E26" s="51"/>
      <c r="F26" s="51" t="n">
        <v>0.35</v>
      </c>
      <c r="G26" s="52" t="n">
        <f aca="false">facts!$B$6/facts!$B$7</f>
        <v>11.3</v>
      </c>
      <c r="H26" s="52" t="n">
        <f aca="false">'facts premium'!$C$28*'facts premium'!$C$16/2</f>
        <v>9.05377460179791</v>
      </c>
      <c r="I26" s="16" t="n">
        <f aca="false">C26+D26+E26+F26-G26-H26</f>
        <v>76.2052105036293</v>
      </c>
      <c r="J26" s="54" t="n">
        <f aca="false">K25</f>
        <v>93.4115716769911</v>
      </c>
      <c r="K26" s="16" t="n">
        <f aca="false">J26+D26+F26-G26-H26</f>
        <v>73.7974623093364</v>
      </c>
    </row>
    <row r="27" customFormat="false" ht="12.75" hidden="false" customHeight="false" outlineLevel="0" collapsed="false">
      <c r="B27" s="0" t="n">
        <v>25</v>
      </c>
      <c r="C27" s="50" t="n">
        <f aca="false">I26</f>
        <v>76.2052105036293</v>
      </c>
      <c r="D27" s="51" t="n">
        <f aca="false">C27*DiscRate/12</f>
        <v>0.309901189381426</v>
      </c>
      <c r="E27" s="51"/>
      <c r="F27" s="51"/>
      <c r="G27" s="52" t="n">
        <f aca="false">facts!$B$6/facts!$B$7</f>
        <v>11.3</v>
      </c>
      <c r="H27" s="52"/>
      <c r="I27" s="16" t="n">
        <f aca="false">C27+D27+E27+F27-G27-H27</f>
        <v>65.2151116930107</v>
      </c>
      <c r="J27" s="54" t="n">
        <f aca="false">K26</f>
        <v>73.7974623093364</v>
      </c>
      <c r="K27" s="16" t="n">
        <f aca="false">J27+D27+F27-G27-H27</f>
        <v>62.8073634987179</v>
      </c>
    </row>
    <row r="28" customFormat="false" ht="12.75" hidden="false" customHeight="false" outlineLevel="0" collapsed="false">
      <c r="A28" s="49"/>
      <c r="B28" s="0" t="n">
        <v>26</v>
      </c>
      <c r="C28" s="50" t="n">
        <f aca="false">I27</f>
        <v>65.2151116930107</v>
      </c>
      <c r="D28" s="51" t="n">
        <f aca="false">C28*DiscRate/12</f>
        <v>0.26520812088491</v>
      </c>
      <c r="E28" s="51"/>
      <c r="F28" s="51"/>
      <c r="G28" s="52" t="n">
        <f aca="false">facts!$B$6/facts!$B$7</f>
        <v>11.3</v>
      </c>
      <c r="H28" s="53"/>
      <c r="I28" s="16" t="n">
        <f aca="false">C28+D28+E28+F28-G28-H28</f>
        <v>54.1803198138956</v>
      </c>
      <c r="J28" s="54" t="n">
        <f aca="false">K27</f>
        <v>62.8073634987179</v>
      </c>
      <c r="K28" s="16" t="n">
        <f aca="false">J28+D28+F28-G28-H28</f>
        <v>51.7725716196028</v>
      </c>
    </row>
    <row r="29" customFormat="false" ht="12.75" hidden="false" customHeight="false" outlineLevel="0" collapsed="false">
      <c r="A29" s="49"/>
      <c r="B29" s="0" t="n">
        <v>27</v>
      </c>
      <c r="C29" s="50" t="n">
        <f aca="false">I28</f>
        <v>54.1803198138956</v>
      </c>
      <c r="D29" s="51" t="n">
        <f aca="false">C29*DiscRate/12</f>
        <v>0.220333300576509</v>
      </c>
      <c r="E29" s="51"/>
      <c r="F29" s="51"/>
      <c r="G29" s="52" t="n">
        <f aca="false">facts!$B$6/facts!$B$7</f>
        <v>11.3</v>
      </c>
      <c r="H29" s="53"/>
      <c r="I29" s="16" t="n">
        <f aca="false">C29+D29+E29+F29-G29-H29</f>
        <v>43.1006531144721</v>
      </c>
      <c r="J29" s="54" t="n">
        <f aca="false">K28</f>
        <v>51.7725716196028</v>
      </c>
      <c r="K29" s="16" t="n">
        <f aca="false">J29+D29+F29-G29-H29</f>
        <v>40.6929049201793</v>
      </c>
    </row>
    <row r="30" customFormat="false" ht="12.75" hidden="false" customHeight="false" outlineLevel="0" collapsed="false">
      <c r="A30" s="49"/>
      <c r="B30" s="0" t="n">
        <v>28</v>
      </c>
      <c r="C30" s="50" t="n">
        <f aca="false">I29</f>
        <v>43.1006531144721</v>
      </c>
      <c r="D30" s="51" t="n">
        <f aca="false">C30*DiscRate/12</f>
        <v>0.175275989332186</v>
      </c>
      <c r="E30" s="51"/>
      <c r="F30" s="51"/>
      <c r="G30" s="52" t="n">
        <f aca="false">facts!$B$6/facts!$B$7</f>
        <v>11.3</v>
      </c>
      <c r="H30" s="53"/>
      <c r="I30" s="16" t="n">
        <f aca="false">C30+D30+E30+F30-G30-H30</f>
        <v>31.9759291038043</v>
      </c>
      <c r="J30" s="54" t="n">
        <f aca="false">K29</f>
        <v>40.6929049201793</v>
      </c>
      <c r="K30" s="16" t="n">
        <f aca="false">J30+D30+F30-G30-H30</f>
        <v>29.5681809095115</v>
      </c>
    </row>
    <row r="31" customFormat="false" ht="12.75" hidden="false" customHeight="false" outlineLevel="0" collapsed="false">
      <c r="A31" s="49"/>
      <c r="B31" s="0" t="n">
        <v>29</v>
      </c>
      <c r="C31" s="50" t="n">
        <f aca="false">I30</f>
        <v>31.9759291038043</v>
      </c>
      <c r="D31" s="51" t="n">
        <f aca="false">C31*DiscRate/12</f>
        <v>0.130035445022137</v>
      </c>
      <c r="E31" s="51"/>
      <c r="F31" s="51"/>
      <c r="G31" s="52" t="n">
        <f aca="false">facts!$B$6/facts!$B$7</f>
        <v>11.3</v>
      </c>
      <c r="H31" s="53"/>
      <c r="I31" s="16" t="n">
        <f aca="false">C31+D31+E31+F31-G31-H31</f>
        <v>20.8059645488264</v>
      </c>
      <c r="J31" s="54" t="n">
        <f aca="false">K30</f>
        <v>29.5681809095115</v>
      </c>
      <c r="K31" s="16" t="n">
        <f aca="false">J31+D31+F31-G31-H31</f>
        <v>18.3982163545336</v>
      </c>
    </row>
    <row r="32" customFormat="false" ht="12.75" hidden="false" customHeight="false" outlineLevel="0" collapsed="false">
      <c r="A32" s="49" t="n">
        <v>36495</v>
      </c>
      <c r="B32" s="0" t="n">
        <v>30</v>
      </c>
      <c r="C32" s="50" t="n">
        <f aca="false">I31</f>
        <v>20.8059645488264</v>
      </c>
      <c r="D32" s="51" t="n">
        <f aca="false">C32*DiscRate/12</f>
        <v>0.0846109224985607</v>
      </c>
      <c r="E32" s="51" t="n">
        <v>24.715328</v>
      </c>
      <c r="F32" s="51" t="n">
        <v>0.35</v>
      </c>
      <c r="G32" s="52" t="n">
        <f aca="false">facts!$B$6/facts!$B$7</f>
        <v>11.3</v>
      </c>
      <c r="H32" s="52" t="n">
        <f aca="false">'facts premium'!$C$28*'facts premium'!$C$16/2</f>
        <v>9.05377460179791</v>
      </c>
      <c r="I32" s="16" t="n">
        <f aca="false">C32+D32+E32+F32-G32-H32</f>
        <v>25.6021288695271</v>
      </c>
      <c r="J32" s="54" t="n">
        <f aca="false">K31</f>
        <v>18.3982163545336</v>
      </c>
      <c r="K32" s="16" t="n">
        <f aca="false">J32+D32+F32-G32-H32</f>
        <v>-1.52094732476576</v>
      </c>
    </row>
    <row r="33" customFormat="false" ht="12.75" hidden="false" customHeight="false" outlineLevel="0" collapsed="false">
      <c r="A33" s="49" t="n">
        <v>36678</v>
      </c>
      <c r="B33" s="0" t="n">
        <v>36</v>
      </c>
      <c r="C33" s="50" t="n">
        <f aca="false">I32</f>
        <v>25.6021288695271</v>
      </c>
      <c r="D33" s="51" t="n">
        <f aca="false">C33*DiscRate/2</f>
        <v>0.62469194441646</v>
      </c>
      <c r="E33" s="51"/>
      <c r="F33" s="51" t="n">
        <v>0.35</v>
      </c>
      <c r="G33" s="52"/>
      <c r="H33" s="52" t="n">
        <f aca="false">'facts premium'!$C$28*'facts premium'!$C$16/2</f>
        <v>9.05377460179791</v>
      </c>
      <c r="I33" s="16" t="n">
        <f aca="false">C33+D33+E33+F33-G33-H33</f>
        <v>17.5230462121456</v>
      </c>
      <c r="J33" s="54" t="n">
        <f aca="false">K32</f>
        <v>-1.52094732476576</v>
      </c>
      <c r="K33" s="16" t="n">
        <f aca="false">J33+D33+F33-G33-H33</f>
        <v>-9.60002998214721</v>
      </c>
    </row>
    <row r="34" customFormat="false" ht="12.75" hidden="false" customHeight="false" outlineLevel="0" collapsed="false">
      <c r="A34" s="49" t="n">
        <v>36861</v>
      </c>
      <c r="B34" s="0" t="n">
        <v>42</v>
      </c>
      <c r="C34" s="50" t="n">
        <f aca="false">I33</f>
        <v>17.5230462121456</v>
      </c>
      <c r="D34" s="51" t="n">
        <f aca="false">C34*DiscRate/2</f>
        <v>0.427562327576353</v>
      </c>
      <c r="E34" s="51" t="n">
        <v>25.091313</v>
      </c>
      <c r="F34" s="51" t="n">
        <v>0.35</v>
      </c>
      <c r="G34" s="52"/>
      <c r="H34" s="52" t="n">
        <f aca="false">'facts premium'!$C$28*'facts premium'!$C$16/2</f>
        <v>9.05377460179791</v>
      </c>
      <c r="I34" s="16" t="n">
        <f aca="false">C34+D34+E34+F34-G34-H34</f>
        <v>34.338146937924</v>
      </c>
      <c r="J34" s="54" t="n">
        <f aca="false">K33</f>
        <v>-9.60002998214721</v>
      </c>
      <c r="K34" s="16" t="n">
        <f aca="false">J34+D34+F34-G34-H34</f>
        <v>-17.8762422563688</v>
      </c>
    </row>
    <row r="35" customFormat="false" ht="12.75" hidden="false" customHeight="false" outlineLevel="0" collapsed="false">
      <c r="A35" s="49" t="n">
        <f aca="false">A34+366/2</f>
        <v>37044</v>
      </c>
      <c r="B35" s="0" t="n">
        <v>48</v>
      </c>
      <c r="C35" s="50" t="n">
        <f aca="false">I34</f>
        <v>34.338146937924</v>
      </c>
      <c r="D35" s="51" t="n">
        <f aca="false">C35*DiscRate/2</f>
        <v>0.837850785285347</v>
      </c>
      <c r="E35" s="51"/>
      <c r="F35" s="51" t="n">
        <v>0.35</v>
      </c>
      <c r="G35" s="52"/>
      <c r="H35" s="52" t="n">
        <f aca="false">'facts premium'!$C$28*'facts premium'!$C$16/2</f>
        <v>9.05377460179791</v>
      </c>
      <c r="I35" s="16" t="n">
        <f aca="false">C35+D35+E35+F35-G35-H35</f>
        <v>26.4722231214115</v>
      </c>
      <c r="J35" s="54" t="n">
        <f aca="false">K34</f>
        <v>-17.8762422563688</v>
      </c>
      <c r="K35" s="16" t="n">
        <f aca="false">J35+D35+F35-G35-H35</f>
        <v>-25.7421660728813</v>
      </c>
    </row>
    <row r="36" customFormat="false" ht="12.75" hidden="false" customHeight="false" outlineLevel="0" collapsed="false">
      <c r="A36" s="49" t="n">
        <f aca="false">A35+366/2</f>
        <v>37227</v>
      </c>
      <c r="B36" s="0" t="n">
        <v>54</v>
      </c>
      <c r="C36" s="50" t="n">
        <f aca="false">I35</f>
        <v>26.4722231214115</v>
      </c>
      <c r="D36" s="51" t="n">
        <f aca="false">C36*DiscRate/2</f>
        <v>0.64592224416244</v>
      </c>
      <c r="E36" s="51" t="n">
        <v>25.48881</v>
      </c>
      <c r="F36" s="51" t="n">
        <v>0.35</v>
      </c>
      <c r="G36" s="52"/>
      <c r="H36" s="52" t="n">
        <f aca="false">'facts premium'!$C$28*'facts premium'!$C$16/2</f>
        <v>9.05377460179791</v>
      </c>
      <c r="I36" s="16" t="n">
        <f aca="false">C36+D36+E36+F36-G36-H36</f>
        <v>43.903180763776</v>
      </c>
      <c r="J36" s="54" t="n">
        <f aca="false">K35</f>
        <v>-25.7421660728813</v>
      </c>
      <c r="K36" s="16" t="n">
        <f aca="false">J36+D36+F36-G36-H36</f>
        <v>-33.8000184305168</v>
      </c>
    </row>
    <row r="37" customFormat="false" ht="12.75" hidden="false" customHeight="false" outlineLevel="0" collapsed="false">
      <c r="A37" s="49" t="n">
        <f aca="false">A36+366/2</f>
        <v>37410</v>
      </c>
      <c r="B37" s="0" t="n">
        <v>60</v>
      </c>
      <c r="C37" s="50" t="n">
        <f aca="false">I36</f>
        <v>43.903180763776</v>
      </c>
      <c r="D37" s="51" t="n">
        <f aca="false">C37*DiscRate/2</f>
        <v>1.07123761063613</v>
      </c>
      <c r="E37" s="51"/>
      <c r="F37" s="51" t="n">
        <v>0.35</v>
      </c>
      <c r="G37" s="52"/>
      <c r="H37" s="52" t="n">
        <f aca="false">'facts premium'!$C$28*'facts premium'!$C$16/2</f>
        <v>9.05377460179791</v>
      </c>
      <c r="I37" s="16" t="n">
        <f aca="false">C37+D37+E37+F37-G37-H37</f>
        <v>36.2706437726142</v>
      </c>
      <c r="J37" s="54" t="n">
        <f aca="false">K36</f>
        <v>-33.8000184305168</v>
      </c>
      <c r="K37" s="16" t="n">
        <f aca="false">J37+D37+F37-G37-H37</f>
        <v>-41.4325554216786</v>
      </c>
    </row>
    <row r="38" customFormat="false" ht="12.75" hidden="false" customHeight="false" outlineLevel="0" collapsed="false">
      <c r="A38" s="49" t="n">
        <f aca="false">A37+366/2</f>
        <v>37593</v>
      </c>
      <c r="B38" s="0" t="n">
        <v>66</v>
      </c>
      <c r="C38" s="50" t="n">
        <f aca="false">I37</f>
        <v>36.2706437726142</v>
      </c>
      <c r="D38" s="51" t="n">
        <f aca="false">C38*DiscRate/2</f>
        <v>0.885003708051787</v>
      </c>
      <c r="E38" s="51" t="n">
        <v>26.244265</v>
      </c>
      <c r="F38" s="51" t="n">
        <v>0.35</v>
      </c>
      <c r="G38" s="52"/>
      <c r="H38" s="52" t="n">
        <f aca="false">'facts premium'!$C$28*'facts premium'!$C$16/2</f>
        <v>9.05377460179791</v>
      </c>
      <c r="I38" s="16" t="n">
        <f aca="false">C38+D38+E38+F38-G38-H38</f>
        <v>54.6961378788681</v>
      </c>
      <c r="J38" s="54" t="n">
        <f aca="false">K37</f>
        <v>-41.4325554216786</v>
      </c>
      <c r="K38" s="16" t="n">
        <f aca="false">J38+D38+F38-G38-H38</f>
        <v>-49.2513263154247</v>
      </c>
    </row>
    <row r="39" customFormat="false" ht="12.75" hidden="false" customHeight="false" outlineLevel="0" collapsed="false">
      <c r="A39" s="49" t="n">
        <f aca="false">A38+366/2</f>
        <v>37776</v>
      </c>
      <c r="B39" s="0" t="n">
        <v>72</v>
      </c>
      <c r="C39" s="50" t="n">
        <f aca="false">I38</f>
        <v>54.6961378788681</v>
      </c>
      <c r="D39" s="51" t="n">
        <f aca="false">C39*DiscRate/2</f>
        <v>1.33458576424438</v>
      </c>
      <c r="E39" s="51"/>
      <c r="F39" s="51" t="n">
        <v>0.35</v>
      </c>
      <c r="G39" s="52"/>
      <c r="H39" s="52" t="n">
        <f aca="false">'facts premium'!$C$28*'facts premium'!$C$16/2</f>
        <v>9.05377460179791</v>
      </c>
      <c r="I39" s="16" t="n">
        <f aca="false">C39+D39+E39+F39-G39-H39</f>
        <v>47.3269490413146</v>
      </c>
      <c r="J39" s="54" t="n">
        <f aca="false">K38</f>
        <v>-49.2513263154247</v>
      </c>
      <c r="K39" s="16" t="n">
        <f aca="false">J39+D39+F39-G39-H39</f>
        <v>-56.6205151529782</v>
      </c>
    </row>
    <row r="40" customFormat="false" ht="12.75" hidden="false" customHeight="false" outlineLevel="0" collapsed="false">
      <c r="A40" s="49" t="n">
        <f aca="false">A39+366/2</f>
        <v>37959</v>
      </c>
      <c r="B40" s="0" t="n">
        <v>78</v>
      </c>
      <c r="C40" s="50" t="n">
        <f aca="false">I39</f>
        <v>47.3269490413146</v>
      </c>
      <c r="D40" s="51" t="n">
        <f aca="false">C40*DiscRate/2</f>
        <v>1.15477755660808</v>
      </c>
      <c r="E40" s="51" t="n">
        <v>27.316484</v>
      </c>
      <c r="F40" s="51" t="n">
        <v>0.35</v>
      </c>
      <c r="G40" s="52"/>
      <c r="H40" s="52" t="n">
        <f aca="false">'facts premium'!$C$28*'facts premium'!$C$16/2</f>
        <v>9.05377460179791</v>
      </c>
      <c r="I40" s="16" t="n">
        <f aca="false">C40+D40+E40+F40-G40-H40</f>
        <v>67.0944359961247</v>
      </c>
      <c r="J40" s="54" t="n">
        <f aca="false">K39</f>
        <v>-56.6205151529782</v>
      </c>
      <c r="K40" s="16" t="n">
        <f aca="false">J40+D40+F40-G40-H40</f>
        <v>-64.1695121981681</v>
      </c>
    </row>
    <row r="41" customFormat="false" ht="12.75" hidden="false" customHeight="false" outlineLevel="0" collapsed="false">
      <c r="A41" s="49" t="n">
        <f aca="false">A40+366/2</f>
        <v>38142</v>
      </c>
      <c r="B41" s="0" t="n">
        <v>84</v>
      </c>
      <c r="C41" s="50" t="n">
        <f aca="false">I40</f>
        <v>67.0944359961247</v>
      </c>
      <c r="D41" s="51" t="n">
        <f aca="false">C41*DiscRate/2</f>
        <v>1.63710423830544</v>
      </c>
      <c r="E41" s="51"/>
      <c r="F41" s="51" t="n">
        <v>0.35</v>
      </c>
      <c r="G41" s="52"/>
      <c r="H41" s="52" t="n">
        <f aca="false">'facts premium'!$C$28*'facts premium'!$C$16/2</f>
        <v>9.05377460179791</v>
      </c>
      <c r="I41" s="16" t="n">
        <f aca="false">C41+D41+E41+F41-G41-H41</f>
        <v>60.0277656326323</v>
      </c>
      <c r="J41" s="54" t="n">
        <f aca="false">K40</f>
        <v>-64.1695121981681</v>
      </c>
      <c r="K41" s="16" t="n">
        <f aca="false">J41+D41+F41-G41-H41</f>
        <v>-71.2361825616605</v>
      </c>
    </row>
    <row r="42" customFormat="false" ht="12.75" hidden="false" customHeight="false" outlineLevel="0" collapsed="false">
      <c r="A42" s="49" t="n">
        <f aca="false">A41+366/2</f>
        <v>38325</v>
      </c>
      <c r="B42" s="0" t="n">
        <v>90</v>
      </c>
      <c r="C42" s="50" t="n">
        <f aca="false">I41</f>
        <v>60.0277656326323</v>
      </c>
      <c r="D42" s="51" t="n">
        <f aca="false">C42*DiscRate/2</f>
        <v>1.46467748143623</v>
      </c>
      <c r="E42" s="51" t="n">
        <v>28.432512</v>
      </c>
      <c r="F42" s="51" t="n">
        <v>0.35</v>
      </c>
      <c r="G42" s="52"/>
      <c r="H42" s="52" t="n">
        <f aca="false">'facts premium'!$C$28*'facts premium'!$C$16/2</f>
        <v>9.05377460179791</v>
      </c>
      <c r="I42" s="16" t="n">
        <f aca="false">C42+D42+E42+F42-G42-H42</f>
        <v>81.2211805122706</v>
      </c>
      <c r="J42" s="54" t="n">
        <f aca="false">K41</f>
        <v>-71.2361825616605</v>
      </c>
      <c r="K42" s="16" t="n">
        <f aca="false">J42+D42+F42-G42-H42</f>
        <v>-78.4752796820222</v>
      </c>
    </row>
    <row r="43" customFormat="false" ht="12.75" hidden="false" customHeight="false" outlineLevel="0" collapsed="false">
      <c r="A43" s="49" t="n">
        <f aca="false">A42+366/2</f>
        <v>38508</v>
      </c>
      <c r="B43" s="0" t="n">
        <v>96</v>
      </c>
      <c r="C43" s="50" t="n">
        <f aca="false">I42</f>
        <v>81.2211805122706</v>
      </c>
      <c r="D43" s="51" t="n">
        <f aca="false">C43*DiscRate/2</f>
        <v>1.9817968044994</v>
      </c>
      <c r="E43" s="51"/>
      <c r="F43" s="51" t="n">
        <v>0.35</v>
      </c>
      <c r="G43" s="52"/>
      <c r="H43" s="52" t="n">
        <f aca="false">'facts premium'!$C$28*'facts premium'!$C$16/2</f>
        <v>9.05377460179791</v>
      </c>
      <c r="I43" s="16" t="n">
        <f aca="false">C43+D43+E43+F43-G43-H43</f>
        <v>74.4992027149721</v>
      </c>
      <c r="J43" s="54" t="n">
        <f aca="false">K42</f>
        <v>-78.4752796820222</v>
      </c>
      <c r="K43" s="16" t="n">
        <f aca="false">J43+D43+F43-G43-H43</f>
        <v>-85.1972574793207</v>
      </c>
    </row>
    <row r="44" customFormat="false" ht="12.75" hidden="false" customHeight="false" outlineLevel="0" collapsed="false">
      <c r="A44" s="49" t="n">
        <f aca="false">A43+366/2</f>
        <v>38691</v>
      </c>
      <c r="B44" s="0" t="n">
        <v>102</v>
      </c>
      <c r="C44" s="50" t="n">
        <f aca="false">I43</f>
        <v>74.4992027149721</v>
      </c>
      <c r="D44" s="51" t="n">
        <f aca="false">C44*DiscRate/2</f>
        <v>1.81778054624532</v>
      </c>
      <c r="E44" s="51" t="n">
        <v>29.594139</v>
      </c>
      <c r="F44" s="51" t="n">
        <v>0.35</v>
      </c>
      <c r="G44" s="52"/>
      <c r="H44" s="52" t="n">
        <f aca="false">'facts premium'!$C$28*'facts premium'!$C$16/2</f>
        <v>9.05377460179791</v>
      </c>
      <c r="I44" s="16" t="n">
        <f aca="false">C44+D44+E44+F44-G44-H44</f>
        <v>97.2073476594195</v>
      </c>
      <c r="J44" s="54" t="n">
        <f aca="false">K43</f>
        <v>-85.1972574793207</v>
      </c>
      <c r="K44" s="16" t="n">
        <f aca="false">J44+D44+F44-G44-H44</f>
        <v>-92.0832515348733</v>
      </c>
    </row>
    <row r="45" customFormat="false" ht="12.75" hidden="false" customHeight="false" outlineLevel="0" collapsed="false">
      <c r="A45" s="49" t="n">
        <f aca="false">A44+366/2</f>
        <v>38874</v>
      </c>
      <c r="B45" s="0" t="n">
        <v>108</v>
      </c>
      <c r="C45" s="50" t="n">
        <f aca="false">I44</f>
        <v>97.2073476594195</v>
      </c>
      <c r="D45" s="51" t="n">
        <f aca="false">C45*DiscRate/2</f>
        <v>2.37185928288984</v>
      </c>
      <c r="E45" s="51"/>
      <c r="F45" s="51" t="n">
        <v>0.35</v>
      </c>
      <c r="G45" s="52"/>
      <c r="H45" s="52" t="n">
        <f aca="false">'facts premium'!$C$28*'facts premium'!$C$16/2</f>
        <v>9.05377460179791</v>
      </c>
      <c r="I45" s="16" t="n">
        <f aca="false">C45+D45+E45+F45-G45-H45</f>
        <v>90.8754323405114</v>
      </c>
      <c r="J45" s="54" t="n">
        <f aca="false">K44</f>
        <v>-92.0832515348733</v>
      </c>
      <c r="K45" s="16" t="n">
        <f aca="false">J45+D45+F45-G45-H45</f>
        <v>-98.4151668537814</v>
      </c>
    </row>
    <row r="46" customFormat="false" ht="12.75" hidden="false" customHeight="false" outlineLevel="0" collapsed="false">
      <c r="A46" s="49" t="n">
        <f aca="false">A45+366/2</f>
        <v>39057</v>
      </c>
      <c r="B46" s="0" t="n">
        <v>114</v>
      </c>
      <c r="C46" s="50" t="n">
        <f aca="false">I45</f>
        <v>90.8754323405114</v>
      </c>
      <c r="D46" s="51" t="n">
        <f aca="false">C46*DiscRate/2</f>
        <v>2.21736054910848</v>
      </c>
      <c r="E46" s="51" t="n">
        <v>30.803229</v>
      </c>
      <c r="F46" s="51" t="n">
        <v>0.35</v>
      </c>
      <c r="G46" s="52"/>
      <c r="H46" s="52" t="n">
        <f aca="false">'facts premium'!$C$28*'facts premium'!$C$16/2</f>
        <v>9.05377460179791</v>
      </c>
      <c r="I46" s="16" t="n">
        <f aca="false">C46+D46+E46+F46-G46-H46</f>
        <v>115.192247287822</v>
      </c>
      <c r="J46" s="54" t="n">
        <f aca="false">K45</f>
        <v>-98.4151668537814</v>
      </c>
      <c r="K46" s="16" t="n">
        <f aca="false">J46+D46+F46-G46-H46</f>
        <v>-104.901580906471</v>
      </c>
    </row>
    <row r="47" customFormat="false" ht="12.75" hidden="false" customHeight="false" outlineLevel="0" collapsed="false">
      <c r="A47" s="49" t="n">
        <f aca="false">A46+366/2</f>
        <v>39240</v>
      </c>
      <c r="B47" s="0" t="n">
        <v>120</v>
      </c>
      <c r="C47" s="50" t="n">
        <f aca="false">I46</f>
        <v>115.192247287822</v>
      </c>
      <c r="D47" s="51" t="n">
        <f aca="false">C47*DiscRate/2</f>
        <v>2.81069083382286</v>
      </c>
      <c r="E47" s="51"/>
      <c r="F47" s="51" t="n">
        <v>0.35</v>
      </c>
      <c r="G47" s="52"/>
      <c r="H47" s="52" t="n">
        <f aca="false">'facts premium'!$C$28*'facts premium'!$C$16/2</f>
        <v>9.05377460179791</v>
      </c>
      <c r="I47" s="16" t="n">
        <f aca="false">C47+D47+E47+F47-G47-H47</f>
        <v>109.299163519847</v>
      </c>
      <c r="J47" s="54" t="n">
        <f aca="false">K46</f>
        <v>-104.901580906471</v>
      </c>
      <c r="K47" s="16" t="n">
        <f aca="false">J47+D47+F47-G47-H47</f>
        <v>-110.794664674446</v>
      </c>
    </row>
    <row r="48" customFormat="false" ht="12.75" hidden="false" customHeight="false" outlineLevel="0" collapsed="false">
      <c r="A48" s="49" t="n">
        <f aca="false">A47+366/2</f>
        <v>39423</v>
      </c>
      <c r="B48" s="0" t="n">
        <v>126</v>
      </c>
      <c r="C48" s="50" t="n">
        <f aca="false">I47</f>
        <v>109.299163519847</v>
      </c>
      <c r="D48" s="51" t="n">
        <f aca="false">C48*DiscRate/2</f>
        <v>2.66689958988426</v>
      </c>
      <c r="E48" s="51" t="n">
        <v>32.06172</v>
      </c>
      <c r="F48" s="51" t="n">
        <v>0.35</v>
      </c>
      <c r="G48" s="52"/>
      <c r="H48" s="52" t="n">
        <f aca="false">'facts premium'!$C$28*'facts premium'!$C$16/2</f>
        <v>9.05377460179791</v>
      </c>
      <c r="I48" s="16" t="n">
        <f aca="false">C48+D48+E48+F48-G48-H48</f>
        <v>135.324008507933</v>
      </c>
      <c r="J48" s="54" t="n">
        <f aca="false">K47</f>
        <v>-110.794664674446</v>
      </c>
      <c r="K48" s="16" t="n">
        <f aca="false">J48+D48+F48-G48-H48</f>
        <v>-116.83153968636</v>
      </c>
    </row>
    <row r="49" customFormat="false" ht="12.75" hidden="false" customHeight="false" outlineLevel="0" collapsed="false">
      <c r="A49" s="49" t="n">
        <f aca="false">A48+366/2</f>
        <v>39606</v>
      </c>
      <c r="B49" s="0" t="n">
        <v>132</v>
      </c>
      <c r="C49" s="50" t="n">
        <f aca="false">I48</f>
        <v>135.324008507933</v>
      </c>
      <c r="D49" s="51" t="n">
        <f aca="false">C49*DiscRate/2</f>
        <v>3.30190580759357</v>
      </c>
      <c r="E49" s="51"/>
      <c r="F49" s="51" t="n">
        <v>0.35</v>
      </c>
      <c r="G49" s="52"/>
      <c r="H49" s="52" t="n">
        <f aca="false">'facts premium'!$C$28*'facts premium'!$C$16/2</f>
        <v>9.05377460179791</v>
      </c>
      <c r="I49" s="16" t="n">
        <f aca="false">C49+D49+E49+F49-G49-H49</f>
        <v>129.922139713729</v>
      </c>
      <c r="J49" s="54" t="n">
        <f aca="false">K48</f>
        <v>-116.83153968636</v>
      </c>
      <c r="K49" s="16" t="n">
        <f aca="false">J49+D49+F49-G49-H49</f>
        <v>-122.233408480564</v>
      </c>
    </row>
    <row r="50" customFormat="false" ht="12.75" hidden="false" customHeight="false" outlineLevel="0" collapsed="false">
      <c r="A50" s="49" t="n">
        <f aca="false">A49+366/2</f>
        <v>39789</v>
      </c>
      <c r="B50" s="0" t="n">
        <v>138</v>
      </c>
      <c r="C50" s="50" t="n">
        <f aca="false">I49</f>
        <v>129.922139713729</v>
      </c>
      <c r="D50" s="51" t="n">
        <f aca="false">C50*DiscRate/2</f>
        <v>3.17010020901499</v>
      </c>
      <c r="E50" s="51" t="n">
        <v>33.371633</v>
      </c>
      <c r="F50" s="51" t="n">
        <v>0.35</v>
      </c>
      <c r="G50" s="52"/>
      <c r="H50" s="52" t="n">
        <f aca="false">'facts premium'!$C$28*'facts premium'!$C$16/2</f>
        <v>9.05377460179791</v>
      </c>
      <c r="I50" s="16" t="n">
        <f aca="false">C50+D50+E50+F50-G50-H50</f>
        <v>157.760098320946</v>
      </c>
      <c r="J50" s="54" t="n">
        <f aca="false">K49</f>
        <v>-122.233408480564</v>
      </c>
      <c r="K50" s="16" t="n">
        <f aca="false">J50+D50+F50-G50-H50</f>
        <v>-127.767082873347</v>
      </c>
    </row>
    <row r="51" customFormat="false" ht="12.75" hidden="false" customHeight="false" outlineLevel="0" collapsed="false">
      <c r="A51" s="49" t="n">
        <f aca="false">A50+366/2</f>
        <v>39972</v>
      </c>
      <c r="B51" s="0" t="n">
        <v>144</v>
      </c>
      <c r="C51" s="50" t="n">
        <f aca="false">I50</f>
        <v>157.760098320946</v>
      </c>
      <c r="D51" s="51" t="n">
        <f aca="false">C51*DiscRate/2</f>
        <v>3.84934639903108</v>
      </c>
      <c r="E51" s="51"/>
      <c r="F51" s="51" t="n">
        <v>0.35</v>
      </c>
      <c r="G51" s="52"/>
      <c r="H51" s="52" t="n">
        <f aca="false">'facts premium'!$C$28*'facts premium'!$C$16/2</f>
        <v>9.05377460179791</v>
      </c>
      <c r="I51" s="16" t="n">
        <f aca="false">C51+D51+E51+F51-G51-H51</f>
        <v>152.905670118179</v>
      </c>
      <c r="J51" s="54" t="n">
        <f aca="false">K50</f>
        <v>-127.767082873347</v>
      </c>
      <c r="K51" s="16" t="n">
        <f aca="false">J51+D51+F51-G51-H51</f>
        <v>-132.621511076114</v>
      </c>
    </row>
    <row r="52" customFormat="false" ht="12.75" hidden="false" customHeight="false" outlineLevel="0" collapsed="false">
      <c r="A52" s="49" t="n">
        <f aca="false">A51+366/2</f>
        <v>40155</v>
      </c>
      <c r="B52" s="0" t="n">
        <v>150</v>
      </c>
      <c r="C52" s="50" t="n">
        <f aca="false">I51</f>
        <v>152.905670118179</v>
      </c>
      <c r="D52" s="51" t="n">
        <f aca="false">C52*DiscRate/2</f>
        <v>3.73089835088357</v>
      </c>
      <c r="E52" s="51" t="n">
        <v>34.735066</v>
      </c>
      <c r="F52" s="51" t="n">
        <v>0.35</v>
      </c>
      <c r="G52" s="52"/>
      <c r="H52" s="52" t="n">
        <f aca="false">'facts premium'!$C$28*'facts premium'!$C$16/2</f>
        <v>9.05377460179791</v>
      </c>
      <c r="I52" s="16" t="n">
        <f aca="false">C52+D52+E52+F52-G52-H52</f>
        <v>182.667859867265</v>
      </c>
      <c r="J52" s="54" t="n">
        <f aca="false">K51</f>
        <v>-132.621511076114</v>
      </c>
      <c r="K52" s="16" t="n">
        <f aca="false">J52+D52+F52-G52-H52</f>
        <v>-137.594387327028</v>
      </c>
    </row>
    <row r="53" customFormat="false" ht="12.75" hidden="false" customHeight="false" outlineLevel="0" collapsed="false">
      <c r="A53" s="49" t="n">
        <f aca="false">A52+366/2</f>
        <v>40338</v>
      </c>
      <c r="B53" s="0" t="n">
        <v>156</v>
      </c>
      <c r="C53" s="50" t="n">
        <f aca="false">I52</f>
        <v>182.667859867265</v>
      </c>
      <c r="D53" s="51" t="n">
        <f aca="false">C53*DiscRate/2</f>
        <v>4.45709578076126</v>
      </c>
      <c r="E53" s="51"/>
      <c r="F53" s="51" t="n">
        <v>0.35</v>
      </c>
      <c r="G53" s="52"/>
      <c r="H53" s="52" t="n">
        <f aca="false">'facts premium'!$C$28*'facts premium'!$C$16/2</f>
        <v>9.05377460179791</v>
      </c>
      <c r="I53" s="16" t="n">
        <f aca="false">C53+D53+E53+F53-G53-H53</f>
        <v>178.421181046228</v>
      </c>
      <c r="J53" s="54" t="n">
        <f aca="false">K52</f>
        <v>-137.594387327028</v>
      </c>
      <c r="K53" s="16" t="n">
        <f aca="false">J53+D53+F53-G53-H53</f>
        <v>-141.841066148065</v>
      </c>
    </row>
    <row r="54" customFormat="false" ht="12.75" hidden="false" customHeight="false" outlineLevel="0" collapsed="false">
      <c r="A54" s="49" t="n">
        <f aca="false">A53+366/2</f>
        <v>40521</v>
      </c>
      <c r="B54" s="0" t="n">
        <v>162</v>
      </c>
      <c r="C54" s="50" t="n">
        <f aca="false">I53</f>
        <v>178.421181046228</v>
      </c>
      <c r="D54" s="51" t="n">
        <f aca="false">C54*DiscRate/2</f>
        <v>4.35347681752797</v>
      </c>
      <c r="E54" s="51" t="n">
        <v>36.154209</v>
      </c>
      <c r="F54" s="51" t="n">
        <v>0.35</v>
      </c>
      <c r="G54" s="52"/>
      <c r="H54" s="52" t="n">
        <f aca="false">'facts premium'!$C$28*'facts premium'!$C$16/2</f>
        <v>9.05377460179791</v>
      </c>
      <c r="I54" s="16" t="n">
        <f aca="false">C54+D54+E54+F54-G54-H54</f>
        <v>210.225092261958</v>
      </c>
      <c r="J54" s="54" t="n">
        <f aca="false">K53</f>
        <v>-141.841066148065</v>
      </c>
      <c r="K54" s="16" t="n">
        <f aca="false">J54+D54+F54-G54-H54</f>
        <v>-146.191363932335</v>
      </c>
    </row>
    <row r="55" customFormat="false" ht="12.75" hidden="false" customHeight="false" outlineLevel="0" collapsed="false">
      <c r="A55" s="49" t="n">
        <f aca="false">A54+366/2</f>
        <v>40704</v>
      </c>
      <c r="B55" s="0" t="n">
        <v>168</v>
      </c>
      <c r="C55" s="50" t="n">
        <f aca="false">I54</f>
        <v>210.225092261958</v>
      </c>
      <c r="D55" s="51" t="n">
        <f aca="false">C55*DiscRate/2</f>
        <v>5.12949225119178</v>
      </c>
      <c r="E55" s="51"/>
      <c r="F55" s="51" t="n">
        <v>0.35</v>
      </c>
      <c r="G55" s="52"/>
      <c r="H55" s="52" t="n">
        <f aca="false">'facts premium'!$C$28*'facts premium'!$C$16/2</f>
        <v>9.05377460179791</v>
      </c>
      <c r="I55" s="16" t="n">
        <f aca="false">C55+D55+E55+F55-G55-H55</f>
        <v>206.650809911352</v>
      </c>
      <c r="J55" s="54" t="n">
        <f aca="false">K54</f>
        <v>-146.191363932335</v>
      </c>
      <c r="K55" s="16" t="n">
        <f aca="false">J55+D55+F55-G55-H55</f>
        <v>-149.765646282941</v>
      </c>
    </row>
    <row r="56" customFormat="false" ht="12.75" hidden="false" customHeight="false" outlineLevel="0" collapsed="false">
      <c r="A56" s="49" t="n">
        <f aca="false">A55+366/2</f>
        <v>40887</v>
      </c>
      <c r="B56" s="0" t="n">
        <v>174</v>
      </c>
      <c r="C56" s="50" t="n">
        <f aca="false">I55</f>
        <v>206.650809911352</v>
      </c>
      <c r="D56" s="51" t="n">
        <f aca="false">C56*DiscRate/2</f>
        <v>5.04227976183699</v>
      </c>
      <c r="E56" s="51" t="n">
        <v>37.631336</v>
      </c>
      <c r="F56" s="51" t="n">
        <v>0.35</v>
      </c>
      <c r="G56" s="52"/>
      <c r="H56" s="52" t="n">
        <f aca="false">'facts premium'!$C$28*'facts premium'!$C$16/2</f>
        <v>9.05377460179791</v>
      </c>
      <c r="I56" s="16" t="n">
        <f aca="false">C56+D56+E56+F56-G56-H56</f>
        <v>240.620651071391</v>
      </c>
      <c r="J56" s="54" t="n">
        <f aca="false">K55</f>
        <v>-149.765646282941</v>
      </c>
      <c r="K56" s="16" t="n">
        <f aca="false">J56+D56+F56-G56-H56</f>
        <v>-153.427141122902</v>
      </c>
    </row>
    <row r="57" customFormat="false" ht="12.75" hidden="false" customHeight="false" outlineLevel="0" collapsed="false">
      <c r="A57" s="49" t="n">
        <f aca="false">A56+366/2</f>
        <v>41070</v>
      </c>
      <c r="B57" s="0" t="n">
        <v>180</v>
      </c>
      <c r="C57" s="50" t="n">
        <f aca="false">I56</f>
        <v>240.620651071391</v>
      </c>
      <c r="D57" s="51" t="n">
        <f aca="false">C57*DiscRate/2</f>
        <v>5.87114388614194</v>
      </c>
      <c r="E57" s="51"/>
      <c r="F57" s="51" t="n">
        <v>0.35</v>
      </c>
      <c r="G57" s="52"/>
      <c r="H57" s="52" t="n">
        <f aca="false">'facts premium'!$C$28*'facts premium'!$C$16/2</f>
        <v>9.05377460179791</v>
      </c>
      <c r="I57" s="16" t="n">
        <f aca="false">C57+D57+E57+F57-G57-H57</f>
        <v>237.788020355735</v>
      </c>
      <c r="J57" s="54" t="n">
        <f aca="false">K56</f>
        <v>-153.427141122902</v>
      </c>
      <c r="K57" s="16" t="n">
        <f aca="false">J57+D57+F57-G57-H57</f>
        <v>-156.259771838558</v>
      </c>
    </row>
    <row r="58" customFormat="false" ht="12.75" hidden="false" customHeight="false" outlineLevel="0" collapsed="false">
      <c r="A58" s="49" t="n">
        <f aca="false">A57+366/2</f>
        <v>41253</v>
      </c>
      <c r="B58" s="0" t="n">
        <v>186</v>
      </c>
      <c r="C58" s="50" t="n">
        <f aca="false">I57</f>
        <v>237.788020355735</v>
      </c>
      <c r="D58" s="51" t="n">
        <f aca="false">C58*DiscRate/2</f>
        <v>5.80202769667994</v>
      </c>
      <c r="E58" s="51" t="n">
        <v>39.168818</v>
      </c>
      <c r="F58" s="51" t="n">
        <v>0.35</v>
      </c>
      <c r="G58" s="52"/>
      <c r="H58" s="52" t="n">
        <f aca="false">'facts premium'!$C$28*'facts premium'!$C$16/2</f>
        <v>9.05377460179791</v>
      </c>
      <c r="I58" s="16" t="n">
        <f aca="false">C58+D58+E58+F58-G58-H58</f>
        <v>274.055091450617</v>
      </c>
      <c r="J58" s="54" t="n">
        <f aca="false">K57</f>
        <v>-156.259771838558</v>
      </c>
      <c r="K58" s="16" t="n">
        <f aca="false">J58+D58+F58-G58-H58</f>
        <v>-159.161518743676</v>
      </c>
    </row>
    <row r="59" customFormat="false" ht="12.75" hidden="false" customHeight="false" outlineLevel="0" collapsed="false">
      <c r="A59" s="49" t="n">
        <f aca="false">A58+366/2</f>
        <v>41436</v>
      </c>
      <c r="B59" s="0" t="n">
        <v>192</v>
      </c>
      <c r="C59" s="50" t="n">
        <f aca="false">I58</f>
        <v>274.055091450617</v>
      </c>
      <c r="D59" s="51" t="n">
        <f aca="false">C59*DiscRate/2</f>
        <v>6.68694423139506</v>
      </c>
      <c r="E59" s="51"/>
      <c r="F59" s="51" t="n">
        <v>0.35</v>
      </c>
      <c r="G59" s="52"/>
      <c r="H59" s="52" t="n">
        <f aca="false">'facts premium'!$C$28*'facts premium'!$C$16/2</f>
        <v>9.05377460179791</v>
      </c>
      <c r="I59" s="16" t="n">
        <f aca="false">C59+D59+E59+F59-G59-H59</f>
        <v>272.038261080214</v>
      </c>
      <c r="J59" s="54" t="n">
        <f aca="false">K58</f>
        <v>-159.161518743676</v>
      </c>
      <c r="K59" s="16" t="n">
        <f aca="false">J59+D59+F59-G59-H59</f>
        <v>-161.178349114079</v>
      </c>
    </row>
    <row r="60" customFormat="false" ht="12.75" hidden="false" customHeight="false" outlineLevel="0" collapsed="false">
      <c r="A60" s="49" t="n">
        <f aca="false">A59+366/2</f>
        <v>41619</v>
      </c>
      <c r="B60" s="0" t="n">
        <v>198</v>
      </c>
      <c r="C60" s="50" t="n">
        <f aca="false">I59</f>
        <v>272.038261080214</v>
      </c>
      <c r="D60" s="51" t="n">
        <f aca="false">C60*DiscRate/2</f>
        <v>6.63773357035723</v>
      </c>
      <c r="E60" s="51" t="n">
        <v>40.769121</v>
      </c>
      <c r="F60" s="51" t="n">
        <v>0.35</v>
      </c>
      <c r="G60" s="52"/>
      <c r="H60" s="52" t="n">
        <f aca="false">'facts premium'!$C$28*'facts premium'!$C$16/2</f>
        <v>9.05377460179791</v>
      </c>
      <c r="I60" s="16" t="n">
        <f aca="false">C60+D60+E60+F60-G60-H60</f>
        <v>310.741341048774</v>
      </c>
      <c r="J60" s="54" t="n">
        <f aca="false">K59</f>
        <v>-161.178349114079</v>
      </c>
      <c r="K60" s="16" t="n">
        <f aca="false">J60+D60+F60-G60-H60</f>
        <v>-163.244390145519</v>
      </c>
    </row>
    <row r="61" customFormat="false" ht="12.75" hidden="false" customHeight="false" outlineLevel="0" collapsed="false">
      <c r="A61" s="49" t="n">
        <f aca="false">A60+366/2</f>
        <v>41802</v>
      </c>
      <c r="B61" s="0" t="n">
        <v>204</v>
      </c>
      <c r="C61" s="50" t="n">
        <f aca="false">I60</f>
        <v>310.741341048774</v>
      </c>
      <c r="D61" s="51" t="n">
        <f aca="false">C61*DiscRate/2</f>
        <v>7.58208872159008</v>
      </c>
      <c r="E61" s="51"/>
      <c r="F61" s="51" t="n">
        <v>0.35</v>
      </c>
      <c r="G61" s="52"/>
      <c r="H61" s="52" t="n">
        <f aca="false">'facts premium'!$C$28*'facts premium'!$C$16/2</f>
        <v>9.05377460179791</v>
      </c>
      <c r="I61" s="16" t="n">
        <f aca="false">C61+D61+E61+F61-G61-H61</f>
        <v>309.619655168566</v>
      </c>
      <c r="J61" s="54" t="n">
        <f aca="false">K60</f>
        <v>-163.244390145519</v>
      </c>
      <c r="K61" s="16" t="n">
        <f aca="false">J61+D61+F61-G61-H61</f>
        <v>-164.366076025727</v>
      </c>
    </row>
    <row r="62" customFormat="false" ht="12.75" hidden="false" customHeight="false" outlineLevel="0" collapsed="false">
      <c r="A62" s="49" t="n">
        <f aca="false">A61+366/2</f>
        <v>41985</v>
      </c>
      <c r="B62" s="0" t="n">
        <v>210</v>
      </c>
      <c r="C62" s="50" t="n">
        <f aca="false">I61</f>
        <v>309.619655168566</v>
      </c>
      <c r="D62" s="51" t="n">
        <f aca="false">C62*DiscRate/2</f>
        <v>7.55471958611301</v>
      </c>
      <c r="E62" s="51" t="n">
        <v>42.434811</v>
      </c>
      <c r="F62" s="51" t="n">
        <v>0.35</v>
      </c>
      <c r="G62" s="52"/>
      <c r="H62" s="52" t="n">
        <f aca="false">'facts premium'!$C$28*'facts premium'!$C$16/2</f>
        <v>9.05377460179791</v>
      </c>
      <c r="I62" s="16" t="n">
        <f aca="false">C62+D62+E62+F62-G62-H62</f>
        <v>350.905411152881</v>
      </c>
      <c r="J62" s="54" t="n">
        <f aca="false">K61</f>
        <v>-164.366076025727</v>
      </c>
      <c r="K62" s="16" t="n">
        <f aca="false">J62+D62+F62-G62-H62</f>
        <v>-165.515131041412</v>
      </c>
    </row>
    <row r="63" customFormat="false" ht="12.75" hidden="false" customHeight="false" outlineLevel="0" collapsed="false">
      <c r="A63" s="49" t="n">
        <f aca="false">A62+366/2</f>
        <v>42168</v>
      </c>
      <c r="B63" s="0" t="n">
        <v>216</v>
      </c>
      <c r="C63" s="50" t="n">
        <f aca="false">I62</f>
        <v>350.905411152881</v>
      </c>
      <c r="D63" s="51" t="n">
        <f aca="false">C63*DiscRate/2</f>
        <v>8.5620920321303</v>
      </c>
      <c r="E63" s="51"/>
      <c r="F63" s="51" t="n">
        <v>0.35</v>
      </c>
      <c r="G63" s="52"/>
      <c r="H63" s="52" t="n">
        <f aca="false">'facts premium'!$C$28*'facts premium'!$C$16/2</f>
        <v>9.05377460179791</v>
      </c>
      <c r="I63" s="16" t="n">
        <f aca="false">C63+D63+E63+F63-G63-H63</f>
        <v>350.763728583213</v>
      </c>
      <c r="J63" s="54" t="n">
        <f aca="false">K62</f>
        <v>-165.515131041412</v>
      </c>
      <c r="K63" s="16" t="n">
        <f aca="false">J63+D63+F63-G63-H63</f>
        <v>-165.65681361108</v>
      </c>
    </row>
    <row r="64" customFormat="false" ht="12.75" hidden="false" customHeight="false" outlineLevel="0" collapsed="false">
      <c r="A64" s="49" t="n">
        <f aca="false">A63+366/2</f>
        <v>42351</v>
      </c>
      <c r="B64" s="0" t="n">
        <v>222</v>
      </c>
      <c r="C64" s="50" t="n">
        <f aca="false">I63</f>
        <v>350.763728583213</v>
      </c>
      <c r="D64" s="51" t="n">
        <f aca="false">C64*DiscRate/2</f>
        <v>8.55863497743041</v>
      </c>
      <c r="E64" s="51" t="n">
        <v>44.168561</v>
      </c>
      <c r="F64" s="51" t="n">
        <v>0.35</v>
      </c>
      <c r="G64" s="52"/>
      <c r="H64" s="52" t="n">
        <f aca="false">'facts premium'!$C$28*'facts premium'!$C$16/2</f>
        <v>9.05377460179791</v>
      </c>
      <c r="I64" s="16" t="n">
        <f aca="false">C64+D64+E64+F64-G64-H64</f>
        <v>394.787149958846</v>
      </c>
      <c r="J64" s="54" t="n">
        <f aca="false">K63</f>
        <v>-165.65681361108</v>
      </c>
      <c r="K64" s="16" t="n">
        <f aca="false">J64+D64+F64-G64-H64</f>
        <v>-165.801953235447</v>
      </c>
    </row>
    <row r="65" customFormat="false" ht="12.75" hidden="false" customHeight="false" outlineLevel="0" collapsed="false">
      <c r="A65" s="49" t="n">
        <f aca="false">A64+366/2</f>
        <v>42534</v>
      </c>
      <c r="B65" s="0" t="n">
        <v>228</v>
      </c>
      <c r="C65" s="50" t="n">
        <f aca="false">I64</f>
        <v>394.787149958846</v>
      </c>
      <c r="D65" s="51" t="n">
        <f aca="false">C65*DiscRate/2</f>
        <v>9.63280645899584</v>
      </c>
      <c r="E65" s="51"/>
      <c r="F65" s="51" t="n">
        <v>0.35</v>
      </c>
      <c r="G65" s="52"/>
      <c r="H65" s="52" t="n">
        <f aca="false">'facts premium'!$C$28*'facts premium'!$C$16/2</f>
        <v>9.05377460179791</v>
      </c>
      <c r="I65" s="16" t="n">
        <f aca="false">C65+D65+E65+F65-G65-H65</f>
        <v>395.716181816044</v>
      </c>
      <c r="J65" s="54" t="n">
        <f aca="false">K64</f>
        <v>-165.801953235447</v>
      </c>
      <c r="K65" s="16" t="n">
        <f aca="false">J65+D65+F65-G65-H65</f>
        <v>-164.872921378249</v>
      </c>
    </row>
    <row r="66" customFormat="false" ht="12.75" hidden="false" customHeight="false" outlineLevel="0" collapsed="false">
      <c r="A66" s="49" t="n">
        <f aca="false">A65+366/2</f>
        <v>42717</v>
      </c>
      <c r="B66" s="0" t="n">
        <v>234</v>
      </c>
      <c r="C66" s="50" t="n">
        <f aca="false">I65</f>
        <v>395.716181816044</v>
      </c>
      <c r="D66" s="51" t="n">
        <f aca="false">C66*DiscRate/2</f>
        <v>9.65547483631147</v>
      </c>
      <c r="E66" s="51"/>
      <c r="F66" s="51" t="n">
        <v>0.35</v>
      </c>
      <c r="G66" s="51"/>
      <c r="H66" s="52" t="n">
        <v>9.31</v>
      </c>
      <c r="I66" s="16" t="n">
        <f aca="false">C66+D66+E66+F66-G66-H66</f>
        <v>396.411656652356</v>
      </c>
      <c r="J66" s="54" t="n">
        <f aca="false">K65</f>
        <v>-164.872921378249</v>
      </c>
      <c r="K66" s="16" t="n">
        <f aca="false">J66+D66+F66-G66-H66</f>
        <v>-164.177446541938</v>
      </c>
    </row>
    <row r="67" customFormat="false" ht="12.75" hidden="false" customHeight="false" outlineLevel="0" collapsed="false">
      <c r="A67" s="49" t="n">
        <f aca="false">A66+366/2</f>
        <v>42900</v>
      </c>
      <c r="B67" s="0" t="n">
        <v>240</v>
      </c>
      <c r="C67" s="50" t="n">
        <f aca="false">I66</f>
        <v>396.411656652356</v>
      </c>
      <c r="D67" s="51" t="n">
        <f aca="false">C67*DiscRate/2</f>
        <v>9.67244442231747</v>
      </c>
      <c r="E67" s="51"/>
      <c r="F67" s="51" t="n">
        <v>0.35</v>
      </c>
      <c r="G67" s="52"/>
      <c r="H67" s="52" t="n">
        <f aca="false">9.31+'facts premium'!C28</f>
        <v>326.986301817471</v>
      </c>
      <c r="I67" s="16" t="n">
        <f aca="false">C67+D67+E67+F67-G67-H67</f>
        <v>79.4477992572024</v>
      </c>
      <c r="J67" s="54" t="n">
        <f aca="false">K66</f>
        <v>-164.177446541938</v>
      </c>
      <c r="K67" s="16" t="n">
        <f aca="false">J67+D67+F67-G67-H67</f>
        <v>-481.141303937091</v>
      </c>
    </row>
    <row r="68" customFormat="false" ht="12.75" hidden="false" customHeight="false" outlineLevel="0" collapsed="false">
      <c r="A68" s="49" t="n">
        <f aca="false">A67+366/2</f>
        <v>43083</v>
      </c>
      <c r="B68" s="0" t="n">
        <v>246</v>
      </c>
      <c r="C68" s="50" t="n">
        <f aca="false">I67</f>
        <v>79.4477992572024</v>
      </c>
      <c r="D68" s="51" t="n">
        <f aca="false">C68*DiscRate/2</f>
        <v>1.93852630187574</v>
      </c>
      <c r="E68" s="51"/>
      <c r="F68" s="51" t="n">
        <v>0.35</v>
      </c>
      <c r="G68" s="52"/>
      <c r="H68" s="53"/>
      <c r="I68" s="16" t="n">
        <f aca="false">C68+D68+E68+F68-G68-H68</f>
        <v>81.7363255590781</v>
      </c>
      <c r="J68" s="54" t="n">
        <f aca="false">K67</f>
        <v>-481.141303937091</v>
      </c>
      <c r="K68" s="16" t="n">
        <f aca="false">J68+D68+F68-G68-H68</f>
        <v>-478.852777635215</v>
      </c>
    </row>
    <row r="69" customFormat="false" ht="12.75" hidden="false" customHeight="false" outlineLevel="0" collapsed="false">
      <c r="A69" s="49" t="n">
        <f aca="false">A68+366/2</f>
        <v>43266</v>
      </c>
      <c r="B69" s="0" t="n">
        <v>252</v>
      </c>
      <c r="C69" s="50" t="n">
        <f aca="false">I68</f>
        <v>81.7363255590781</v>
      </c>
      <c r="D69" s="51" t="n">
        <f aca="false">C69*DiscRate/2</f>
        <v>1.99436634364151</v>
      </c>
      <c r="E69" s="51"/>
      <c r="F69" s="51" t="n">
        <v>0.35</v>
      </c>
      <c r="G69" s="52"/>
      <c r="H69" s="53"/>
      <c r="I69" s="16" t="n">
        <f aca="false">C69+D69+E69+F69-G69-H69</f>
        <v>84.0806919027196</v>
      </c>
      <c r="J69" s="54" t="n">
        <f aca="false">K68</f>
        <v>-478.852777635215</v>
      </c>
      <c r="K69" s="16" t="n">
        <f aca="false">J69+D69+F69-G69-H69</f>
        <v>-476.508411291574</v>
      </c>
    </row>
    <row r="70" customFormat="false" ht="12.75" hidden="false" customHeight="false" outlineLevel="0" collapsed="false">
      <c r="A70" s="49" t="n">
        <f aca="false">A69+366/2</f>
        <v>43449</v>
      </c>
      <c r="B70" s="0" t="n">
        <v>258</v>
      </c>
      <c r="C70" s="50" t="n">
        <f aca="false">I69</f>
        <v>84.0806919027196</v>
      </c>
      <c r="D70" s="51" t="n">
        <f aca="false">C70*DiscRate/2</f>
        <v>2.05156888242636</v>
      </c>
      <c r="E70" s="51"/>
      <c r="F70" s="51" t="n">
        <v>0.35</v>
      </c>
      <c r="G70" s="52"/>
      <c r="H70" s="53"/>
      <c r="I70" s="16" t="n">
        <f aca="false">C70+D70+E70+F70-G70-H70</f>
        <v>86.482260785146</v>
      </c>
      <c r="J70" s="54" t="n">
        <f aca="false">K69</f>
        <v>-476.508411291574</v>
      </c>
      <c r="K70" s="16" t="n">
        <f aca="false">J70+D70+F70-G70-H70</f>
        <v>-474.106842409147</v>
      </c>
    </row>
    <row r="71" customFormat="false" ht="12.75" hidden="false" customHeight="false" outlineLevel="0" collapsed="false">
      <c r="A71" s="49"/>
      <c r="C71" s="50"/>
      <c r="D71" s="51"/>
      <c r="E71" s="51"/>
      <c r="F71" s="51"/>
      <c r="G71" s="52"/>
      <c r="H71" s="53"/>
      <c r="I71" s="16"/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409722222222222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1" width="9.14"/>
    <col collapsed="false" customWidth="true" hidden="false" outlineLevel="0" max="8" min="8" style="42" width="9.14"/>
    <col collapsed="false" customWidth="true" hidden="false" outlineLevel="0" max="10" min="10" style="43" width="9.14"/>
  </cols>
  <sheetData>
    <row r="1" customFormat="false" ht="12.75" hidden="false" customHeight="false" outlineLevel="0" collapsed="false">
      <c r="D1" s="44" t="n">
        <f aca="false">'facts premium'!DiscRate6</f>
        <v>0.0563</v>
      </c>
      <c r="J1" s="45" t="s">
        <v>42</v>
      </c>
      <c r="K1" s="45"/>
    </row>
    <row r="2" customFormat="false" ht="12.75" hidden="false" customHeight="false" outlineLevel="0" collapsed="false">
      <c r="B2" s="32" t="s">
        <v>43</v>
      </c>
      <c r="C2" s="41" t="s">
        <v>44</v>
      </c>
      <c r="D2" s="46" t="s">
        <v>45</v>
      </c>
      <c r="E2" s="46" t="s">
        <v>46</v>
      </c>
      <c r="F2" s="46" t="s">
        <v>47</v>
      </c>
      <c r="G2" s="47" t="s">
        <v>48</v>
      </c>
      <c r="H2" s="47" t="s">
        <v>49</v>
      </c>
      <c r="I2" s="32" t="s">
        <v>50</v>
      </c>
      <c r="J2" s="48" t="s">
        <v>44</v>
      </c>
      <c r="K2" s="37" t="s">
        <v>50</v>
      </c>
      <c r="L2" s="37"/>
      <c r="M2" s="46"/>
      <c r="N2" s="37"/>
    </row>
    <row r="3" customFormat="false" ht="12.75" hidden="false" customHeight="false" outlineLevel="0" collapsed="false">
      <c r="A3" s="49" t="n">
        <v>35582</v>
      </c>
      <c r="B3" s="0" t="n">
        <v>1</v>
      </c>
      <c r="C3" s="50" t="n">
        <f aca="false">'facts premium'!H28</f>
        <v>300.13778682579</v>
      </c>
      <c r="D3" s="51" t="n">
        <f aca="false">C3*DiscRate6/12</f>
        <v>1.40814644985766</v>
      </c>
      <c r="E3" s="51" t="n">
        <f aca="false">'tax rev'!C3/1000000</f>
        <v>4.73144637682226</v>
      </c>
      <c r="F3" s="51"/>
      <c r="G3" s="52" t="n">
        <f aca="false">facts!$B$6/facts!$B$7</f>
        <v>11.3</v>
      </c>
      <c r="H3" s="52"/>
      <c r="I3" s="16" t="n">
        <f aca="false">C3+D3+E3+F3-G3-H3</f>
        <v>294.97737965247</v>
      </c>
      <c r="J3" s="43" t="n">
        <v>360.32</v>
      </c>
      <c r="K3" s="16" t="n">
        <f aca="false">J3+D3+F3-G3-H3</f>
        <v>350.428146449858</v>
      </c>
    </row>
    <row r="4" customFormat="false" ht="12.75" hidden="false" customHeight="false" outlineLevel="0" collapsed="false">
      <c r="A4" s="49"/>
      <c r="B4" s="0" t="n">
        <v>2</v>
      </c>
      <c r="C4" s="50" t="n">
        <f aca="false">I3</f>
        <v>294.97737965247</v>
      </c>
      <c r="D4" s="51" t="n">
        <f aca="false">C4*DiscRate/12</f>
        <v>1.19957467725338</v>
      </c>
      <c r="E4" s="51"/>
      <c r="F4" s="51"/>
      <c r="G4" s="52" t="n">
        <f aca="false">facts!$B$6/facts!$B$7</f>
        <v>11.3</v>
      </c>
      <c r="H4" s="53"/>
      <c r="I4" s="16" t="n">
        <f aca="false">C4+D4+E4+F4-G4-H4</f>
        <v>284.876954329723</v>
      </c>
      <c r="J4" s="54" t="n">
        <f aca="false">K3</f>
        <v>350.428146449858</v>
      </c>
      <c r="K4" s="16" t="n">
        <f aca="false">J4+D4+F4-G4-H4</f>
        <v>340.327721127111</v>
      </c>
    </row>
    <row r="5" customFormat="false" ht="12.75" hidden="false" customHeight="false" outlineLevel="0" collapsed="false">
      <c r="A5" s="49"/>
      <c r="B5" s="0" t="n">
        <v>3</v>
      </c>
      <c r="C5" s="50" t="n">
        <f aca="false">I4</f>
        <v>284.876954329723</v>
      </c>
      <c r="D5" s="51" t="n">
        <f aca="false">C5*DiscRate/12</f>
        <v>1.15849961427421</v>
      </c>
      <c r="E5" s="51"/>
      <c r="F5" s="51"/>
      <c r="G5" s="52" t="n">
        <f aca="false">facts!$B$6/facts!$B$7</f>
        <v>11.3</v>
      </c>
      <c r="H5" s="53"/>
      <c r="I5" s="16" t="n">
        <f aca="false">C5+D5+E5+F5-G5-H5</f>
        <v>274.735453943997</v>
      </c>
      <c r="J5" s="54" t="n">
        <f aca="false">K4</f>
        <v>340.327721127111</v>
      </c>
      <c r="K5" s="16" t="n">
        <f aca="false">J5+D5+F5-G5-H5</f>
        <v>330.186220741385</v>
      </c>
    </row>
    <row r="6" customFormat="false" ht="12.75" hidden="false" customHeight="false" outlineLevel="0" collapsed="false">
      <c r="A6" s="49"/>
      <c r="B6" s="0" t="n">
        <v>4</v>
      </c>
      <c r="C6" s="50" t="n">
        <f aca="false">I5</f>
        <v>274.735453943997</v>
      </c>
      <c r="D6" s="51" t="n">
        <f aca="false">C6*DiscRate/12</f>
        <v>1.11725751270559</v>
      </c>
      <c r="E6" s="51"/>
      <c r="F6" s="51"/>
      <c r="G6" s="52" t="n">
        <f aca="false">facts!$B$6/facts!$B$7</f>
        <v>11.3</v>
      </c>
      <c r="H6" s="53"/>
      <c r="I6" s="16" t="n">
        <f aca="false">C6+D6+E6+F6-G6-H6</f>
        <v>264.552711456703</v>
      </c>
      <c r="J6" s="54" t="n">
        <f aca="false">K5</f>
        <v>330.186220741385</v>
      </c>
      <c r="K6" s="16" t="n">
        <f aca="false">J6+D6+F6-G6-H6</f>
        <v>320.003478254091</v>
      </c>
    </row>
    <row r="7" customFormat="false" ht="12.75" hidden="false" customHeight="false" outlineLevel="0" collapsed="false">
      <c r="A7" s="49"/>
      <c r="B7" s="0" t="n">
        <v>5</v>
      </c>
      <c r="C7" s="50" t="n">
        <f aca="false">I6</f>
        <v>264.552711456703</v>
      </c>
      <c r="D7" s="51" t="n">
        <f aca="false">C7*DiscRate/12</f>
        <v>1.07584769325726</v>
      </c>
      <c r="E7" s="51"/>
      <c r="F7" s="51"/>
      <c r="G7" s="52" t="n">
        <f aca="false">facts!$B$6/facts!$B$7</f>
        <v>11.3</v>
      </c>
      <c r="H7" s="53"/>
      <c r="I7" s="16" t="n">
        <f aca="false">C7+D7+E7+F7-G7-H7</f>
        <v>254.32855914996</v>
      </c>
      <c r="J7" s="54" t="n">
        <f aca="false">K6</f>
        <v>320.003478254091</v>
      </c>
      <c r="K7" s="16" t="n">
        <f aca="false">J7+D7+F7-G7-H7</f>
        <v>309.779325947348</v>
      </c>
    </row>
    <row r="8" customFormat="false" ht="12.75" hidden="false" customHeight="false" outlineLevel="0" collapsed="false">
      <c r="A8" s="49" t="n">
        <v>35765</v>
      </c>
      <c r="B8" s="0" t="n">
        <v>6</v>
      </c>
      <c r="C8" s="50" t="n">
        <f aca="false">I7</f>
        <v>254.32855914996</v>
      </c>
      <c r="D8" s="51" t="n">
        <f aca="false">C8*DiscRate/12</f>
        <v>1.0342694738765</v>
      </c>
      <c r="E8" s="51" t="n">
        <v>19.89</v>
      </c>
      <c r="F8" s="51"/>
      <c r="G8" s="52" t="n">
        <f aca="false">facts!$B$6/facts!$B$7</f>
        <v>11.3</v>
      </c>
      <c r="H8" s="52" t="n">
        <f aca="false">'facts premium'!$C$28*'facts premium'!$H$16/2</f>
        <v>10.2450607336134</v>
      </c>
      <c r="I8" s="16" t="n">
        <f aca="false">C8+D8+E8+F8-G8-H8</f>
        <v>253.707767890223</v>
      </c>
      <c r="J8" s="54" t="n">
        <f aca="false">K7</f>
        <v>309.779325947348</v>
      </c>
      <c r="K8" s="16" t="n">
        <f aca="false">J8+D8+F8-G8-H8</f>
        <v>289.268534687611</v>
      </c>
    </row>
    <row r="9" customFormat="false" ht="12.75" hidden="false" customHeight="false" outlineLevel="0" collapsed="false">
      <c r="A9" s="49"/>
      <c r="B9" s="0" t="n">
        <v>7</v>
      </c>
      <c r="C9" s="50" t="n">
        <f aca="false">I8</f>
        <v>253.707767890223</v>
      </c>
      <c r="D9" s="51" t="n">
        <f aca="false">C9*DiscRate/12</f>
        <v>1.03174492275357</v>
      </c>
      <c r="E9" s="51"/>
      <c r="F9" s="51"/>
      <c r="G9" s="52" t="n">
        <f aca="false">facts!$B$6/facts!$B$7</f>
        <v>11.3</v>
      </c>
      <c r="H9" s="53"/>
      <c r="I9" s="16" t="n">
        <f aca="false">C9+D9+E9+F9-G9-H9</f>
        <v>243.439512812977</v>
      </c>
      <c r="J9" s="54" t="n">
        <f aca="false">K8</f>
        <v>289.268534687611</v>
      </c>
      <c r="K9" s="16" t="n">
        <f aca="false">J9+D9+F9-G9-H9</f>
        <v>279.000279610365</v>
      </c>
    </row>
    <row r="10" customFormat="false" ht="12.75" hidden="false" customHeight="false" outlineLevel="0" collapsed="false">
      <c r="A10" s="49"/>
      <c r="B10" s="0" t="n">
        <v>8</v>
      </c>
      <c r="C10" s="50" t="n">
        <f aca="false">I9</f>
        <v>243.439512812977</v>
      </c>
      <c r="D10" s="51" t="n">
        <f aca="false">C10*DiscRate/12</f>
        <v>0.989987352106106</v>
      </c>
      <c r="E10" s="51"/>
      <c r="F10" s="51"/>
      <c r="G10" s="52" t="n">
        <f aca="false">facts!$B$6/facts!$B$7</f>
        <v>11.3</v>
      </c>
      <c r="H10" s="53"/>
      <c r="I10" s="16" t="n">
        <f aca="false">C10+D10+E10+F10-G10-H10</f>
        <v>233.129500165083</v>
      </c>
      <c r="J10" s="54" t="n">
        <f aca="false">K9</f>
        <v>279.000279610365</v>
      </c>
      <c r="K10" s="16" t="n">
        <f aca="false">J10+D10+F10-G10-H10</f>
        <v>268.690266962471</v>
      </c>
    </row>
    <row r="11" customFormat="false" ht="12.75" hidden="false" customHeight="false" outlineLevel="0" collapsed="false">
      <c r="A11" s="49"/>
      <c r="B11" s="0" t="n">
        <v>9</v>
      </c>
      <c r="C11" s="50" t="n">
        <f aca="false">I10</f>
        <v>233.129500165083</v>
      </c>
      <c r="D11" s="51" t="n">
        <f aca="false">C11*DiscRate/12</f>
        <v>0.948059967338004</v>
      </c>
      <c r="E11" s="51"/>
      <c r="F11" s="51"/>
      <c r="G11" s="52" t="n">
        <f aca="false">facts!$B$6/facts!$B$7</f>
        <v>11.3</v>
      </c>
      <c r="H11" s="53"/>
      <c r="I11" s="16" t="n">
        <f aca="false">C11+D11+E11+F11-G11-H11</f>
        <v>222.777560132421</v>
      </c>
      <c r="J11" s="54" t="n">
        <f aca="false">K10</f>
        <v>268.690266962471</v>
      </c>
      <c r="K11" s="16" t="n">
        <f aca="false">J11+D11+F11-G11-H11</f>
        <v>258.338326929809</v>
      </c>
    </row>
    <row r="12" customFormat="false" ht="12.75" hidden="false" customHeight="false" outlineLevel="0" collapsed="false">
      <c r="A12" s="49"/>
      <c r="B12" s="0" t="n">
        <v>10</v>
      </c>
      <c r="C12" s="50" t="n">
        <f aca="false">I11</f>
        <v>222.777560132421</v>
      </c>
      <c r="D12" s="51" t="n">
        <f aca="false">C12*DiscRate/12</f>
        <v>0.905962077871845</v>
      </c>
      <c r="E12" s="51"/>
      <c r="F12" s="51"/>
      <c r="G12" s="52" t="n">
        <f aca="false">facts!$B$6/facts!$B$7</f>
        <v>11.3</v>
      </c>
      <c r="H12" s="53"/>
      <c r="I12" s="16" t="n">
        <f aca="false">C12+D12+E12+F12-G12-H12</f>
        <v>212.383522210293</v>
      </c>
      <c r="J12" s="54" t="n">
        <f aca="false">K11</f>
        <v>258.338326929809</v>
      </c>
      <c r="K12" s="16" t="n">
        <f aca="false">J12+D12+F12-G12-H12</f>
        <v>247.944289007681</v>
      </c>
    </row>
    <row r="13" customFormat="false" ht="12.75" hidden="false" customHeight="false" outlineLevel="0" collapsed="false">
      <c r="A13" s="49"/>
      <c r="B13" s="0" t="n">
        <v>11</v>
      </c>
      <c r="C13" s="50" t="n">
        <f aca="false">I12</f>
        <v>212.383522210293</v>
      </c>
      <c r="D13" s="51" t="n">
        <f aca="false">C13*DiscRate/12</f>
        <v>0.863692990321857</v>
      </c>
      <c r="E13" s="51"/>
      <c r="F13" s="51"/>
      <c r="G13" s="52" t="n">
        <f aca="false">facts!$B$6/facts!$B$7</f>
        <v>11.3</v>
      </c>
      <c r="H13" s="53"/>
      <c r="I13" s="16" t="n">
        <f aca="false">C13+D13+E13+F13-G13-H13</f>
        <v>201.947215200615</v>
      </c>
      <c r="J13" s="54" t="n">
        <f aca="false">K12</f>
        <v>247.944289007681</v>
      </c>
      <c r="K13" s="16" t="n">
        <f aca="false">J13+D13+F13-G13-H13</f>
        <v>237.507981998002</v>
      </c>
    </row>
    <row r="14" customFormat="false" ht="12.75" hidden="false" customHeight="false" outlineLevel="0" collapsed="false">
      <c r="A14" s="49" t="n">
        <v>35947</v>
      </c>
      <c r="B14" s="0" t="n">
        <v>12</v>
      </c>
      <c r="C14" s="50" t="n">
        <f aca="false">I13</f>
        <v>201.947215200615</v>
      </c>
      <c r="D14" s="51" t="n">
        <f aca="false">C14*DiscRate/12</f>
        <v>0.821252008482499</v>
      </c>
      <c r="E14" s="51"/>
      <c r="F14" s="51"/>
      <c r="G14" s="52" t="n">
        <f aca="false">facts!$B$6/facts!$B$7</f>
        <v>11.3</v>
      </c>
      <c r="H14" s="52" t="n">
        <f aca="false">'facts premium'!$C$28*'facts premium'!$H$16/2</f>
        <v>10.2450607336134</v>
      </c>
      <c r="I14" s="16" t="n">
        <f aca="false">C14+D14+E14+F14-G14-H14</f>
        <v>181.223406475484</v>
      </c>
      <c r="J14" s="54" t="n">
        <f aca="false">K13</f>
        <v>237.507981998002</v>
      </c>
      <c r="K14" s="16" t="n">
        <f aca="false">J14+D14+F14-G14-H14</f>
        <v>216.784173272871</v>
      </c>
    </row>
    <row r="15" customFormat="false" ht="12.75" hidden="false" customHeight="false" outlineLevel="0" collapsed="false">
      <c r="B15" s="0" t="n">
        <v>13</v>
      </c>
      <c r="C15" s="50" t="n">
        <f aca="false">I14</f>
        <v>181.223406475484</v>
      </c>
      <c r="D15" s="51" t="n">
        <f aca="false">C15*DiscRate/12</f>
        <v>0.736975186333633</v>
      </c>
      <c r="E15" s="51"/>
      <c r="F15" s="51"/>
      <c r="G15" s="52" t="n">
        <f aca="false">facts!$B$6/facts!$B$7</f>
        <v>11.3</v>
      </c>
      <c r="H15" s="52"/>
      <c r="I15" s="16" t="n">
        <f aca="false">C15+D15+E15+F15-G15-H15</f>
        <v>170.660381661817</v>
      </c>
      <c r="J15" s="54" t="n">
        <f aca="false">K14</f>
        <v>216.784173272871</v>
      </c>
      <c r="K15" s="16" t="n">
        <f aca="false">J15+D15+F15-G15-H15</f>
        <v>206.221148459205</v>
      </c>
    </row>
    <row r="16" customFormat="false" ht="12.75" hidden="false" customHeight="false" outlineLevel="0" collapsed="false">
      <c r="A16" s="49"/>
      <c r="B16" s="0" t="n">
        <v>14</v>
      </c>
      <c r="C16" s="50" t="n">
        <f aca="false">I15</f>
        <v>170.660381661817</v>
      </c>
      <c r="D16" s="51" t="n">
        <f aca="false">C16*DiscRate/12</f>
        <v>0.694018885424724</v>
      </c>
      <c r="E16" s="51"/>
      <c r="F16" s="51"/>
      <c r="G16" s="52" t="n">
        <f aca="false">facts!$B$6/facts!$B$7</f>
        <v>11.3</v>
      </c>
      <c r="H16" s="53"/>
      <c r="I16" s="16" t="n">
        <f aca="false">C16+D16+E16+F16-G16-H16</f>
        <v>160.054400547242</v>
      </c>
      <c r="J16" s="54" t="n">
        <f aca="false">K15</f>
        <v>206.221148459205</v>
      </c>
      <c r="K16" s="16" t="n">
        <f aca="false">J16+D16+F16-G16-H16</f>
        <v>195.61516734463</v>
      </c>
    </row>
    <row r="17" customFormat="false" ht="12.75" hidden="false" customHeight="false" outlineLevel="0" collapsed="false">
      <c r="A17" s="49"/>
      <c r="B17" s="0" t="n">
        <v>15</v>
      </c>
      <c r="C17" s="50" t="n">
        <f aca="false">I16</f>
        <v>160.054400547242</v>
      </c>
      <c r="D17" s="51" t="n">
        <f aca="false">C17*DiscRate/12</f>
        <v>0.650887895558784</v>
      </c>
      <c r="E17" s="51"/>
      <c r="F17" s="51"/>
      <c r="G17" s="52" t="n">
        <f aca="false">facts!$B$6/facts!$B$7</f>
        <v>11.3</v>
      </c>
      <c r="H17" s="53"/>
      <c r="I17" s="16" t="n">
        <f aca="false">C17+D17+E17+F17-G17-H17</f>
        <v>149.405288442801</v>
      </c>
      <c r="J17" s="54" t="n">
        <f aca="false">K16</f>
        <v>195.61516734463</v>
      </c>
      <c r="K17" s="16" t="n">
        <f aca="false">J17+D17+F17-G17-H17</f>
        <v>184.966055240189</v>
      </c>
    </row>
    <row r="18" customFormat="false" ht="12.75" hidden="false" customHeight="false" outlineLevel="0" collapsed="false">
      <c r="A18" s="49"/>
      <c r="B18" s="0" t="n">
        <v>16</v>
      </c>
      <c r="C18" s="50" t="n">
        <f aca="false">I17</f>
        <v>149.405288442801</v>
      </c>
      <c r="D18" s="51" t="n">
        <f aca="false">C18*DiscRate/12</f>
        <v>0.607581506334056</v>
      </c>
      <c r="E18" s="51"/>
      <c r="F18" s="51"/>
      <c r="G18" s="52" t="n">
        <f aca="false">facts!$B$6/facts!$B$7</f>
        <v>11.3</v>
      </c>
      <c r="H18" s="53"/>
      <c r="I18" s="16" t="n">
        <f aca="false">C18+D18+E18+F18-G18-H18</f>
        <v>138.712869949135</v>
      </c>
      <c r="J18" s="54" t="n">
        <f aca="false">K17</f>
        <v>184.966055240189</v>
      </c>
      <c r="K18" s="16" t="n">
        <f aca="false">J18+D18+F18-G18-H18</f>
        <v>174.273636746523</v>
      </c>
    </row>
    <row r="19" customFormat="false" ht="12.75" hidden="false" customHeight="false" outlineLevel="0" collapsed="false">
      <c r="A19" s="49"/>
      <c r="B19" s="0" t="n">
        <v>17</v>
      </c>
      <c r="C19" s="50" t="n">
        <f aca="false">I18</f>
        <v>138.712869949135</v>
      </c>
      <c r="D19" s="51" t="n">
        <f aca="false">C19*DiscRate/12</f>
        <v>0.564099004459815</v>
      </c>
      <c r="E19" s="51"/>
      <c r="F19" s="51"/>
      <c r="G19" s="52" t="n">
        <f aca="false">facts!$B$6/facts!$B$7</f>
        <v>11.3</v>
      </c>
      <c r="H19" s="53"/>
      <c r="I19" s="16" t="n">
        <f aca="false">C19+D19+E19+F19-G19-H19</f>
        <v>127.976968953595</v>
      </c>
      <c r="J19" s="54" t="n">
        <f aca="false">K18</f>
        <v>174.273636746523</v>
      </c>
      <c r="K19" s="16" t="n">
        <f aca="false">J19+D19+F19-G19-H19</f>
        <v>163.537735750982</v>
      </c>
    </row>
    <row r="20" customFormat="false" ht="12.75" hidden="false" customHeight="false" outlineLevel="0" collapsed="false">
      <c r="A20" s="49" t="n">
        <v>36130</v>
      </c>
      <c r="B20" s="0" t="n">
        <v>18</v>
      </c>
      <c r="C20" s="50" t="n">
        <f aca="false">I19</f>
        <v>127.976968953595</v>
      </c>
      <c r="D20" s="51" t="n">
        <f aca="false">C20*DiscRate/12</f>
        <v>0.520439673744618</v>
      </c>
      <c r="E20" s="51" t="n">
        <v>20.43</v>
      </c>
      <c r="F20" s="51"/>
      <c r="G20" s="52" t="n">
        <f aca="false">facts!$B$6/facts!$B$7</f>
        <v>11.3</v>
      </c>
      <c r="H20" s="52" t="n">
        <f aca="false">'facts premium'!$C$28*'facts premium'!$H$16/2</f>
        <v>10.2450607336134</v>
      </c>
      <c r="I20" s="16" t="n">
        <f aca="false">C20+D20+E20+F20-G20-H20</f>
        <v>127.382347893726</v>
      </c>
      <c r="J20" s="54" t="n">
        <f aca="false">K19</f>
        <v>163.537735750982</v>
      </c>
      <c r="K20" s="16" t="n">
        <f aca="false">J20+D20+F20-G20-H20</f>
        <v>142.513114691114</v>
      </c>
    </row>
    <row r="21" customFormat="false" ht="12.75" hidden="false" customHeight="false" outlineLevel="0" collapsed="false">
      <c r="A21" s="49"/>
      <c r="B21" s="0" t="n">
        <v>19</v>
      </c>
      <c r="C21" s="50" t="n">
        <f aca="false">I20</f>
        <v>127.382347893726</v>
      </c>
      <c r="D21" s="51" t="n">
        <f aca="false">C21*DiscRate/12</f>
        <v>0.518021548101151</v>
      </c>
      <c r="E21" s="51"/>
      <c r="F21" s="51"/>
      <c r="G21" s="52" t="n">
        <f aca="false">facts!$B$6/facts!$B$7</f>
        <v>11.3</v>
      </c>
      <c r="H21" s="53"/>
      <c r="I21" s="16" t="n">
        <f aca="false">C21+D21+E21+F21-G21-H21</f>
        <v>116.600369441827</v>
      </c>
      <c r="J21" s="54" t="n">
        <f aca="false">K20</f>
        <v>142.513114691114</v>
      </c>
      <c r="K21" s="16" t="n">
        <f aca="false">J21+D21+F21-G21-H21</f>
        <v>131.731136239215</v>
      </c>
    </row>
    <row r="22" customFormat="false" ht="12.75" hidden="false" customHeight="false" outlineLevel="0" collapsed="false">
      <c r="A22" s="49"/>
      <c r="B22" s="0" t="n">
        <v>20</v>
      </c>
      <c r="C22" s="50" t="n">
        <f aca="false">I21</f>
        <v>116.600369441827</v>
      </c>
      <c r="D22" s="51" t="n">
        <f aca="false">C22*DiscRate/12</f>
        <v>0.474174835730096</v>
      </c>
      <c r="E22" s="51"/>
      <c r="F22" s="51"/>
      <c r="G22" s="52" t="n">
        <f aca="false">facts!$B$6/facts!$B$7</f>
        <v>11.3</v>
      </c>
      <c r="H22" s="53"/>
      <c r="I22" s="16" t="n">
        <f aca="false">C22+D22+E22+F22-G22-H22</f>
        <v>105.774544277557</v>
      </c>
      <c r="J22" s="54" t="n">
        <f aca="false">K21</f>
        <v>131.731136239215</v>
      </c>
      <c r="K22" s="16" t="n">
        <f aca="false">J22+D22+F22-G22-H22</f>
        <v>120.905311074945</v>
      </c>
    </row>
    <row r="23" customFormat="false" ht="12.75" hidden="false" customHeight="false" outlineLevel="0" collapsed="false">
      <c r="A23" s="49"/>
      <c r="B23" s="0" t="n">
        <v>21</v>
      </c>
      <c r="C23" s="50" t="n">
        <f aca="false">I22</f>
        <v>105.774544277557</v>
      </c>
      <c r="D23" s="51" t="n">
        <f aca="false">C23*DiscRate/12</f>
        <v>0.430149813395398</v>
      </c>
      <c r="E23" s="51"/>
      <c r="F23" s="51"/>
      <c r="G23" s="52" t="n">
        <f aca="false">facts!$B$6/facts!$B$7</f>
        <v>11.3</v>
      </c>
      <c r="H23" s="53"/>
      <c r="I23" s="16" t="n">
        <f aca="false">C23+D23+E23+F23-G23-H23</f>
        <v>94.9046940909524</v>
      </c>
      <c r="J23" s="54" t="n">
        <f aca="false">K22</f>
        <v>120.905311074945</v>
      </c>
      <c r="K23" s="16" t="n">
        <f aca="false">J23+D23+F23-G23-H23</f>
        <v>110.03546088834</v>
      </c>
    </row>
    <row r="24" customFormat="false" ht="12.75" hidden="false" customHeight="false" outlineLevel="0" collapsed="false">
      <c r="A24" s="49"/>
      <c r="B24" s="0" t="n">
        <v>22</v>
      </c>
      <c r="C24" s="50" t="n">
        <f aca="false">I23</f>
        <v>94.9046940909524</v>
      </c>
      <c r="D24" s="51" t="n">
        <f aca="false">C24*DiscRate/12</f>
        <v>0.385945755969873</v>
      </c>
      <c r="E24" s="51"/>
      <c r="F24" s="51"/>
      <c r="G24" s="52" t="n">
        <f aca="false">facts!$B$6/facts!$B$7</f>
        <v>11.3</v>
      </c>
      <c r="H24" s="53"/>
      <c r="I24" s="16" t="n">
        <f aca="false">C24+D24+E24+F24-G24-H24</f>
        <v>83.9906398469223</v>
      </c>
      <c r="J24" s="54" t="n">
        <f aca="false">K23</f>
        <v>110.03546088834</v>
      </c>
      <c r="K24" s="16" t="n">
        <f aca="false">J24+D24+F24-G24-H24</f>
        <v>99.1214066443101</v>
      </c>
    </row>
    <row r="25" customFormat="false" ht="12.75" hidden="false" customHeight="false" outlineLevel="0" collapsed="false">
      <c r="A25" s="49"/>
      <c r="B25" s="0" t="n">
        <v>23</v>
      </c>
      <c r="C25" s="50" t="n">
        <f aca="false">I24</f>
        <v>83.9906398469223</v>
      </c>
      <c r="D25" s="51" t="n">
        <f aca="false">C25*DiscRate/12</f>
        <v>0.341561935377484</v>
      </c>
      <c r="E25" s="51"/>
      <c r="F25" s="51"/>
      <c r="G25" s="52" t="n">
        <f aca="false">facts!$B$6/facts!$B$7</f>
        <v>11.3</v>
      </c>
      <c r="H25" s="53"/>
      <c r="I25" s="16" t="n">
        <f aca="false">C25+D25+E25+F25-G25-H25</f>
        <v>73.0322017822997</v>
      </c>
      <c r="J25" s="54" t="n">
        <f aca="false">K24</f>
        <v>99.1214066443101</v>
      </c>
      <c r="K25" s="16" t="n">
        <f aca="false">J25+D25+F25-G25-H25</f>
        <v>88.1629685796876</v>
      </c>
    </row>
    <row r="26" customFormat="false" ht="12.75" hidden="false" customHeight="false" outlineLevel="0" collapsed="false">
      <c r="A26" s="49" t="n">
        <v>36312</v>
      </c>
      <c r="B26" s="0" t="n">
        <v>24</v>
      </c>
      <c r="C26" s="50" t="n">
        <f aca="false">I25</f>
        <v>73.0322017822997</v>
      </c>
      <c r="D26" s="51" t="n">
        <f aca="false">C26*DiscRate/12</f>
        <v>0.296997620581352</v>
      </c>
      <c r="E26" s="51"/>
      <c r="F26" s="51" t="n">
        <v>0.35</v>
      </c>
      <c r="G26" s="52" t="n">
        <f aca="false">facts!$B$6/facts!$B$7</f>
        <v>11.3</v>
      </c>
      <c r="H26" s="52" t="n">
        <f aca="false">'facts premium'!$C$28*'facts premium'!$H$16/2</f>
        <v>10.2450607336134</v>
      </c>
      <c r="I26" s="16" t="n">
        <f aca="false">C26+D26+E26+F26-G26-H26</f>
        <v>52.1341386692677</v>
      </c>
      <c r="J26" s="54" t="n">
        <f aca="false">K25</f>
        <v>88.1629685796876</v>
      </c>
      <c r="K26" s="16" t="n">
        <f aca="false">J26+D26+F26-G26-H26</f>
        <v>67.2649054666555</v>
      </c>
    </row>
    <row r="27" customFormat="false" ht="12.75" hidden="false" customHeight="false" outlineLevel="0" collapsed="false">
      <c r="B27" s="0" t="n">
        <v>25</v>
      </c>
      <c r="C27" s="50" t="n">
        <f aca="false">I26</f>
        <v>52.1341386692677</v>
      </c>
      <c r="D27" s="51" t="n">
        <f aca="false">C27*DiscRate/12</f>
        <v>0.212012163921689</v>
      </c>
      <c r="E27" s="51"/>
      <c r="F27" s="51"/>
      <c r="G27" s="52" t="n">
        <f aca="false">facts!$B$6/facts!$B$7</f>
        <v>11.3</v>
      </c>
      <c r="H27" s="52"/>
      <c r="I27" s="16" t="n">
        <f aca="false">C27+D27+E27+F27-G27-H27</f>
        <v>41.0461508331893</v>
      </c>
      <c r="J27" s="54" t="n">
        <f aca="false">K26</f>
        <v>67.2649054666555</v>
      </c>
      <c r="K27" s="16" t="n">
        <f aca="false">J27+D27+F27-G27-H27</f>
        <v>56.1769176305772</v>
      </c>
    </row>
    <row r="28" customFormat="false" ht="12.75" hidden="false" customHeight="false" outlineLevel="0" collapsed="false">
      <c r="A28" s="49"/>
      <c r="B28" s="0" t="n">
        <v>26</v>
      </c>
      <c r="C28" s="50" t="n">
        <f aca="false">I27</f>
        <v>41.0461508331893</v>
      </c>
      <c r="D28" s="51" t="n">
        <f aca="false">C28*DiscRate/12</f>
        <v>0.166921013388303</v>
      </c>
      <c r="E28" s="51"/>
      <c r="F28" s="51"/>
      <c r="G28" s="52" t="n">
        <f aca="false">facts!$B$6/facts!$B$7</f>
        <v>11.3</v>
      </c>
      <c r="H28" s="53"/>
      <c r="I28" s="16" t="n">
        <f aca="false">C28+D28+E28+F28-G28-H28</f>
        <v>29.9130718465776</v>
      </c>
      <c r="J28" s="54" t="n">
        <f aca="false">K27</f>
        <v>56.1769176305772</v>
      </c>
      <c r="K28" s="16" t="n">
        <f aca="false">J28+D28+F28-G28-H28</f>
        <v>45.0438386439655</v>
      </c>
    </row>
    <row r="29" customFormat="false" ht="12.75" hidden="false" customHeight="false" outlineLevel="0" collapsed="false">
      <c r="A29" s="49"/>
      <c r="B29" s="0" t="n">
        <v>27</v>
      </c>
      <c r="C29" s="50" t="n">
        <f aca="false">I28</f>
        <v>29.9130718465776</v>
      </c>
      <c r="D29" s="51" t="n">
        <f aca="false">C29*DiscRate/12</f>
        <v>0.121646492176082</v>
      </c>
      <c r="E29" s="51"/>
      <c r="F29" s="51"/>
      <c r="G29" s="52" t="n">
        <f aca="false">facts!$B$6/facts!$B$7</f>
        <v>11.3</v>
      </c>
      <c r="H29" s="53"/>
      <c r="I29" s="16" t="n">
        <f aca="false">C29+D29+E29+F29-G29-H29</f>
        <v>18.7347183387537</v>
      </c>
      <c r="J29" s="54" t="n">
        <f aca="false">K28</f>
        <v>45.0438386439655</v>
      </c>
      <c r="K29" s="16" t="n">
        <f aca="false">J29+D29+F29-G29-H29</f>
        <v>33.8654851361416</v>
      </c>
    </row>
    <row r="30" customFormat="false" ht="12.75" hidden="false" customHeight="false" outlineLevel="0" collapsed="false">
      <c r="A30" s="49"/>
      <c r="B30" s="0" t="n">
        <v>28</v>
      </c>
      <c r="C30" s="50" t="n">
        <f aca="false">I29</f>
        <v>18.7347183387537</v>
      </c>
      <c r="D30" s="51" t="n">
        <f aca="false">C30*DiscRate/12</f>
        <v>0.0761878545775985</v>
      </c>
      <c r="E30" s="51"/>
      <c r="F30" s="51"/>
      <c r="G30" s="52" t="n">
        <f aca="false">facts!$B$6/facts!$B$7</f>
        <v>11.3</v>
      </c>
      <c r="H30" s="53"/>
      <c r="I30" s="16" t="n">
        <f aca="false">C30+D30+E30+F30-G30-H30</f>
        <v>7.51090619333133</v>
      </c>
      <c r="J30" s="54" t="n">
        <f aca="false">K29</f>
        <v>33.8654851361416</v>
      </c>
      <c r="K30" s="16" t="n">
        <f aca="false">J30+D30+F30-G30-H30</f>
        <v>22.6416729907192</v>
      </c>
    </row>
    <row r="31" customFormat="false" ht="12.75" hidden="false" customHeight="false" outlineLevel="0" collapsed="false">
      <c r="A31" s="49"/>
      <c r="B31" s="0" t="n">
        <v>29</v>
      </c>
      <c r="C31" s="50" t="n">
        <f aca="false">I30</f>
        <v>7.51090619333133</v>
      </c>
      <c r="D31" s="51" t="n">
        <f aca="false">C31*DiscRate/12</f>
        <v>0.0305443518528807</v>
      </c>
      <c r="E31" s="51"/>
      <c r="F31" s="51"/>
      <c r="G31" s="52" t="n">
        <f aca="false">facts!$B$6/facts!$B$7</f>
        <v>11.3</v>
      </c>
      <c r="H31" s="53"/>
      <c r="I31" s="16" t="n">
        <f aca="false">C31+D31+E31+F31-G31-H31</f>
        <v>-3.75854945481579</v>
      </c>
      <c r="J31" s="54" t="n">
        <f aca="false">K30</f>
        <v>22.6416729907192</v>
      </c>
      <c r="K31" s="16" t="n">
        <f aca="false">J31+D31+F31-G31-H31</f>
        <v>11.3722173425721</v>
      </c>
    </row>
    <row r="32" customFormat="false" ht="12.75" hidden="false" customHeight="false" outlineLevel="0" collapsed="false">
      <c r="A32" s="49" t="n">
        <v>36495</v>
      </c>
      <c r="B32" s="0" t="n">
        <v>30</v>
      </c>
      <c r="C32" s="50" t="n">
        <f aca="false">I31</f>
        <v>-3.75854945481579</v>
      </c>
      <c r="D32" s="51" t="n">
        <f aca="false">C32*DiscRate/12</f>
        <v>-0.0152847677829176</v>
      </c>
      <c r="E32" s="51" t="n">
        <v>24.715328</v>
      </c>
      <c r="F32" s="51" t="n">
        <v>0.35</v>
      </c>
      <c r="G32" s="52" t="n">
        <f aca="false">facts!$B$6/facts!$B$7</f>
        <v>11.3</v>
      </c>
      <c r="H32" s="52" t="n">
        <f aca="false">'facts premium'!$C$28*'facts premium'!$H$16/2</f>
        <v>10.2450607336134</v>
      </c>
      <c r="I32" s="16" t="n">
        <f aca="false">C32+D32+E32+F32-G32-H32</f>
        <v>-0.253566956212138</v>
      </c>
      <c r="J32" s="54" t="n">
        <f aca="false">K31</f>
        <v>11.3722173425721</v>
      </c>
      <c r="K32" s="16" t="n">
        <f aca="false">J32+D32+F32-G32-H32</f>
        <v>-9.8381281588243</v>
      </c>
    </row>
    <row r="33" customFormat="false" ht="12.75" hidden="false" customHeight="false" outlineLevel="0" collapsed="false">
      <c r="A33" s="49" t="n">
        <v>36678</v>
      </c>
      <c r="B33" s="0" t="n">
        <v>36</v>
      </c>
      <c r="C33" s="50" t="n">
        <f aca="false">I32</f>
        <v>-0.253566956212138</v>
      </c>
      <c r="D33" s="51" t="n">
        <f aca="false">C33*DiscRate/2</f>
        <v>-0.00618703373157617</v>
      </c>
      <c r="E33" s="51"/>
      <c r="F33" s="51" t="n">
        <v>0.35</v>
      </c>
      <c r="G33" s="52"/>
      <c r="H33" s="52" t="n">
        <f aca="false">'facts premium'!$C$28*'facts premium'!$H$16/2</f>
        <v>10.2450607336134</v>
      </c>
      <c r="I33" s="16" t="n">
        <f aca="false">C33+D33+E33+F33-G33-H33</f>
        <v>-10.1548147235571</v>
      </c>
      <c r="J33" s="54" t="n">
        <f aca="false">K32</f>
        <v>-9.8381281588243</v>
      </c>
      <c r="K33" s="16" t="n">
        <f aca="false">J33+D33+F33-G33-H33</f>
        <v>-19.7393759261693</v>
      </c>
    </row>
    <row r="34" customFormat="false" ht="12.75" hidden="false" customHeight="false" outlineLevel="0" collapsed="false">
      <c r="A34" s="49" t="n">
        <v>36861</v>
      </c>
      <c r="B34" s="0" t="n">
        <v>42</v>
      </c>
      <c r="C34" s="50" t="n">
        <f aca="false">I33</f>
        <v>-10.1548147235571</v>
      </c>
      <c r="D34" s="51" t="n">
        <f aca="false">C34*DiscRate/2</f>
        <v>-0.247777479254794</v>
      </c>
      <c r="E34" s="51" t="n">
        <v>25.091313</v>
      </c>
      <c r="F34" s="51" t="n">
        <v>0.35</v>
      </c>
      <c r="G34" s="52"/>
      <c r="H34" s="52" t="n">
        <f aca="false">'facts premium'!$C$28*'facts premium'!$H$16/2</f>
        <v>10.2450607336134</v>
      </c>
      <c r="I34" s="16" t="n">
        <f aca="false">C34+D34+E34+F34-G34-H34</f>
        <v>4.79366006357464</v>
      </c>
      <c r="J34" s="54" t="n">
        <f aca="false">K33</f>
        <v>-19.7393759261693</v>
      </c>
      <c r="K34" s="16" t="n">
        <f aca="false">J34+D34+F34-G34-H34</f>
        <v>-29.8822141390375</v>
      </c>
    </row>
    <row r="35" customFormat="false" ht="12.75" hidden="false" customHeight="false" outlineLevel="0" collapsed="false">
      <c r="A35" s="49" t="n">
        <f aca="false">A34+366/2</f>
        <v>37044</v>
      </c>
      <c r="B35" s="0" t="n">
        <v>48</v>
      </c>
      <c r="C35" s="50" t="n">
        <f aca="false">I34</f>
        <v>4.79366006357464</v>
      </c>
      <c r="D35" s="51" t="n">
        <f aca="false">C35*DiscRate/2</f>
        <v>0.116965305551221</v>
      </c>
      <c r="E35" s="51"/>
      <c r="F35" s="51" t="n">
        <v>0.35</v>
      </c>
      <c r="G35" s="52"/>
      <c r="H35" s="52" t="n">
        <f aca="false">'facts premium'!$C$28*'facts premium'!$H$16/2</f>
        <v>10.2450607336134</v>
      </c>
      <c r="I35" s="16" t="n">
        <f aca="false">C35+D35+E35+F35-G35-H35</f>
        <v>-4.98443536448757</v>
      </c>
      <c r="J35" s="54" t="n">
        <f aca="false">K34</f>
        <v>-29.8822141390375</v>
      </c>
      <c r="K35" s="16" t="n">
        <f aca="false">J35+D35+F35-G35-H35</f>
        <v>-39.6603095670997</v>
      </c>
    </row>
    <row r="36" customFormat="false" ht="12.75" hidden="false" customHeight="false" outlineLevel="0" collapsed="false">
      <c r="A36" s="49" t="n">
        <f aca="false">A35+366/2</f>
        <v>37227</v>
      </c>
      <c r="B36" s="0" t="n">
        <v>54</v>
      </c>
      <c r="C36" s="50" t="n">
        <f aca="false">I35</f>
        <v>-4.98443536448757</v>
      </c>
      <c r="D36" s="51" t="n">
        <f aca="false">C36*DiscRate/2</f>
        <v>-0.121620222893497</v>
      </c>
      <c r="E36" s="51" t="n">
        <v>25.48881</v>
      </c>
      <c r="F36" s="51" t="n">
        <v>0.35</v>
      </c>
      <c r="G36" s="52"/>
      <c r="H36" s="52" t="n">
        <f aca="false">'facts premium'!$C$28*'facts premium'!$H$16/2</f>
        <v>10.2450607336134</v>
      </c>
      <c r="I36" s="16" t="n">
        <f aca="false">C36+D36+E36+F36-G36-H36</f>
        <v>10.4876936790055</v>
      </c>
      <c r="J36" s="54" t="n">
        <f aca="false">K35</f>
        <v>-39.6603095670997</v>
      </c>
      <c r="K36" s="16" t="n">
        <f aca="false">J36+D36+F36-G36-H36</f>
        <v>-49.6769905236066</v>
      </c>
    </row>
    <row r="37" customFormat="false" ht="12.75" hidden="false" customHeight="false" outlineLevel="0" collapsed="false">
      <c r="A37" s="49" t="n">
        <f aca="false">A36+366/2</f>
        <v>37410</v>
      </c>
      <c r="B37" s="0" t="n">
        <v>60</v>
      </c>
      <c r="C37" s="50" t="n">
        <f aca="false">I36</f>
        <v>10.4876936790055</v>
      </c>
      <c r="D37" s="51" t="n">
        <f aca="false">C37*DiscRate/2</f>
        <v>0.255899725767735</v>
      </c>
      <c r="E37" s="51"/>
      <c r="F37" s="51" t="n">
        <v>0.35</v>
      </c>
      <c r="G37" s="52"/>
      <c r="H37" s="52" t="n">
        <f aca="false">'facts premium'!$C$28*'facts premium'!$H$16/2</f>
        <v>10.2450607336134</v>
      </c>
      <c r="I37" s="16" t="n">
        <f aca="false">C37+D37+E37+F37-G37-H37</f>
        <v>0.84853267115982</v>
      </c>
      <c r="J37" s="54" t="n">
        <f aca="false">K36</f>
        <v>-49.6769905236066</v>
      </c>
      <c r="K37" s="16" t="n">
        <f aca="false">J37+D37+F37-G37-H37</f>
        <v>-59.3161515314523</v>
      </c>
    </row>
    <row r="38" customFormat="false" ht="12.75" hidden="false" customHeight="false" outlineLevel="0" collapsed="false">
      <c r="A38" s="49" t="n">
        <f aca="false">A37+366/2</f>
        <v>37593</v>
      </c>
      <c r="B38" s="0" t="n">
        <v>66</v>
      </c>
      <c r="C38" s="50" t="n">
        <f aca="false">I37</f>
        <v>0.84853267115982</v>
      </c>
      <c r="D38" s="51" t="n">
        <f aca="false">C38*DiscRate/2</f>
        <v>0.0207041971762996</v>
      </c>
      <c r="E38" s="51" t="n">
        <v>26.244265</v>
      </c>
      <c r="F38" s="51" t="n">
        <v>0.35</v>
      </c>
      <c r="G38" s="52"/>
      <c r="H38" s="52" t="n">
        <f aca="false">'facts premium'!$C$28*'facts premium'!$H$16/2</f>
        <v>10.2450607336134</v>
      </c>
      <c r="I38" s="16" t="n">
        <f aca="false">C38+D38+E38+F38-G38-H38</f>
        <v>17.2184411347227</v>
      </c>
      <c r="J38" s="54" t="n">
        <f aca="false">K37</f>
        <v>-59.3161515314523</v>
      </c>
      <c r="K38" s="16" t="n">
        <f aca="false">J38+D38+F38-G38-H38</f>
        <v>-69.1905080678895</v>
      </c>
    </row>
    <row r="39" customFormat="false" ht="12.75" hidden="false" customHeight="false" outlineLevel="0" collapsed="false">
      <c r="A39" s="49" t="n">
        <f aca="false">A38+366/2</f>
        <v>37776</v>
      </c>
      <c r="B39" s="0" t="n">
        <v>72</v>
      </c>
      <c r="C39" s="50" t="n">
        <f aca="false">I38</f>
        <v>17.2184411347227</v>
      </c>
      <c r="D39" s="51" t="n">
        <f aca="false">C39*DiscRate/2</f>
        <v>0.420129963687234</v>
      </c>
      <c r="E39" s="51"/>
      <c r="F39" s="51" t="n">
        <v>0.35</v>
      </c>
      <c r="G39" s="52"/>
      <c r="H39" s="52" t="n">
        <f aca="false">'facts premium'!$C$28*'facts premium'!$H$16/2</f>
        <v>10.2450607336134</v>
      </c>
      <c r="I39" s="16" t="n">
        <f aca="false">C39+D39+E39+F39-G39-H39</f>
        <v>7.74351036479651</v>
      </c>
      <c r="J39" s="54" t="n">
        <f aca="false">K38</f>
        <v>-69.1905080678895</v>
      </c>
      <c r="K39" s="16" t="n">
        <f aca="false">J39+D39+F39-G39-H39</f>
        <v>-78.6654388378157</v>
      </c>
    </row>
    <row r="40" customFormat="false" ht="12.75" hidden="false" customHeight="false" outlineLevel="0" collapsed="false">
      <c r="A40" s="49" t="n">
        <f aca="false">A39+366/2</f>
        <v>37959</v>
      </c>
      <c r="B40" s="0" t="n">
        <v>78</v>
      </c>
      <c r="C40" s="50" t="n">
        <f aca="false">I39</f>
        <v>7.74351036479651</v>
      </c>
      <c r="D40" s="51" t="n">
        <f aca="false">C40*DiscRate/2</f>
        <v>0.188941652901035</v>
      </c>
      <c r="E40" s="51" t="n">
        <v>27.316484</v>
      </c>
      <c r="F40" s="51" t="n">
        <v>0.35</v>
      </c>
      <c r="G40" s="52"/>
      <c r="H40" s="52" t="n">
        <f aca="false">'facts premium'!$C$28*'facts premium'!$H$16/2</f>
        <v>10.2450607336134</v>
      </c>
      <c r="I40" s="16" t="n">
        <f aca="false">C40+D40+E40+F40-G40-H40</f>
        <v>25.3538752840841</v>
      </c>
      <c r="J40" s="54" t="n">
        <f aca="false">K39</f>
        <v>-78.6654388378157</v>
      </c>
      <c r="K40" s="16" t="n">
        <f aca="false">J40+D40+F40-G40-H40</f>
        <v>-88.3715579185281</v>
      </c>
    </row>
    <row r="41" customFormat="false" ht="12.75" hidden="false" customHeight="false" outlineLevel="0" collapsed="false">
      <c r="A41" s="49" t="n">
        <f aca="false">A40+366/2</f>
        <v>38142</v>
      </c>
      <c r="B41" s="0" t="n">
        <v>84</v>
      </c>
      <c r="C41" s="50" t="n">
        <f aca="false">I40</f>
        <v>25.3538752840841</v>
      </c>
      <c r="D41" s="51" t="n">
        <f aca="false">C41*DiscRate/2</f>
        <v>0.618634556931652</v>
      </c>
      <c r="E41" s="51"/>
      <c r="F41" s="51" t="n">
        <v>0.35</v>
      </c>
      <c r="G41" s="52"/>
      <c r="H41" s="52" t="n">
        <f aca="false">'facts premium'!$C$28*'facts premium'!$H$16/2</f>
        <v>10.2450607336134</v>
      </c>
      <c r="I41" s="16" t="n">
        <f aca="false">C41+D41+E41+F41-G41-H41</f>
        <v>16.0774491074023</v>
      </c>
      <c r="J41" s="54" t="n">
        <f aca="false">K40</f>
        <v>-88.3715579185281</v>
      </c>
      <c r="K41" s="16" t="n">
        <f aca="false">J41+D41+F41-G41-H41</f>
        <v>-97.6479840952098</v>
      </c>
    </row>
    <row r="42" customFormat="false" ht="12.75" hidden="false" customHeight="false" outlineLevel="0" collapsed="false">
      <c r="A42" s="49" t="n">
        <f aca="false">A41+366/2</f>
        <v>38325</v>
      </c>
      <c r="B42" s="0" t="n">
        <v>90</v>
      </c>
      <c r="C42" s="50" t="n">
        <f aca="false">I41</f>
        <v>16.0774491074023</v>
      </c>
      <c r="D42" s="51" t="n">
        <f aca="false">C42*DiscRate/2</f>
        <v>0.392289758220617</v>
      </c>
      <c r="E42" s="51" t="n">
        <v>28.432512</v>
      </c>
      <c r="F42" s="51" t="n">
        <v>0.35</v>
      </c>
      <c r="G42" s="52"/>
      <c r="H42" s="52" t="n">
        <f aca="false">'facts premium'!$C$28*'facts premium'!$H$16/2</f>
        <v>10.2450607336134</v>
      </c>
      <c r="I42" s="16" t="n">
        <f aca="false">C42+D42+E42+F42-G42-H42</f>
        <v>35.0071901320095</v>
      </c>
      <c r="J42" s="54" t="n">
        <f aca="false">K41</f>
        <v>-97.6479840952098</v>
      </c>
      <c r="K42" s="16" t="n">
        <f aca="false">J42+D42+F42-G42-H42</f>
        <v>-107.150755070603</v>
      </c>
    </row>
    <row r="43" customFormat="false" ht="12.75" hidden="false" customHeight="false" outlineLevel="0" collapsed="false">
      <c r="A43" s="49" t="n">
        <f aca="false">A42+366/2</f>
        <v>38508</v>
      </c>
      <c r="B43" s="0" t="n">
        <v>96</v>
      </c>
      <c r="C43" s="50" t="n">
        <f aca="false">I42</f>
        <v>35.0071901320095</v>
      </c>
      <c r="D43" s="51" t="n">
        <f aca="false">C43*DiscRate/2</f>
        <v>0.854175439221033</v>
      </c>
      <c r="E43" s="51"/>
      <c r="F43" s="51" t="n">
        <v>0.35</v>
      </c>
      <c r="G43" s="52"/>
      <c r="H43" s="52" t="n">
        <f aca="false">'facts premium'!$C$28*'facts premium'!$H$16/2</f>
        <v>10.2450607336134</v>
      </c>
      <c r="I43" s="16" t="n">
        <f aca="false">C43+D43+E43+F43-G43-H43</f>
        <v>25.9663048376171</v>
      </c>
      <c r="J43" s="54" t="n">
        <f aca="false">K42</f>
        <v>-107.150755070603</v>
      </c>
      <c r="K43" s="16" t="n">
        <f aca="false">J43+D43+F43-G43-H43</f>
        <v>-116.191640364995</v>
      </c>
    </row>
    <row r="44" customFormat="false" ht="12.75" hidden="false" customHeight="false" outlineLevel="0" collapsed="false">
      <c r="A44" s="49" t="n">
        <f aca="false">A43+366/2</f>
        <v>38691</v>
      </c>
      <c r="B44" s="0" t="n">
        <v>102</v>
      </c>
      <c r="C44" s="50" t="n">
        <f aca="false">I43</f>
        <v>25.9663048376171</v>
      </c>
      <c r="D44" s="51" t="n">
        <f aca="false">C44*DiscRate/2</f>
        <v>0.633577838037858</v>
      </c>
      <c r="E44" s="51" t="n">
        <v>29.594139</v>
      </c>
      <c r="F44" s="51" t="n">
        <v>0.35</v>
      </c>
      <c r="G44" s="52"/>
      <c r="H44" s="52" t="n">
        <f aca="false">'facts premium'!$C$28*'facts premium'!$H$16/2</f>
        <v>10.2450607336134</v>
      </c>
      <c r="I44" s="16" t="n">
        <f aca="false">C44+D44+E44+F44-G44-H44</f>
        <v>46.2989609420416</v>
      </c>
      <c r="J44" s="54" t="n">
        <f aca="false">K43</f>
        <v>-116.191640364995</v>
      </c>
      <c r="K44" s="16" t="n">
        <f aca="false">J44+D44+F44-G44-H44</f>
        <v>-125.453123260571</v>
      </c>
    </row>
    <row r="45" customFormat="false" ht="12.75" hidden="false" customHeight="false" outlineLevel="0" collapsed="false">
      <c r="A45" s="49" t="n">
        <f aca="false">A44+366/2</f>
        <v>38874</v>
      </c>
      <c r="B45" s="0" t="n">
        <v>108</v>
      </c>
      <c r="C45" s="50" t="n">
        <f aca="false">I44</f>
        <v>46.2989609420416</v>
      </c>
      <c r="D45" s="51" t="n">
        <f aca="false">C45*DiscRate/2</f>
        <v>1.12969464698581</v>
      </c>
      <c r="E45" s="51"/>
      <c r="F45" s="51" t="n">
        <v>0.35</v>
      </c>
      <c r="G45" s="52"/>
      <c r="H45" s="52" t="n">
        <f aca="false">'facts premium'!$C$28*'facts premium'!$H$16/2</f>
        <v>10.2450607336134</v>
      </c>
      <c r="I45" s="16" t="n">
        <f aca="false">C45+D45+E45+F45-G45-H45</f>
        <v>37.5335948554139</v>
      </c>
      <c r="J45" s="54" t="n">
        <f aca="false">K44</f>
        <v>-125.453123260571</v>
      </c>
      <c r="K45" s="16" t="n">
        <f aca="false">J45+D45+F45-G45-H45</f>
        <v>-134.218489347198</v>
      </c>
    </row>
    <row r="46" customFormat="false" ht="12.75" hidden="false" customHeight="false" outlineLevel="0" collapsed="false">
      <c r="A46" s="49" t="n">
        <f aca="false">A45+366/2</f>
        <v>39057</v>
      </c>
      <c r="B46" s="0" t="n">
        <v>114</v>
      </c>
      <c r="C46" s="50" t="n">
        <f aca="false">I45</f>
        <v>37.5335948554139</v>
      </c>
      <c r="D46" s="51" t="n">
        <f aca="false">C46*DiscRate/2</f>
        <v>0.9158197144721</v>
      </c>
      <c r="E46" s="51" t="n">
        <v>30.803229</v>
      </c>
      <c r="F46" s="51" t="n">
        <v>0.35</v>
      </c>
      <c r="G46" s="52"/>
      <c r="H46" s="52" t="n">
        <f aca="false">'facts premium'!$C$28*'facts premium'!$H$16/2</f>
        <v>10.2450607336134</v>
      </c>
      <c r="I46" s="16" t="n">
        <f aca="false">C46+D46+E46+F46-G46-H46</f>
        <v>59.3575828362726</v>
      </c>
      <c r="J46" s="54" t="n">
        <f aca="false">K45</f>
        <v>-134.218489347198</v>
      </c>
      <c r="K46" s="16" t="n">
        <f aca="false">J46+D46+F46-G46-H46</f>
        <v>-143.19773036634</v>
      </c>
    </row>
    <row r="47" customFormat="false" ht="12.75" hidden="false" customHeight="false" outlineLevel="0" collapsed="false">
      <c r="A47" s="49" t="n">
        <f aca="false">A46+366/2</f>
        <v>39240</v>
      </c>
      <c r="B47" s="0" t="n">
        <v>120</v>
      </c>
      <c r="C47" s="50" t="n">
        <f aca="false">I46</f>
        <v>59.3575828362726</v>
      </c>
      <c r="D47" s="51" t="n">
        <f aca="false">C47*DiscRate/2</f>
        <v>1.44832502120505</v>
      </c>
      <c r="E47" s="51"/>
      <c r="F47" s="51" t="n">
        <v>0.35</v>
      </c>
      <c r="G47" s="52"/>
      <c r="H47" s="52" t="n">
        <f aca="false">'facts premium'!$C$28*'facts premium'!$H$16/2</f>
        <v>10.2450607336134</v>
      </c>
      <c r="I47" s="16" t="n">
        <f aca="false">C47+D47+E47+F47-G47-H47</f>
        <v>50.9108471238642</v>
      </c>
      <c r="J47" s="54" t="n">
        <f aca="false">K46</f>
        <v>-143.19773036634</v>
      </c>
      <c r="K47" s="16" t="n">
        <f aca="false">J47+D47+F47-G47-H47</f>
        <v>-151.644466078748</v>
      </c>
    </row>
    <row r="48" customFormat="false" ht="12.75" hidden="false" customHeight="false" outlineLevel="0" collapsed="false">
      <c r="A48" s="49" t="n">
        <f aca="false">A47+366/2</f>
        <v>39423</v>
      </c>
      <c r="B48" s="0" t="n">
        <v>126</v>
      </c>
      <c r="C48" s="50" t="n">
        <f aca="false">I47</f>
        <v>50.9108471238642</v>
      </c>
      <c r="D48" s="51" t="n">
        <f aca="false">C48*DiscRate/2</f>
        <v>1.24222466982229</v>
      </c>
      <c r="E48" s="51" t="n">
        <v>32.06172</v>
      </c>
      <c r="F48" s="51" t="n">
        <v>0.35</v>
      </c>
      <c r="G48" s="52"/>
      <c r="H48" s="52" t="n">
        <f aca="false">'facts premium'!$C$28*'facts premium'!$H$16/2</f>
        <v>10.2450607336134</v>
      </c>
      <c r="I48" s="16" t="n">
        <f aca="false">C48+D48+E48+F48-G48-H48</f>
        <v>74.3197310600731</v>
      </c>
      <c r="J48" s="54" t="n">
        <f aca="false">K47</f>
        <v>-151.644466078748</v>
      </c>
      <c r="K48" s="16" t="n">
        <f aca="false">J48+D48+F48-G48-H48</f>
        <v>-160.297302142539</v>
      </c>
    </row>
    <row r="49" customFormat="false" ht="12.75" hidden="false" customHeight="false" outlineLevel="0" collapsed="false">
      <c r="A49" s="49" t="n">
        <f aca="false">A48+366/2</f>
        <v>39606</v>
      </c>
      <c r="B49" s="0" t="n">
        <v>132</v>
      </c>
      <c r="C49" s="50" t="n">
        <f aca="false">I48</f>
        <v>74.3197310600731</v>
      </c>
      <c r="D49" s="51" t="n">
        <f aca="false">C49*DiscRate/2</f>
        <v>1.81340143786578</v>
      </c>
      <c r="E49" s="51"/>
      <c r="F49" s="51" t="n">
        <v>0.35</v>
      </c>
      <c r="G49" s="52"/>
      <c r="H49" s="52" t="n">
        <f aca="false">'facts premium'!$C$28*'facts premium'!$H$16/2</f>
        <v>10.2450607336134</v>
      </c>
      <c r="I49" s="16" t="n">
        <f aca="false">C49+D49+E49+F49-G49-H49</f>
        <v>66.2380717643254</v>
      </c>
      <c r="J49" s="54" t="n">
        <f aca="false">K48</f>
        <v>-160.297302142539</v>
      </c>
      <c r="K49" s="16" t="n">
        <f aca="false">J49+D49+F49-G49-H49</f>
        <v>-168.378961438287</v>
      </c>
    </row>
    <row r="50" customFormat="false" ht="12.75" hidden="false" customHeight="false" outlineLevel="0" collapsed="false">
      <c r="A50" s="49" t="n">
        <f aca="false">A49+366/2</f>
        <v>39789</v>
      </c>
      <c r="B50" s="0" t="n">
        <v>138</v>
      </c>
      <c r="C50" s="50" t="n">
        <f aca="false">I49</f>
        <v>66.2380717643254</v>
      </c>
      <c r="D50" s="51" t="n">
        <f aca="false">C50*DiscRate/2</f>
        <v>1.61620895104954</v>
      </c>
      <c r="E50" s="51" t="n">
        <v>33.371633</v>
      </c>
      <c r="F50" s="51" t="n">
        <v>0.35</v>
      </c>
      <c r="G50" s="52"/>
      <c r="H50" s="52" t="n">
        <f aca="false">'facts premium'!$C$28*'facts premium'!$H$16/2</f>
        <v>10.2450607336134</v>
      </c>
      <c r="I50" s="16" t="n">
        <f aca="false">C50+D50+E50+F50-G50-H50</f>
        <v>91.3308529817615</v>
      </c>
      <c r="J50" s="54" t="n">
        <f aca="false">K49</f>
        <v>-168.378961438287</v>
      </c>
      <c r="K50" s="16" t="n">
        <f aca="false">J50+D50+F50-G50-H50</f>
        <v>-176.657813220851</v>
      </c>
    </row>
    <row r="51" customFormat="false" ht="12.75" hidden="false" customHeight="false" outlineLevel="0" collapsed="false">
      <c r="A51" s="49" t="n">
        <f aca="false">A50+366/2</f>
        <v>39972</v>
      </c>
      <c r="B51" s="0" t="n">
        <v>144</v>
      </c>
      <c r="C51" s="50" t="n">
        <f aca="false">I50</f>
        <v>91.3308529817615</v>
      </c>
      <c r="D51" s="51" t="n">
        <f aca="false">C51*DiscRate/2</f>
        <v>2.22847281275498</v>
      </c>
      <c r="E51" s="51"/>
      <c r="F51" s="51" t="n">
        <v>0.35</v>
      </c>
      <c r="G51" s="52"/>
      <c r="H51" s="52" t="n">
        <f aca="false">'facts premium'!$C$28*'facts premium'!$H$16/2</f>
        <v>10.2450607336134</v>
      </c>
      <c r="I51" s="16" t="n">
        <f aca="false">C51+D51+E51+F51-G51-H51</f>
        <v>83.6642650609031</v>
      </c>
      <c r="J51" s="54" t="n">
        <f aca="false">K50</f>
        <v>-176.657813220851</v>
      </c>
      <c r="K51" s="16" t="n">
        <f aca="false">J51+D51+F51-G51-H51</f>
        <v>-184.324401141709</v>
      </c>
    </row>
    <row r="52" customFormat="false" ht="12.75" hidden="false" customHeight="false" outlineLevel="0" collapsed="false">
      <c r="A52" s="49" t="n">
        <f aca="false">A51+366/2</f>
        <v>40155</v>
      </c>
      <c r="B52" s="0" t="n">
        <v>150</v>
      </c>
      <c r="C52" s="50" t="n">
        <f aca="false">I51</f>
        <v>83.6642650609031</v>
      </c>
      <c r="D52" s="51" t="n">
        <f aca="false">C52*DiscRate/2</f>
        <v>2.04140806748604</v>
      </c>
      <c r="E52" s="51" t="n">
        <v>34.735066</v>
      </c>
      <c r="F52" s="51" t="n">
        <v>0.35</v>
      </c>
      <c r="G52" s="52"/>
      <c r="H52" s="52" t="n">
        <f aca="false">'facts premium'!$C$28*'facts premium'!$H$16/2</f>
        <v>10.2450607336134</v>
      </c>
      <c r="I52" s="16" t="n">
        <f aca="false">C52+D52+E52+F52-G52-H52</f>
        <v>110.545678394776</v>
      </c>
      <c r="J52" s="54" t="n">
        <f aca="false">K51</f>
        <v>-184.324401141709</v>
      </c>
      <c r="K52" s="16" t="n">
        <f aca="false">J52+D52+F52-G52-H52</f>
        <v>-192.178053807837</v>
      </c>
    </row>
    <row r="53" customFormat="false" ht="12.75" hidden="false" customHeight="false" outlineLevel="0" collapsed="false">
      <c r="A53" s="49" t="n">
        <f aca="false">A52+366/2</f>
        <v>40338</v>
      </c>
      <c r="B53" s="0" t="n">
        <v>156</v>
      </c>
      <c r="C53" s="50" t="n">
        <f aca="false">I52</f>
        <v>110.545678394776</v>
      </c>
      <c r="D53" s="51" t="n">
        <f aca="false">C53*DiscRate/2</f>
        <v>2.69731455283253</v>
      </c>
      <c r="E53" s="51"/>
      <c r="F53" s="51" t="n">
        <v>0.35</v>
      </c>
      <c r="G53" s="52"/>
      <c r="H53" s="52" t="n">
        <f aca="false">'facts premium'!$C$28*'facts premium'!$H$16/2</f>
        <v>10.2450607336134</v>
      </c>
      <c r="I53" s="16" t="n">
        <f aca="false">C53+D53+E53+F53-G53-H53</f>
        <v>103.347932213995</v>
      </c>
      <c r="J53" s="54" t="n">
        <f aca="false">K52</f>
        <v>-192.178053807837</v>
      </c>
      <c r="K53" s="16" t="n">
        <f aca="false">J53+D53+F53-G53-H53</f>
        <v>-199.375799988617</v>
      </c>
    </row>
    <row r="54" customFormat="false" ht="12.75" hidden="false" customHeight="false" outlineLevel="0" collapsed="false">
      <c r="A54" s="49" t="n">
        <f aca="false">A53+366/2</f>
        <v>40521</v>
      </c>
      <c r="B54" s="0" t="n">
        <v>162</v>
      </c>
      <c r="C54" s="50" t="n">
        <f aca="false">I53</f>
        <v>103.347932213995</v>
      </c>
      <c r="D54" s="51" t="n">
        <f aca="false">C54*DiscRate/2</f>
        <v>2.52168954602147</v>
      </c>
      <c r="E54" s="51" t="n">
        <v>36.154209</v>
      </c>
      <c r="F54" s="51" t="n">
        <v>0.35</v>
      </c>
      <c r="G54" s="52"/>
      <c r="H54" s="52" t="n">
        <f aca="false">'facts premium'!$C$28*'facts premium'!$H$16/2</f>
        <v>10.2450607336134</v>
      </c>
      <c r="I54" s="16" t="n">
        <f aca="false">C54+D54+E54+F54-G54-H54</f>
        <v>132.128770026403</v>
      </c>
      <c r="J54" s="54" t="n">
        <f aca="false">K53</f>
        <v>-199.375799988617</v>
      </c>
      <c r="K54" s="16" t="n">
        <f aca="false">J54+D54+F54-G54-H54</f>
        <v>-206.749171176209</v>
      </c>
    </row>
    <row r="55" customFormat="false" ht="12.75" hidden="false" customHeight="false" outlineLevel="0" collapsed="false">
      <c r="A55" s="49" t="n">
        <f aca="false">A54+366/2</f>
        <v>40704</v>
      </c>
      <c r="B55" s="0" t="n">
        <v>168</v>
      </c>
      <c r="C55" s="50" t="n">
        <f aca="false">I54</f>
        <v>132.128770026403</v>
      </c>
      <c r="D55" s="51" t="n">
        <f aca="false">C55*DiscRate/2</f>
        <v>3.22394198864423</v>
      </c>
      <c r="E55" s="51"/>
      <c r="F55" s="51" t="n">
        <v>0.35</v>
      </c>
      <c r="G55" s="52"/>
      <c r="H55" s="52" t="n">
        <f aca="false">'facts premium'!$C$28*'facts premium'!$H$16/2</f>
        <v>10.2450607336134</v>
      </c>
      <c r="I55" s="16" t="n">
        <f aca="false">C55+D55+E55+F55-G55-H55</f>
        <v>125.457651281434</v>
      </c>
      <c r="J55" s="54" t="n">
        <f aca="false">K54</f>
        <v>-206.749171176209</v>
      </c>
      <c r="K55" s="16" t="n">
        <f aca="false">J55+D55+F55-G55-H55</f>
        <v>-213.420289921179</v>
      </c>
    </row>
    <row r="56" customFormat="false" ht="12.75" hidden="false" customHeight="false" outlineLevel="0" collapsed="false">
      <c r="A56" s="49" t="n">
        <f aca="false">A55+366/2</f>
        <v>40887</v>
      </c>
      <c r="B56" s="0" t="n">
        <v>174</v>
      </c>
      <c r="C56" s="50" t="n">
        <f aca="false">I55</f>
        <v>125.457651281434</v>
      </c>
      <c r="D56" s="51" t="n">
        <f aca="false">C56*DiscRate/2</f>
        <v>3.06116669126698</v>
      </c>
      <c r="E56" s="51" t="n">
        <v>37.631336</v>
      </c>
      <c r="F56" s="51" t="n">
        <v>0.35</v>
      </c>
      <c r="G56" s="52"/>
      <c r="H56" s="52" t="n">
        <f aca="false">'facts premium'!$C$28*'facts premium'!$H$16/2</f>
        <v>10.2450607336134</v>
      </c>
      <c r="I56" s="16" t="n">
        <f aca="false">C56+D56+E56+F56-G56-H56</f>
        <v>156.255093239087</v>
      </c>
      <c r="J56" s="54" t="n">
        <f aca="false">K55</f>
        <v>-213.420289921179</v>
      </c>
      <c r="K56" s="16" t="n">
        <f aca="false">J56+D56+F56-G56-H56</f>
        <v>-220.254183963525</v>
      </c>
    </row>
    <row r="57" customFormat="false" ht="12.75" hidden="false" customHeight="false" outlineLevel="0" collapsed="false">
      <c r="A57" s="49" t="n">
        <f aca="false">A56+366/2</f>
        <v>41070</v>
      </c>
      <c r="B57" s="0" t="n">
        <v>180</v>
      </c>
      <c r="C57" s="50" t="n">
        <f aca="false">I56</f>
        <v>156.255093239087</v>
      </c>
      <c r="D57" s="51" t="n">
        <f aca="false">C57*DiscRate/2</f>
        <v>3.81262427503373</v>
      </c>
      <c r="E57" s="51"/>
      <c r="F57" s="51" t="n">
        <v>0.35</v>
      </c>
      <c r="G57" s="52"/>
      <c r="H57" s="52" t="n">
        <f aca="false">'facts premium'!$C$28*'facts premium'!$H$16/2</f>
        <v>10.2450607336134</v>
      </c>
      <c r="I57" s="16" t="n">
        <f aca="false">C57+D57+E57+F57-G57-H57</f>
        <v>150.172656780507</v>
      </c>
      <c r="J57" s="54" t="n">
        <f aca="false">K56</f>
        <v>-220.254183963525</v>
      </c>
      <c r="K57" s="16" t="n">
        <f aca="false">J57+D57+F57-G57-H57</f>
        <v>-226.336620422105</v>
      </c>
    </row>
    <row r="58" customFormat="false" ht="12.75" hidden="false" customHeight="false" outlineLevel="0" collapsed="false">
      <c r="A58" s="49" t="n">
        <f aca="false">A57+366/2</f>
        <v>41253</v>
      </c>
      <c r="B58" s="0" t="n">
        <v>186</v>
      </c>
      <c r="C58" s="50" t="n">
        <f aca="false">I57</f>
        <v>150.172656780507</v>
      </c>
      <c r="D58" s="51" t="n">
        <f aca="false">C58*DiscRate/2</f>
        <v>3.66421282544438</v>
      </c>
      <c r="E58" s="51" t="n">
        <v>39.168818</v>
      </c>
      <c r="F58" s="51" t="n">
        <v>0.35</v>
      </c>
      <c r="G58" s="52"/>
      <c r="H58" s="52" t="n">
        <f aca="false">'facts premium'!$C$28*'facts premium'!$H$16/2</f>
        <v>10.2450607336134</v>
      </c>
      <c r="I58" s="16" t="n">
        <f aca="false">C58+D58+E58+F58-G58-H58</f>
        <v>183.110626872338</v>
      </c>
      <c r="J58" s="54" t="n">
        <f aca="false">K57</f>
        <v>-226.336620422105</v>
      </c>
      <c r="K58" s="16" t="n">
        <f aca="false">J58+D58+F58-G58-H58</f>
        <v>-232.567468330274</v>
      </c>
    </row>
    <row r="59" customFormat="false" ht="12.75" hidden="false" customHeight="false" outlineLevel="0" collapsed="false">
      <c r="A59" s="49" t="n">
        <f aca="false">A58+366/2</f>
        <v>41436</v>
      </c>
      <c r="B59" s="0" t="n">
        <v>192</v>
      </c>
      <c r="C59" s="50" t="n">
        <f aca="false">I58</f>
        <v>183.110626872338</v>
      </c>
      <c r="D59" s="51" t="n">
        <f aca="false">C59*DiscRate/2</f>
        <v>4.46789929568506</v>
      </c>
      <c r="E59" s="51"/>
      <c r="F59" s="51" t="n">
        <v>0.35</v>
      </c>
      <c r="G59" s="52"/>
      <c r="H59" s="52" t="n">
        <f aca="false">'facts premium'!$C$28*'facts premium'!$H$16/2</f>
        <v>10.2450607336134</v>
      </c>
      <c r="I59" s="16" t="n">
        <f aca="false">C59+D59+E59+F59-G59-H59</f>
        <v>177.68346543441</v>
      </c>
      <c r="J59" s="54" t="n">
        <f aca="false">K58</f>
        <v>-232.567468330274</v>
      </c>
      <c r="K59" s="16" t="n">
        <f aca="false">J59+D59+F59-G59-H59</f>
        <v>-237.994629768202</v>
      </c>
    </row>
    <row r="60" customFormat="false" ht="12.75" hidden="false" customHeight="false" outlineLevel="0" collapsed="false">
      <c r="A60" s="49" t="n">
        <f aca="false">A59+366/2</f>
        <v>41619</v>
      </c>
      <c r="B60" s="0" t="n">
        <v>198</v>
      </c>
      <c r="C60" s="50" t="n">
        <f aca="false">I59</f>
        <v>177.68346543441</v>
      </c>
      <c r="D60" s="51" t="n">
        <f aca="false">C60*DiscRate/2</f>
        <v>4.33547655659961</v>
      </c>
      <c r="E60" s="51" t="n">
        <v>40.769121</v>
      </c>
      <c r="F60" s="51" t="n">
        <v>0.35</v>
      </c>
      <c r="G60" s="52"/>
      <c r="H60" s="52" t="n">
        <f aca="false">'facts premium'!$C$28*'facts premium'!$H$16/2</f>
        <v>10.2450607336134</v>
      </c>
      <c r="I60" s="16" t="n">
        <f aca="false">C60+D60+E60+F60-G60-H60</f>
        <v>212.893002257396</v>
      </c>
      <c r="J60" s="54" t="n">
        <f aca="false">K59</f>
        <v>-237.994629768202</v>
      </c>
      <c r="K60" s="16" t="n">
        <f aca="false">J60+D60+F60-G60-H60</f>
        <v>-243.554213945216</v>
      </c>
    </row>
    <row r="61" customFormat="false" ht="12.75" hidden="false" customHeight="false" outlineLevel="0" collapsed="false">
      <c r="A61" s="49" t="n">
        <f aca="false">A60+366/2</f>
        <v>41802</v>
      </c>
      <c r="B61" s="0" t="n">
        <v>204</v>
      </c>
      <c r="C61" s="50" t="n">
        <f aca="false">I60</f>
        <v>212.893002257396</v>
      </c>
      <c r="D61" s="51" t="n">
        <f aca="false">C61*DiscRate/2</f>
        <v>5.19458925508047</v>
      </c>
      <c r="E61" s="51"/>
      <c r="F61" s="51" t="n">
        <v>0.35</v>
      </c>
      <c r="G61" s="52"/>
      <c r="H61" s="52" t="n">
        <f aca="false">'facts premium'!$C$28*'facts premium'!$H$16/2</f>
        <v>10.2450607336134</v>
      </c>
      <c r="I61" s="16" t="n">
        <f aca="false">C61+D61+E61+F61-G61-H61</f>
        <v>208.192530778863</v>
      </c>
      <c r="J61" s="54" t="n">
        <f aca="false">K60</f>
        <v>-243.554213945216</v>
      </c>
      <c r="K61" s="16" t="n">
        <f aca="false">J61+D61+F61-G61-H61</f>
        <v>-248.254685423749</v>
      </c>
    </row>
    <row r="62" customFormat="false" ht="12.75" hidden="false" customHeight="false" outlineLevel="0" collapsed="false">
      <c r="A62" s="49" t="n">
        <f aca="false">A61+366/2</f>
        <v>41985</v>
      </c>
      <c r="B62" s="0" t="n">
        <v>210</v>
      </c>
      <c r="C62" s="50" t="n">
        <f aca="false">I61</f>
        <v>208.192530778863</v>
      </c>
      <c r="D62" s="51" t="n">
        <f aca="false">C62*DiscRate/2</f>
        <v>5.07989775100427</v>
      </c>
      <c r="E62" s="51" t="n">
        <v>42.434811</v>
      </c>
      <c r="F62" s="51" t="n">
        <v>0.35</v>
      </c>
      <c r="G62" s="52"/>
      <c r="H62" s="52" t="n">
        <f aca="false">'facts premium'!$C$28*'facts premium'!$H$16/2</f>
        <v>10.2450607336134</v>
      </c>
      <c r="I62" s="16" t="n">
        <f aca="false">C62+D62+E62+F62-G62-H62</f>
        <v>245.812178796254</v>
      </c>
      <c r="J62" s="54" t="n">
        <f aca="false">K61</f>
        <v>-248.254685423749</v>
      </c>
      <c r="K62" s="16" t="n">
        <f aca="false">J62+D62+F62-G62-H62</f>
        <v>-253.069848406358</v>
      </c>
    </row>
    <row r="63" customFormat="false" ht="12.75" hidden="false" customHeight="false" outlineLevel="0" collapsed="false">
      <c r="A63" s="49" t="n">
        <f aca="false">A62+366/2</f>
        <v>42168</v>
      </c>
      <c r="B63" s="0" t="n">
        <v>216</v>
      </c>
      <c r="C63" s="50" t="n">
        <f aca="false">I62</f>
        <v>245.812178796254</v>
      </c>
      <c r="D63" s="51" t="n">
        <f aca="false">C63*DiscRate/2</f>
        <v>5.9978171626286</v>
      </c>
      <c r="E63" s="51"/>
      <c r="F63" s="51" t="n">
        <v>0.35</v>
      </c>
      <c r="G63" s="52"/>
      <c r="H63" s="52" t="n">
        <f aca="false">'facts premium'!$C$28*'facts premium'!$H$16/2</f>
        <v>10.2450607336134</v>
      </c>
      <c r="I63" s="16" t="n">
        <f aca="false">C63+D63+E63+F63-G63-H63</f>
        <v>241.914935225269</v>
      </c>
      <c r="J63" s="54" t="n">
        <f aca="false">K62</f>
        <v>-253.069848406358</v>
      </c>
      <c r="K63" s="16" t="n">
        <f aca="false">J63+D63+F63-G63-H63</f>
        <v>-256.967091977343</v>
      </c>
    </row>
    <row r="64" customFormat="false" ht="12.75" hidden="false" customHeight="false" outlineLevel="0" collapsed="false">
      <c r="A64" s="49" t="n">
        <f aca="false">A63+366/2</f>
        <v>42351</v>
      </c>
      <c r="B64" s="0" t="n">
        <v>222</v>
      </c>
      <c r="C64" s="50" t="n">
        <f aca="false">I63</f>
        <v>241.914935225269</v>
      </c>
      <c r="D64" s="51" t="n">
        <f aca="false">C64*DiscRate/2</f>
        <v>5.90272441949657</v>
      </c>
      <c r="E64" s="51" t="n">
        <v>44.168561</v>
      </c>
      <c r="F64" s="51" t="n">
        <v>0.35</v>
      </c>
      <c r="G64" s="52"/>
      <c r="H64" s="52" t="n">
        <f aca="false">'facts premium'!$C$28*'facts premium'!$H$16/2</f>
        <v>10.2450607336134</v>
      </c>
      <c r="I64" s="16" t="n">
        <f aca="false">C64+D64+E64+F64-G64-H64</f>
        <v>282.091159911153</v>
      </c>
      <c r="J64" s="54" t="n">
        <f aca="false">K63</f>
        <v>-256.967091977343</v>
      </c>
      <c r="K64" s="16" t="n">
        <f aca="false">J64+D64+F64-G64-H64</f>
        <v>-260.95942829146</v>
      </c>
    </row>
    <row r="65" customFormat="false" ht="12.75" hidden="false" customHeight="false" outlineLevel="0" collapsed="false">
      <c r="A65" s="49" t="n">
        <f aca="false">A64+366/2</f>
        <v>42534</v>
      </c>
      <c r="B65" s="0" t="n">
        <v>228</v>
      </c>
      <c r="C65" s="50" t="n">
        <f aca="false">I64</f>
        <v>282.091159911153</v>
      </c>
      <c r="D65" s="51" t="n">
        <f aca="false">C65*DiscRate/2</f>
        <v>6.88302430183212</v>
      </c>
      <c r="E65" s="51"/>
      <c r="F65" s="51" t="n">
        <v>0.35</v>
      </c>
      <c r="G65" s="52"/>
      <c r="H65" s="52" t="n">
        <f aca="false">'facts premium'!$C$28*'facts premium'!$H$16/2</f>
        <v>10.2450607336134</v>
      </c>
      <c r="I65" s="16" t="n">
        <f aca="false">C65+D65+E65+F65-G65-H65</f>
        <v>279.079123479371</v>
      </c>
      <c r="J65" s="54" t="n">
        <f aca="false">K64</f>
        <v>-260.95942829146</v>
      </c>
      <c r="K65" s="16" t="n">
        <f aca="false">J65+D65+F65-G65-H65</f>
        <v>-263.971464723241</v>
      </c>
    </row>
    <row r="66" customFormat="false" ht="12.75" hidden="false" customHeight="false" outlineLevel="0" collapsed="false">
      <c r="A66" s="49" t="n">
        <f aca="false">A65+366/2</f>
        <v>42717</v>
      </c>
      <c r="B66" s="0" t="n">
        <v>234</v>
      </c>
      <c r="C66" s="50" t="n">
        <f aca="false">I65</f>
        <v>279.079123479371</v>
      </c>
      <c r="D66" s="51" t="n">
        <f aca="false">C66*DiscRate/2</f>
        <v>6.80953061289666</v>
      </c>
      <c r="E66" s="51"/>
      <c r="F66" s="51" t="n">
        <v>0.35</v>
      </c>
      <c r="G66" s="51"/>
      <c r="H66" s="52" t="n">
        <v>9.31</v>
      </c>
      <c r="I66" s="16" t="n">
        <f aca="false">C66+D66+E66+F66-G66-H66</f>
        <v>276.928654092268</v>
      </c>
      <c r="J66" s="54" t="n">
        <f aca="false">K65</f>
        <v>-263.971464723241</v>
      </c>
      <c r="K66" s="16" t="n">
        <f aca="false">J66+D66+F66-G66-H66</f>
        <v>-266.121934110344</v>
      </c>
    </row>
    <row r="67" customFormat="false" ht="12.75" hidden="false" customHeight="false" outlineLevel="0" collapsed="false">
      <c r="A67" s="49" t="n">
        <f aca="false">A66+366/2</f>
        <v>42900</v>
      </c>
      <c r="B67" s="0" t="n">
        <v>240</v>
      </c>
      <c r="C67" s="50" t="n">
        <f aca="false">I66</f>
        <v>276.928654092268</v>
      </c>
      <c r="D67" s="51" t="n">
        <f aca="false">C67*DiscRate/2</f>
        <v>6.75705915985134</v>
      </c>
      <c r="E67" s="51"/>
      <c r="F67" s="51" t="n">
        <v>0.35</v>
      </c>
      <c r="G67" s="52"/>
      <c r="H67" s="52" t="n">
        <f aca="false">9.31+'facts premium'!C28</f>
        <v>326.986301817471</v>
      </c>
      <c r="I67" s="16" t="n">
        <f aca="false">C67+D67+E67+F67-G67-H67</f>
        <v>-42.9505885653513</v>
      </c>
      <c r="J67" s="54" t="n">
        <f aca="false">K66</f>
        <v>-266.121934110344</v>
      </c>
      <c r="K67" s="16" t="n">
        <f aca="false">J67+D67+F67-G67-H67</f>
        <v>-586.001176767964</v>
      </c>
    </row>
    <row r="68" customFormat="false" ht="12.75" hidden="false" customHeight="false" outlineLevel="0" collapsed="false">
      <c r="A68" s="49" t="n">
        <f aca="false">A67+366/2</f>
        <v>43083</v>
      </c>
      <c r="B68" s="0" t="n">
        <v>246</v>
      </c>
      <c r="C68" s="50" t="n">
        <f aca="false">I67</f>
        <v>-42.9505885653513</v>
      </c>
      <c r="D68" s="51" t="n">
        <f aca="false">C68*DiscRate/2</f>
        <v>-1.04799436099457</v>
      </c>
      <c r="E68" s="51"/>
      <c r="F68" s="51" t="n">
        <v>0.35</v>
      </c>
      <c r="G68" s="52"/>
      <c r="H68" s="53"/>
      <c r="I68" s="16" t="n">
        <f aca="false">C68+D68+E68+F68-G68-H68</f>
        <v>-43.6485829263458</v>
      </c>
      <c r="J68" s="54" t="n">
        <f aca="false">K67</f>
        <v>-586.001176767964</v>
      </c>
      <c r="K68" s="16" t="n">
        <f aca="false">J68+D68+F68-G68-H68</f>
        <v>-586.699171128958</v>
      </c>
    </row>
    <row r="69" customFormat="false" ht="12.75" hidden="false" customHeight="false" outlineLevel="0" collapsed="false">
      <c r="A69" s="49" t="n">
        <f aca="false">A68+366/2</f>
        <v>43266</v>
      </c>
      <c r="B69" s="0" t="n">
        <v>252</v>
      </c>
      <c r="C69" s="50" t="n">
        <f aca="false">I68</f>
        <v>-43.6485829263458</v>
      </c>
      <c r="D69" s="51" t="n">
        <f aca="false">C69*DiscRate/2</f>
        <v>-1.06502542340284</v>
      </c>
      <c r="E69" s="51"/>
      <c r="F69" s="51" t="n">
        <v>0.35</v>
      </c>
      <c r="G69" s="52"/>
      <c r="H69" s="53"/>
      <c r="I69" s="16" t="n">
        <f aca="false">C69+D69+E69+F69-G69-H69</f>
        <v>-44.3636083497487</v>
      </c>
      <c r="J69" s="54" t="n">
        <f aca="false">K68</f>
        <v>-586.699171128958</v>
      </c>
      <c r="K69" s="16" t="n">
        <f aca="false">J69+D69+F69-G69-H69</f>
        <v>-587.414196552361</v>
      </c>
    </row>
    <row r="70" customFormat="false" ht="12.75" hidden="false" customHeight="false" outlineLevel="0" collapsed="false">
      <c r="A70" s="49" t="n">
        <f aca="false">A69+366/2</f>
        <v>43449</v>
      </c>
      <c r="B70" s="0" t="n">
        <v>258</v>
      </c>
      <c r="C70" s="50" t="n">
        <f aca="false">I69</f>
        <v>-44.3636083497487</v>
      </c>
      <c r="D70" s="51" t="n">
        <f aca="false">C70*DiscRate/2</f>
        <v>-1.08247204373387</v>
      </c>
      <c r="E70" s="51"/>
      <c r="F70" s="51" t="n">
        <v>0.35</v>
      </c>
      <c r="G70" s="52"/>
      <c r="H70" s="53"/>
      <c r="I70" s="16" t="n">
        <f aca="false">C70+D70+E70+F70-G70-H70</f>
        <v>-45.0960803934825</v>
      </c>
      <c r="J70" s="54" t="n">
        <f aca="false">K69</f>
        <v>-587.414196552361</v>
      </c>
      <c r="K70" s="16" t="n">
        <f aca="false">J70+D70+F70-G70-H70</f>
        <v>-588.146668596095</v>
      </c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529861111111111" bottom="0.1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3" colorId="64" zoomScale="75" zoomScaleNormal="75" zoomScalePageLayoutView="100" workbookViewId="0">
      <selection pane="topLeft" activeCell="F54" activeCellId="0" sqref="F54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2" width="2.99"/>
    <col collapsed="false" customWidth="true" hidden="false" outlineLevel="0" max="2" min="2" style="32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36" t="s">
        <v>51</v>
      </c>
    </row>
    <row r="2" customFormat="false" ht="12.75" hidden="false" customHeight="false" outlineLevel="0" collapsed="false">
      <c r="A2" s="36"/>
      <c r="F2" s="44" t="n">
        <f aca="false">DiscRate</f>
        <v>0.0488</v>
      </c>
      <c r="G2" s="44" t="n">
        <f aca="false">discrate2</f>
        <v>0.0463</v>
      </c>
      <c r="H2" s="44" t="n">
        <f aca="false">DiscRate3</f>
        <v>0.0438</v>
      </c>
      <c r="I2" s="44" t="n">
        <f aca="false">DiscRate4</f>
        <v>0.0513</v>
      </c>
      <c r="J2" s="44" t="n">
        <f aca="false">DiscRate5</f>
        <v>0.0538</v>
      </c>
      <c r="K2" s="44" t="n">
        <f aca="false">DiscRate6</f>
        <v>0.0563</v>
      </c>
    </row>
    <row r="3" customFormat="false" ht="12.75" hidden="false" customHeight="false" outlineLevel="0" collapsed="false">
      <c r="A3" s="37"/>
      <c r="B3" s="37" t="s">
        <v>52</v>
      </c>
      <c r="C3" s="37" t="s">
        <v>53</v>
      </c>
      <c r="D3" s="37" t="s">
        <v>54</v>
      </c>
      <c r="E3" s="37" t="s">
        <v>55</v>
      </c>
      <c r="F3" s="37" t="s">
        <v>56</v>
      </c>
      <c r="G3" s="37" t="s">
        <v>56</v>
      </c>
      <c r="H3" s="37" t="s">
        <v>56</v>
      </c>
      <c r="I3" s="37" t="s">
        <v>56</v>
      </c>
      <c r="J3" s="37" t="s">
        <v>56</v>
      </c>
      <c r="K3" s="37" t="s">
        <v>56</v>
      </c>
      <c r="L3" s="55"/>
      <c r="M3" s="55"/>
      <c r="N3" s="55"/>
    </row>
    <row r="4" customFormat="false" ht="12.75" hidden="false" customHeight="false" outlineLevel="0" collapsed="false">
      <c r="A4" s="32" t="n">
        <v>1</v>
      </c>
      <c r="B4" s="32" t="n">
        <v>1999</v>
      </c>
      <c r="C4" s="29" t="n">
        <v>2703704</v>
      </c>
      <c r="D4" s="0" t="n">
        <v>15.64</v>
      </c>
      <c r="E4" s="29" t="n">
        <f aca="false">C4*D4</f>
        <v>42285930.56</v>
      </c>
      <c r="F4" s="56" t="n">
        <f aca="false">$E4/POWER(1+DiscRate,1+attendance!$A4)</f>
        <v>38442403.6827385</v>
      </c>
      <c r="G4" s="56" t="n">
        <f aca="false">$E4/POWER(1+discrate2,1+attendance!$A4)</f>
        <v>38626329.5657817</v>
      </c>
      <c r="H4" s="56" t="n">
        <f aca="false">$E4/POWER(1+DiscRate3,1+attendance!$A4)</f>
        <v>38811578.5906295</v>
      </c>
      <c r="I4" s="56" t="n">
        <f aca="false">$E4/POWER(1+DiscRate4,1+attendance!$A4)</f>
        <v>38259788.3707081</v>
      </c>
      <c r="J4" s="56" t="n">
        <f aca="false">$E4/POWER(1+DiscRate5,1+attendance!$A4)</f>
        <v>38078471.2078342</v>
      </c>
      <c r="K4" s="56" t="n">
        <f aca="false">$E4/POWER(1+DiscRate6,1+attendance!$A4)</f>
        <v>37898439.919084</v>
      </c>
    </row>
    <row r="5" customFormat="false" ht="12.75" hidden="false" customHeight="false" outlineLevel="0" collapsed="false">
      <c r="A5" s="32" t="n">
        <v>2</v>
      </c>
      <c r="B5" s="32" t="n">
        <v>2000</v>
      </c>
      <c r="C5" s="29" t="n">
        <v>2478395</v>
      </c>
      <c r="D5" s="0" t="n">
        <v>16.23</v>
      </c>
      <c r="E5" s="29" t="n">
        <f aca="false">C5*D5</f>
        <v>40224350.85</v>
      </c>
      <c r="F5" s="56" t="n">
        <f aca="false">E5/POWER(1+DiscRate,1+attendance!A5)</f>
        <v>34866713.0885109</v>
      </c>
      <c r="G5" s="56" t="n">
        <f aca="false">$E5/POWER(1+discrate2,1+attendance!$A5)</f>
        <v>35117239.3882687</v>
      </c>
      <c r="H5" s="56" t="n">
        <f aca="false">$E5/POWER(1+DiscRate3,1+attendance!$A5)</f>
        <v>35370171.5758796</v>
      </c>
      <c r="I5" s="56" t="n">
        <f aca="false">$E5/POWER(1+DiscRate4,1+attendance!$A5)</f>
        <v>34618564.1385269</v>
      </c>
      <c r="J5" s="56" t="n">
        <f aca="false">$E5/POWER(1+DiscRate5,1+attendance!$A5)</f>
        <v>34372764.4054901</v>
      </c>
      <c r="K5" s="56" t="n">
        <f aca="false">$E5/POWER(1+DiscRate6,1+attendance!$A5)</f>
        <v>34129286.1551287</v>
      </c>
    </row>
    <row r="6" customFormat="false" ht="12.75" hidden="false" customHeight="false" outlineLevel="0" collapsed="false">
      <c r="A6" s="32" t="n">
        <v>3</v>
      </c>
      <c r="B6" s="32" t="n">
        <v>2001</v>
      </c>
      <c r="C6" s="29" t="n">
        <v>2253086</v>
      </c>
      <c r="D6" s="0" t="n">
        <v>16.87</v>
      </c>
      <c r="E6" s="29" t="n">
        <f aca="false">C6*D6</f>
        <v>38009560.82</v>
      </c>
      <c r="F6" s="56" t="n">
        <f aca="false">E6/POWER(1+DiscRate,1+attendance!A6)</f>
        <v>31413920.2498929</v>
      </c>
      <c r="G6" s="56" t="n">
        <f aca="false">$E6/POWER(1+discrate2,1+attendance!$A6)</f>
        <v>31715236.2110687</v>
      </c>
      <c r="H6" s="56" t="n">
        <f aca="false">$E6/POWER(1+DiscRate3,1+attendance!$A6)</f>
        <v>32020173.5530113</v>
      </c>
      <c r="I6" s="56" t="n">
        <f aca="false">$E6/POWER(1+DiscRate4,1+attendance!$A6)</f>
        <v>31116174.1836075</v>
      </c>
      <c r="J6" s="56" t="n">
        <f aca="false">$E6/POWER(1+DiscRate5,1+attendance!$A6)</f>
        <v>30821947.3782983</v>
      </c>
      <c r="K6" s="56" t="n">
        <f aca="false">$E6/POWER(1+DiscRate6,1+attendance!$A6)</f>
        <v>30531190.0359396</v>
      </c>
    </row>
    <row r="7" customFormat="false" ht="12.75" hidden="false" customHeight="false" outlineLevel="0" collapsed="false">
      <c r="A7" s="32" t="n">
        <v>4</v>
      </c>
      <c r="B7" s="32" t="n">
        <v>2002</v>
      </c>
      <c r="C7" s="29" t="n">
        <v>2253086</v>
      </c>
      <c r="D7" s="0" t="n">
        <v>17.54</v>
      </c>
      <c r="E7" s="29" t="n">
        <f aca="false">C7*D7</f>
        <v>39519128.44</v>
      </c>
      <c r="F7" s="56" t="n">
        <f aca="false">E7/POWER(1+DiscRate,1+attendance!A7)</f>
        <v>31141818.169766</v>
      </c>
      <c r="G7" s="56" t="n">
        <f aca="false">$E7/POWER(1+discrate2,1+attendance!$A7)</f>
        <v>31515647.2933383</v>
      </c>
      <c r="H7" s="56" t="n">
        <f aca="false">$E7/POWER(1+DiscRate3,1+attendance!$A7)</f>
        <v>31894874.3391451</v>
      </c>
      <c r="I7" s="56" t="n">
        <f aca="false">$E7/POWER(1+DiscRate4,1+attendance!$A7)</f>
        <v>30773297.5409775</v>
      </c>
      <c r="J7" s="56" t="n">
        <f aca="false">$E7/POWER(1+DiscRate5,1+attendance!$A7)</f>
        <v>30409997.668716</v>
      </c>
      <c r="K7" s="56" t="n">
        <f aca="false">$E7/POWER(1+DiscRate6,1+attendance!$A7)</f>
        <v>30051832.4681084</v>
      </c>
    </row>
    <row r="8" customFormat="false" ht="12.75" hidden="false" customHeight="false" outlineLevel="0" collapsed="false">
      <c r="A8" s="32" t="n">
        <v>5</v>
      </c>
      <c r="B8" s="32" t="n">
        <v>2003</v>
      </c>
      <c r="C8" s="29" t="n">
        <v>2253086</v>
      </c>
      <c r="D8" s="0" t="n">
        <v>18.26</v>
      </c>
      <c r="E8" s="29" t="n">
        <f aca="false">C8*D8</f>
        <v>41141350.36</v>
      </c>
      <c r="F8" s="56" t="n">
        <f aca="false">E8/POWER(1+DiscRate,1+attendance!A8)</f>
        <v>30911670.1206835</v>
      </c>
      <c r="G8" s="56" t="n">
        <f aca="false">$E8/POWER(1+discrate2,1+attendance!$A8)</f>
        <v>31357482.6238628</v>
      </c>
      <c r="H8" s="56" t="n">
        <f aca="false">$E8/POWER(1+DiscRate3,1+attendance!$A8)</f>
        <v>31810814.3493322</v>
      </c>
      <c r="I8" s="56" t="n">
        <f aca="false">$E8/POWER(1+DiscRate4,1+attendance!$A8)</f>
        <v>30473234.6420123</v>
      </c>
      <c r="J8" s="56" t="n">
        <f aca="false">$E8/POWER(1+DiscRate5,1+attendance!$A8)</f>
        <v>30042037.0082035</v>
      </c>
      <c r="K8" s="56" t="n">
        <f aca="false">$E8/POWER(1+DiscRate6,1+attendance!$A8)</f>
        <v>29617940.9867374</v>
      </c>
    </row>
    <row r="9" customFormat="false" ht="12.75" hidden="false" customHeight="false" outlineLevel="0" collapsed="false">
      <c r="A9" s="32" t="n">
        <v>6</v>
      </c>
      <c r="B9" s="32" t="n">
        <v>2004</v>
      </c>
      <c r="C9" s="29" t="n">
        <v>2253086</v>
      </c>
      <c r="D9" s="0" t="n">
        <v>19.01</v>
      </c>
      <c r="E9" s="29" t="n">
        <f aca="false">C9*D9</f>
        <v>42831164.86</v>
      </c>
      <c r="F9" s="56" t="n">
        <f aca="false">E9/POWER(1+DiscRate,1+attendance!A9)</f>
        <v>30683940.7241089</v>
      </c>
      <c r="G9" s="56" t="n">
        <f aca="false">$E9/POWER(1+discrate2,1+attendance!$A9)</f>
        <v>31200841.5970171</v>
      </c>
      <c r="H9" s="56" t="n">
        <f aca="false">$E9/POWER(1+DiscRate3,1+attendance!$A9)</f>
        <v>31727718.1037273</v>
      </c>
      <c r="I9" s="56" t="n">
        <f aca="false">$E9/POWER(1+DiscRate4,1+attendance!$A9)</f>
        <v>30176803.5040461</v>
      </c>
      <c r="J9" s="56" t="n">
        <f aca="false">$E9/POWER(1+DiscRate5,1+attendance!$A9)</f>
        <v>29679222.9491448</v>
      </c>
      <c r="K9" s="56" t="n">
        <f aca="false">$E9/POWER(1+DiscRate6,1+attendance!$A9)</f>
        <v>29190996.9359184</v>
      </c>
    </row>
    <row r="10" customFormat="false" ht="12.75" hidden="false" customHeight="false" outlineLevel="0" collapsed="false">
      <c r="A10" s="32" t="n">
        <v>7</v>
      </c>
      <c r="B10" s="32" t="n">
        <v>2005</v>
      </c>
      <c r="C10" s="29" t="n">
        <v>2253086</v>
      </c>
      <c r="D10" s="0" t="n">
        <v>19.79</v>
      </c>
      <c r="E10" s="29" t="n">
        <f aca="false">C10*D10</f>
        <v>44588571.94</v>
      </c>
      <c r="F10" s="56" t="n">
        <f aca="false">E10/POWER(1+DiscRate,1+attendance!A10)</f>
        <v>30456650.0855121</v>
      </c>
      <c r="G10" s="56" t="n">
        <f aca="false">$E10/POWER(1+discrate2,1+attendance!$A10)</f>
        <v>31043720.2151118</v>
      </c>
      <c r="H10" s="56" t="n">
        <f aca="false">$E10/POWER(1+DiscRate3,1+attendance!$A10)</f>
        <v>31643551.6927116</v>
      </c>
      <c r="I10" s="56" t="n">
        <f aca="false">$E10/POWER(1+DiscRate4,1+attendance!$A10)</f>
        <v>29882040.3537892</v>
      </c>
      <c r="J10" s="56" t="n">
        <f aca="false">$E10/POWER(1+DiscRate5,1+attendance!$A10)</f>
        <v>29319597.8584443</v>
      </c>
      <c r="K10" s="56" t="n">
        <f aca="false">$E10/POWER(1+DiscRate6,1+attendance!$A10)</f>
        <v>28769037.0072257</v>
      </c>
    </row>
    <row r="11" customFormat="false" ht="12.75" hidden="false" customHeight="false" outlineLevel="0" collapsed="false">
      <c r="A11" s="32" t="n">
        <v>8</v>
      </c>
      <c r="B11" s="32" t="n">
        <v>2006</v>
      </c>
      <c r="C11" s="29" t="n">
        <v>2253086</v>
      </c>
      <c r="D11" s="16" t="n">
        <v>20.6</v>
      </c>
      <c r="E11" s="29" t="n">
        <f aca="false">C11*D11</f>
        <v>46413571.6</v>
      </c>
      <c r="F11" s="56" t="n">
        <f aca="false">E11/POWER(1+DiscRate,1+attendance!A11)</f>
        <v>30228102.1550821</v>
      </c>
      <c r="G11" s="56" t="n">
        <f aca="false">$E11/POWER(1+discrate2,1+attendance!$A11)</f>
        <v>30884385.2727027</v>
      </c>
      <c r="H11" s="56" t="n">
        <f aca="false">$E11/POWER(1+DiscRate3,1+attendance!$A11)</f>
        <v>31556538.3678393</v>
      </c>
      <c r="I11" s="56" t="n">
        <f aca="false">$E11/POWER(1+DiscRate4,1+attendance!$A11)</f>
        <v>29587277.8166783</v>
      </c>
      <c r="J11" s="56" t="n">
        <f aca="false">$E11/POWER(1+DiscRate5,1+attendance!$A11)</f>
        <v>28961512.6547458</v>
      </c>
      <c r="K11" s="56" t="n">
        <f aca="false">$E11/POWER(1+DiscRate6,1+attendance!$A11)</f>
        <v>28350418.3086878</v>
      </c>
    </row>
    <row r="12" customFormat="false" ht="12.75" hidden="false" customHeight="false" outlineLevel="0" collapsed="false">
      <c r="A12" s="32" t="n">
        <v>9</v>
      </c>
      <c r="B12" s="32" t="n">
        <v>2007</v>
      </c>
      <c r="C12" s="29" t="n">
        <v>2253086</v>
      </c>
      <c r="D12" s="0" t="n">
        <v>21.45</v>
      </c>
      <c r="E12" s="29" t="n">
        <f aca="false">C12*D12</f>
        <v>48328694.7</v>
      </c>
      <c r="F12" s="56" t="n">
        <f aca="false">E12/POWER(1+DiscRate,1+attendance!A12)</f>
        <v>30010848.7937445</v>
      </c>
      <c r="G12" s="56" t="n">
        <f aca="false">$E12/POWER(1+discrate2,1+attendance!$A12)</f>
        <v>30735679.0363209</v>
      </c>
      <c r="H12" s="56" t="n">
        <f aca="false">$E12/POWER(1+DiscRate3,1+attendance!$A12)</f>
        <v>31479812.7449811</v>
      </c>
      <c r="I12" s="56" t="n">
        <f aca="false">$E12/POWER(1+DiscRate4,1+attendance!$A12)</f>
        <v>29304777.0336934</v>
      </c>
      <c r="J12" s="56" t="n">
        <f aca="false">$E12/POWER(1+DiscRate5,1+attendance!$A12)</f>
        <v>28616935.4018051</v>
      </c>
      <c r="K12" s="56" t="n">
        <f aca="false">$E12/POWER(1+DiscRate6,1+attendance!$A12)</f>
        <v>27946811.6277533</v>
      </c>
    </row>
    <row r="13" customFormat="false" ht="12.75" hidden="false" customHeight="false" outlineLevel="0" collapsed="false">
      <c r="A13" s="32" t="n">
        <v>10</v>
      </c>
      <c r="B13" s="32" t="n">
        <v>2008</v>
      </c>
      <c r="C13" s="29" t="n">
        <v>2253086</v>
      </c>
      <c r="D13" s="0" t="n">
        <v>22.32</v>
      </c>
      <c r="E13" s="29" t="n">
        <f aca="false">C13*D13</f>
        <v>50288879.52</v>
      </c>
      <c r="F13" s="56" t="n">
        <f aca="false">E13/POWER(1+DiscRate,1+attendance!A13)</f>
        <v>29775049.6105384</v>
      </c>
      <c r="G13" s="56" t="n">
        <f aca="false">$E13/POWER(1+discrate2,1+attendance!$A13)</f>
        <v>30567046.7201076</v>
      </c>
      <c r="H13" s="56" t="n">
        <f aca="false">$E13/POWER(1+DiscRate3,1+attendance!$A13)</f>
        <v>31382081.1830173</v>
      </c>
      <c r="I13" s="56" t="n">
        <f aca="false">$E13/POWER(1+DiscRate4,1+attendance!$A13)</f>
        <v>29005386.0895074</v>
      </c>
      <c r="J13" s="56" t="n">
        <f aca="false">$E13/POWER(1+DiscRate5,1+attendance!$A13)</f>
        <v>28257375.4908217</v>
      </c>
      <c r="K13" s="56" t="n">
        <f aca="false">$E13/POWER(1+DiscRate6,1+attendance!$A13)</f>
        <v>27530359.436519</v>
      </c>
    </row>
    <row r="14" customFormat="false" ht="12.75" hidden="false" customHeight="false" outlineLevel="0" collapsed="false">
      <c r="A14" s="32" t="n">
        <v>11</v>
      </c>
      <c r="B14" s="32" t="n">
        <v>2009</v>
      </c>
      <c r="C14" s="29" t="n">
        <v>2253086</v>
      </c>
      <c r="D14" s="0" t="n">
        <v>23.24</v>
      </c>
      <c r="E14" s="29" t="n">
        <f aca="false">C14*D14</f>
        <v>52361718.64</v>
      </c>
      <c r="F14" s="56" t="n">
        <f aca="false">E14/POWER(1+DiscRate,1+attendance!A14)</f>
        <v>29559817.5072977</v>
      </c>
      <c r="G14" s="56" t="n">
        <f aca="false">$E14/POWER(1+discrate2,1+attendance!$A14)</f>
        <v>30418597.6807548</v>
      </c>
      <c r="H14" s="56" t="n">
        <f aca="false">$E14/POWER(1+DiscRate3,1+attendance!$A14)</f>
        <v>31304471.9551272</v>
      </c>
      <c r="I14" s="56" t="n">
        <f aca="false">$E14/POWER(1+DiscRate4,1+attendance!$A14)</f>
        <v>28727241.1286722</v>
      </c>
      <c r="J14" s="56" t="n">
        <f aca="false">$E14/POWER(1+DiscRate5,1+attendance!$A14)</f>
        <v>27920009.5101589</v>
      </c>
      <c r="K14" s="56" t="n">
        <f aca="false">$E14/POWER(1+DiscRate6,1+attendance!$A14)</f>
        <v>27137293.7195355</v>
      </c>
    </row>
    <row r="15" customFormat="false" ht="12.75" hidden="false" customHeight="false" outlineLevel="0" collapsed="false">
      <c r="A15" s="32" t="n">
        <v>12</v>
      </c>
      <c r="B15" s="32" t="n">
        <v>2010</v>
      </c>
      <c r="C15" s="29" t="n">
        <v>2253086</v>
      </c>
      <c r="D15" s="0" t="n">
        <v>24.19</v>
      </c>
      <c r="E15" s="29" t="n">
        <f aca="false">C15*D15</f>
        <v>54502150.34</v>
      </c>
      <c r="F15" s="56" t="n">
        <f aca="false">E15/POWER(1+DiscRate,1+attendance!A15)</f>
        <v>29336534.8243879</v>
      </c>
      <c r="G15" s="56" t="n">
        <f aca="false">$E15/POWER(1+discrate2,1+attendance!$A15)</f>
        <v>30260960.4690711</v>
      </c>
      <c r="H15" s="56" t="n">
        <f aca="false">$E15/POWER(1+DiscRate3,1+attendance!$A15)</f>
        <v>31216832.5367215</v>
      </c>
      <c r="I15" s="56" t="n">
        <f aca="false">$E15/POWER(1+DiscRate4,1+attendance!$A15)</f>
        <v>28442449.7832035</v>
      </c>
      <c r="J15" s="56" t="n">
        <f aca="false">$E15/POWER(1+DiscRate5,1+attendance!$A15)</f>
        <v>27577640.907586</v>
      </c>
      <c r="K15" s="56" t="n">
        <f aca="false">$E15/POWER(1+DiscRate6,1+attendance!$A15)</f>
        <v>26741083.49964</v>
      </c>
    </row>
    <row r="16" customFormat="false" ht="12.75" hidden="false" customHeight="false" outlineLevel="0" collapsed="false">
      <c r="A16" s="32" t="n">
        <v>13</v>
      </c>
      <c r="B16" s="32" t="n">
        <v>2011</v>
      </c>
      <c r="C16" s="29" t="n">
        <v>2253086</v>
      </c>
      <c r="D16" s="0" t="n">
        <v>25.18</v>
      </c>
      <c r="E16" s="29" t="n">
        <f aca="false">C16*D16</f>
        <v>56732705.48</v>
      </c>
      <c r="F16" s="56" t="n">
        <f aca="false">E16/POWER(1+DiscRate,1+attendance!A16)</f>
        <v>29116287.1103891</v>
      </c>
      <c r="G16" s="56" t="n">
        <f aca="false">$E16/POWER(1+discrate2,1+attendance!$A16)</f>
        <v>30105534.3709132</v>
      </c>
      <c r="H16" s="56" t="n">
        <f aca="false">$E16/POWER(1+DiscRate3,1+attendance!$A16)</f>
        <v>31130880.1518955</v>
      </c>
      <c r="I16" s="56" t="n">
        <f aca="false">$E16/POWER(1+DiscRate4,1+attendance!$A16)</f>
        <v>28161785.9351075</v>
      </c>
      <c r="J16" s="56" t="n">
        <f aca="false">$E16/POWER(1+DiscRate5,1+attendance!$A16)</f>
        <v>27240732.1197309</v>
      </c>
      <c r="K16" s="56" t="n">
        <f aca="false">$E16/POWER(1+DiscRate6,1+attendance!$A16)</f>
        <v>26351878.3956015</v>
      </c>
    </row>
    <row r="17" customFormat="false" ht="12.75" hidden="false" customHeight="false" outlineLevel="0" collapsed="false">
      <c r="A17" s="32" t="n">
        <v>14</v>
      </c>
      <c r="B17" s="32" t="n">
        <v>2012</v>
      </c>
      <c r="C17" s="29" t="n">
        <v>2253086</v>
      </c>
      <c r="D17" s="0" t="n">
        <v>26.22</v>
      </c>
      <c r="E17" s="29" t="n">
        <f aca="false">C17*D17</f>
        <v>59075914.92</v>
      </c>
      <c r="F17" s="56" t="n">
        <f aca="false">E17/POWER(1+DiscRate,1+attendance!A17)</f>
        <v>28908148.4416095</v>
      </c>
      <c r="G17" s="56" t="n">
        <f aca="false">$E17/POWER(1+discrate2,1+attendance!$A17)</f>
        <v>29961743.1433502</v>
      </c>
      <c r="H17" s="56" t="n">
        <f aca="false">$E17/POWER(1+DiscRate3,1+attendance!$A17)</f>
        <v>31056396.9152966</v>
      </c>
      <c r="I17" s="56" t="n">
        <f aca="false">$E17/POWER(1+DiscRate4,1+attendance!$A17)</f>
        <v>27893980.3194803</v>
      </c>
      <c r="J17" s="56" t="n">
        <f aca="false">$E17/POWER(1+DiscRate5,1+attendance!$A17)</f>
        <v>26917674.8507479</v>
      </c>
      <c r="K17" s="56" t="n">
        <f aca="false">$E17/POWER(1+DiscRate6,1+attendance!$A17)</f>
        <v>25977733.640995</v>
      </c>
    </row>
    <row r="18" customFormat="false" ht="12.75" hidden="false" customHeight="false" outlineLevel="0" collapsed="false">
      <c r="A18" s="32" t="n">
        <v>15</v>
      </c>
      <c r="B18" s="32" t="n">
        <v>2013</v>
      </c>
      <c r="C18" s="29" t="n">
        <v>2253086</v>
      </c>
      <c r="D18" s="0" t="n">
        <v>27.29</v>
      </c>
      <c r="E18" s="29" t="n">
        <f aca="false">C18*D18</f>
        <v>61486716.94</v>
      </c>
      <c r="F18" s="56" t="n">
        <f aca="false">E18/POWER(1+DiscRate,1+attendance!A18)</f>
        <v>28687879.3508197</v>
      </c>
      <c r="G18" s="56" t="n">
        <f aca="false">$E18/POWER(1+discrate2,1+attendance!$A18)</f>
        <v>29804490.3275094</v>
      </c>
      <c r="H18" s="56" t="n">
        <f aca="false">$E18/POWER(1+DiscRate3,1+attendance!$A18)</f>
        <v>30967391.4804063</v>
      </c>
      <c r="I18" s="56" t="n">
        <f aca="false">$E18/POWER(1+DiscRate4,1+attendance!$A18)</f>
        <v>27615612.1159433</v>
      </c>
      <c r="J18" s="56" t="n">
        <f aca="false">$E18/POWER(1+DiscRate5,1+attendance!$A18)</f>
        <v>26585828.3782143</v>
      </c>
      <c r="K18" s="56" t="n">
        <f aca="false">$E18/POWER(1+DiscRate6,1+attendance!$A18)</f>
        <v>25596750.0746404</v>
      </c>
    </row>
    <row r="19" customFormat="false" ht="12.75" hidden="false" customHeight="false" outlineLevel="0" collapsed="false">
      <c r="A19" s="32" t="n">
        <v>16</v>
      </c>
      <c r="B19" s="32" t="n">
        <v>2014</v>
      </c>
      <c r="C19" s="29" t="n">
        <v>2253086</v>
      </c>
      <c r="D19" s="0" t="n">
        <v>28.42</v>
      </c>
      <c r="E19" s="29" t="n">
        <f aca="false">C19*D19</f>
        <v>64032704.12</v>
      </c>
      <c r="F19" s="56" t="n">
        <f aca="false">E19/POWER(1+DiscRate,1+attendance!A19)</f>
        <v>28485661.2254308</v>
      </c>
      <c r="G19" s="56" t="n">
        <f aca="false">$E19/POWER(1+discrate2,1+attendance!$A19)</f>
        <v>29665113.353871</v>
      </c>
      <c r="H19" s="56" t="n">
        <f aca="false">$E19/POWER(1+DiscRate3,1+attendance!$A19)</f>
        <v>30896399.3386184</v>
      </c>
      <c r="I19" s="56" t="n">
        <f aca="false">$E19/POWER(1+DiscRate4,1+attendance!$A19)</f>
        <v>27355745.0511413</v>
      </c>
      <c r="J19" s="56" t="n">
        <f aca="false">$E19/POWER(1+DiscRate5,1+attendance!$A19)</f>
        <v>26273173.9108325</v>
      </c>
      <c r="K19" s="56" t="n">
        <f aca="false">$E19/POWER(1+DiscRate6,1+attendance!$A19)</f>
        <v>25235858.6487767</v>
      </c>
    </row>
    <row r="20" customFormat="false" ht="12.75" hidden="false" customHeight="false" outlineLevel="0" collapsed="false">
      <c r="A20" s="32" t="n">
        <v>17</v>
      </c>
      <c r="B20" s="32" t="n">
        <v>2015</v>
      </c>
      <c r="C20" s="29" t="n">
        <v>2253086</v>
      </c>
      <c r="D20" s="0" t="n">
        <v>29.58</v>
      </c>
      <c r="E20" s="29" t="n">
        <f aca="false">C20*D20</f>
        <v>66646283.88</v>
      </c>
      <c r="F20" s="56" t="n">
        <f aca="false">E20/POWER(1+DiscRate,1+attendance!A20)</f>
        <v>28268822.7264001</v>
      </c>
      <c r="G20" s="56" t="n">
        <f aca="false">$E20/POWER(1+discrate2,1+attendance!$A20)</f>
        <v>29509638.0646949</v>
      </c>
      <c r="H20" s="56" t="n">
        <f aca="false">$E20/POWER(1+DiscRate3,1+attendance!$A20)</f>
        <v>30808082.8344929</v>
      </c>
      <c r="I20" s="56" t="n">
        <f aca="false">$E20/POWER(1+DiscRate4,1+attendance!$A20)</f>
        <v>27082950.7025938</v>
      </c>
      <c r="J20" s="56" t="n">
        <f aca="false">$E20/POWER(1+DiscRate5,1+attendance!$A20)</f>
        <v>25949467.0299607</v>
      </c>
      <c r="K20" s="56" t="n">
        <f aca="false">$E20/POWER(1+DiscRate6,1+attendance!$A20)</f>
        <v>24865941.2057801</v>
      </c>
    </row>
    <row r="21" customFormat="false" ht="12.75" hidden="false" customHeight="false" outlineLevel="0" collapsed="false">
      <c r="A21" s="32" t="n">
        <v>18</v>
      </c>
      <c r="B21" s="32" t="n">
        <v>2016</v>
      </c>
      <c r="C21" s="29" t="n">
        <v>2253086</v>
      </c>
      <c r="D21" s="0" t="n">
        <v>29.58</v>
      </c>
      <c r="E21" s="29" t="n">
        <f aca="false">C21*D21</f>
        <v>66646283.88</v>
      </c>
      <c r="F21" s="56" t="n">
        <f aca="false">E21/POWER(1+DiscRate,1+attendance!A21)</f>
        <v>26953492.3020596</v>
      </c>
      <c r="G21" s="56" t="n">
        <f aca="false">$E21/POWER(1+discrate2,1+attendance!$A21)</f>
        <v>28203802.0306746</v>
      </c>
      <c r="H21" s="56" t="n">
        <f aca="false">$E21/POWER(1+DiscRate3,1+attendance!$A21)</f>
        <v>29515312.1618058</v>
      </c>
      <c r="I21" s="56" t="n">
        <f aca="false">$E21/POWER(1+DiscRate4,1+attendance!$A21)</f>
        <v>25761391.3274934</v>
      </c>
      <c r="J21" s="56" t="n">
        <f aca="false">$E21/POWER(1+DiscRate5,1+attendance!$A21)</f>
        <v>24624660.3055236</v>
      </c>
      <c r="K21" s="56" t="n">
        <f aca="false">$E21/POWER(1+DiscRate6,1+attendance!$A21)</f>
        <v>23540605.1365901</v>
      </c>
    </row>
    <row r="22" customFormat="false" ht="12.75" hidden="false" customHeight="false" outlineLevel="0" collapsed="false">
      <c r="A22" s="32" t="n">
        <v>19</v>
      </c>
      <c r="B22" s="32" t="n">
        <v>2017</v>
      </c>
      <c r="C22" s="29" t="n">
        <v>2253086</v>
      </c>
      <c r="D22" s="0" t="n">
        <v>29.58</v>
      </c>
      <c r="E22" s="29" t="n">
        <f aca="false">C22*D22</f>
        <v>66646283.88</v>
      </c>
      <c r="F22" s="56" t="n">
        <f aca="false">E22/POWER(1+DiscRate,1+attendance!A22)</f>
        <v>25699363.369622</v>
      </c>
      <c r="G22" s="56" t="n">
        <f aca="false">$E22/POWER(1+discrate2,1+attendance!$A22)</f>
        <v>26955750.7700226</v>
      </c>
      <c r="H22" s="56" t="n">
        <f aca="false">$E22/POWER(1+DiscRate3,1+attendance!$A22)</f>
        <v>28276788.8118469</v>
      </c>
      <c r="I22" s="56" t="n">
        <f aca="false">$E22/POWER(1+DiscRate4,1+attendance!$A22)</f>
        <v>24504319.7255716</v>
      </c>
      <c r="J22" s="56" t="n">
        <f aca="false">$E22/POWER(1+DiscRate5,1+attendance!$A22)</f>
        <v>23367489.3770389</v>
      </c>
      <c r="K22" s="56" t="n">
        <f aca="false">$E22/POWER(1+DiscRate6,1+attendance!$A22)</f>
        <v>22285908.4886775</v>
      </c>
    </row>
    <row r="23" customFormat="false" ht="12.75" hidden="false" customHeight="false" outlineLevel="0" collapsed="false">
      <c r="A23" s="32" t="n">
        <v>20</v>
      </c>
      <c r="B23" s="32" t="n">
        <v>2018</v>
      </c>
      <c r="C23" s="29" t="n">
        <v>2253086</v>
      </c>
      <c r="D23" s="0" t="n">
        <v>29.58</v>
      </c>
      <c r="E23" s="40" t="n">
        <f aca="false">C23*D23</f>
        <v>66646283.88</v>
      </c>
      <c r="F23" s="57" t="n">
        <f aca="false">E23/POWER(1+DiscRate,1+attendance!A23)</f>
        <v>24503588.2624161</v>
      </c>
      <c r="G23" s="57" t="n">
        <f aca="false">$E23/POWER(1+discrate2,1+attendance!$A23)</f>
        <v>25762927.2388632</v>
      </c>
      <c r="H23" s="57" t="n">
        <f aca="false">$E23/POWER(1+DiscRate3,1+attendance!$A23)</f>
        <v>27090236.455113</v>
      </c>
      <c r="I23" s="57" t="n">
        <f aca="false">$E23/POWER(1+DiscRate4,1+attendance!$A23)</f>
        <v>23308589.1045102</v>
      </c>
      <c r="J23" s="57" t="n">
        <f aca="false">$E23/POWER(1+DiscRate5,1+attendance!$A23)</f>
        <v>22174501.2118418</v>
      </c>
      <c r="K23" s="57" t="n">
        <f aca="false">$E23/POWER(1+DiscRate6,1+attendance!$A23)</f>
        <v>21098086.2337191</v>
      </c>
    </row>
    <row r="24" customFormat="false" ht="12.75" hidden="false" customHeight="false" outlineLevel="0" collapsed="false">
      <c r="E24" s="56" t="n">
        <f aca="false">SUM(E4:E23)</f>
        <v>1048408249.61</v>
      </c>
      <c r="F24" s="58" t="n">
        <f aca="false">SUM(F4:F23)</f>
        <v>597450711.80101</v>
      </c>
      <c r="G24" s="56" t="n">
        <f aca="false">SUM(G4:G23)</f>
        <v>613412165.373305</v>
      </c>
      <c r="H24" s="58" t="n">
        <f aca="false">SUM(H4:H23)</f>
        <v>629960107.141599</v>
      </c>
      <c r="I24" s="56" t="n">
        <f aca="false">SUM(I4:I23)</f>
        <v>582051408.867264</v>
      </c>
      <c r="J24" s="58" t="n">
        <f aca="false">SUM(J4:J23)</f>
        <v>567191039.625139</v>
      </c>
      <c r="K24" s="56" t="n">
        <f aca="false">SUM(K4:K23)</f>
        <v>552847451.925058</v>
      </c>
    </row>
    <row r="26" customFormat="false" ht="12.75" hidden="false" customHeight="false" outlineLevel="0" collapsed="false">
      <c r="A26" s="36" t="s">
        <v>57</v>
      </c>
      <c r="I26" s="59"/>
    </row>
    <row r="27" customFormat="false" ht="12.75" hidden="false" customHeight="false" outlineLevel="0" collapsed="false">
      <c r="A27" s="36"/>
      <c r="F27" s="44" t="n">
        <f aca="false">DiscRate</f>
        <v>0.0488</v>
      </c>
      <c r="G27" s="60"/>
      <c r="H27" s="60"/>
      <c r="I27" s="60"/>
      <c r="J27" s="44" t="n">
        <f aca="false">DiscRate3</f>
        <v>0.0438</v>
      </c>
      <c r="K27" s="60"/>
      <c r="L27" s="60"/>
      <c r="M27" s="31"/>
      <c r="N27" s="44" t="n">
        <f aca="false">DiscRate5</f>
        <v>0.0538</v>
      </c>
    </row>
    <row r="28" customFormat="false" ht="12.75" hidden="false" customHeight="false" outlineLevel="0" collapsed="false">
      <c r="A28" s="37"/>
      <c r="B28" s="37" t="s">
        <v>52</v>
      </c>
      <c r="C28" s="37" t="s">
        <v>53</v>
      </c>
      <c r="D28" s="37" t="s">
        <v>54</v>
      </c>
      <c r="E28" s="37" t="s">
        <v>55</v>
      </c>
      <c r="F28" s="37" t="s">
        <v>56</v>
      </c>
      <c r="G28" s="37" t="s">
        <v>53</v>
      </c>
      <c r="H28" s="37" t="s">
        <v>54</v>
      </c>
      <c r="I28" s="37" t="s">
        <v>55</v>
      </c>
      <c r="J28" s="37" t="s">
        <v>56</v>
      </c>
      <c r="K28" s="37" t="s">
        <v>53</v>
      </c>
      <c r="L28" s="37" t="s">
        <v>54</v>
      </c>
      <c r="M28" s="37" t="s">
        <v>55</v>
      </c>
      <c r="N28" s="37" t="s">
        <v>56</v>
      </c>
    </row>
    <row r="29" customFormat="false" ht="12.75" hidden="false" customHeight="false" outlineLevel="0" collapsed="false">
      <c r="A29" s="32" t="n">
        <v>1</v>
      </c>
      <c r="B29" s="32" t="n">
        <v>1999</v>
      </c>
      <c r="C29" s="29" t="n">
        <f aca="false">elasticity!E19</f>
        <v>1651157.72032934</v>
      </c>
      <c r="D29" s="16" t="n">
        <f aca="false">elasticity!D19</f>
        <v>23.7581587994589</v>
      </c>
      <c r="E29" s="29" t="n">
        <f aca="false">C29*D29</f>
        <v>39228467.322537</v>
      </c>
      <c r="F29" s="56" t="n">
        <f aca="false">$E29/POWER(1+DiscRate,1+attendance!$A29)</f>
        <v>35662844.7499414</v>
      </c>
      <c r="G29" s="29" t="n">
        <f aca="false">elasticity!E26</f>
        <v>1700428.37356042</v>
      </c>
      <c r="H29" s="16" t="n">
        <f aca="false">elasticity!D26</f>
        <v>23.3781403671975</v>
      </c>
      <c r="I29" s="29" t="n">
        <f aca="false">G29*H29</f>
        <v>39752853.2014608</v>
      </c>
      <c r="J29" s="56" t="n">
        <f aca="false">$I29/POWER(1+DiscRate3,1+attendance!$A29)</f>
        <v>36486627.2492468</v>
      </c>
      <c r="K29" s="29" t="n">
        <f aca="false">elasticity!E33</f>
        <v>1600655.26634231</v>
      </c>
      <c r="L29" s="16" t="n">
        <f aca="false">elasticity!D33</f>
        <v>24.1476779580439</v>
      </c>
      <c r="M29" s="29" t="n">
        <f aca="false">K29*L29</f>
        <v>38652107.893481</v>
      </c>
      <c r="N29" s="56" t="n">
        <f aca="false">$M29/POWER(1+DiscRate5,1+attendance!$A29)</f>
        <v>34806214.6925121</v>
      </c>
    </row>
    <row r="30" customFormat="false" ht="12.75" hidden="false" customHeight="false" outlineLevel="0" collapsed="false">
      <c r="A30" s="32" t="n">
        <v>2</v>
      </c>
      <c r="B30" s="32" t="n">
        <v>2000</v>
      </c>
      <c r="C30" s="29" t="n">
        <f aca="false">elasticity!E20</f>
        <v>1513561.04006786</v>
      </c>
      <c r="D30" s="16" t="n">
        <f aca="false">elasticity!D20</f>
        <v>24.6544064779551</v>
      </c>
      <c r="E30" s="29" t="n">
        <f aca="false">C30*D30</f>
        <v>37315949.1110295</v>
      </c>
      <c r="F30" s="56" t="n">
        <f aca="false">$E30/POWER(1+DiscRate,1+attendance!$A30)</f>
        <v>32345692.6907682</v>
      </c>
      <c r="G30" s="29" t="n">
        <f aca="false">elasticity!E27</f>
        <v>1558725.79945522</v>
      </c>
      <c r="H30" s="16" t="n">
        <f aca="false">elasticity!D27</f>
        <v>24.2600523119959</v>
      </c>
      <c r="I30" s="29" t="n">
        <f aca="false">G30*H30</f>
        <v>37814769.4348412</v>
      </c>
      <c r="J30" s="56" t="n">
        <f aca="false">$I30/POWER(1+DiscRate3,1+attendance!$A30)</f>
        <v>33251372.7319147</v>
      </c>
      <c r="K30" s="29" t="n">
        <f aca="false">elasticity!E34</f>
        <v>1467267.13013941</v>
      </c>
      <c r="L30" s="16" t="n">
        <f aca="false">elasticity!D34</f>
        <v>25.0586197735967</v>
      </c>
      <c r="M30" s="29" t="n">
        <f aca="false">K30*L30</f>
        <v>36767689.1204599</v>
      </c>
      <c r="N30" s="56" t="n">
        <f aca="false">$M30/POWER(1+DiscRate5,1+attendance!$A30)</f>
        <v>31418956.1587883</v>
      </c>
    </row>
    <row r="31" customFormat="false" ht="12.75" hidden="false" customHeight="false" outlineLevel="0" collapsed="false">
      <c r="A31" s="32" t="n">
        <v>3</v>
      </c>
      <c r="B31" s="32" t="n">
        <v>2001</v>
      </c>
      <c r="C31" s="29" t="n">
        <f aca="false">elasticity!$E$21</f>
        <v>1375964.35980638</v>
      </c>
      <c r="D31" s="16" t="n">
        <f aca="false">D6*(1+elasticity!$D$18)</f>
        <v>25.6266073495442</v>
      </c>
      <c r="E31" s="29" t="n">
        <f aca="false">C31*D31</f>
        <v>35261298.3757251</v>
      </c>
      <c r="F31" s="56" t="n">
        <f aca="false">$E31/POWER(1+DiscRate,1+attendance!$A31)</f>
        <v>29142552.3259362</v>
      </c>
      <c r="G31" s="29" t="n">
        <f aca="false">elasticity!$E$28</f>
        <v>1417023.22535002</v>
      </c>
      <c r="H31" s="16" t="n">
        <f aca="false">D6*(1+elasticity!$D$25)</f>
        <v>25.2167025572009</v>
      </c>
      <c r="I31" s="29" t="n">
        <f aca="false">G31*H31</f>
        <v>35732653.1902969</v>
      </c>
      <c r="J31" s="56" t="n">
        <f aca="false">$I31/POWER(1+DiscRate3,1+attendance!$A31)</f>
        <v>30102051.4833423</v>
      </c>
      <c r="K31" s="29" t="n">
        <f aca="false">elasticity!$E$35</f>
        <v>1333878.99393651</v>
      </c>
      <c r="L31" s="16" t="n">
        <f aca="false">D6*(1+elasticity!$D$32)</f>
        <v>26.0467600480946</v>
      </c>
      <c r="M31" s="29" t="n">
        <f aca="false">K31*L31</f>
        <v>34743226.0882582</v>
      </c>
      <c r="N31" s="56" t="n">
        <f aca="false">$M31/POWER(1+DiscRate5,1+attendance!$A31)</f>
        <v>28173277.0161646</v>
      </c>
    </row>
    <row r="32" customFormat="false" ht="12.75" hidden="false" customHeight="false" outlineLevel="0" collapsed="false">
      <c r="A32" s="32" t="n">
        <v>4</v>
      </c>
      <c r="B32" s="32" t="n">
        <v>2002</v>
      </c>
      <c r="C32" s="29" t="n">
        <f aca="false">elasticity!$E$21</f>
        <v>1375964.35980638</v>
      </c>
      <c r="D32" s="16" t="n">
        <f aca="false">D7*(1+elasticity!$D$18)</f>
        <v>26.644380136989</v>
      </c>
      <c r="E32" s="29" t="n">
        <f aca="false">C32*D32</f>
        <v>36661717.45763</v>
      </c>
      <c r="F32" s="56" t="n">
        <f aca="false">$E32/POWER(1+DiscRate,1+attendance!$A32)</f>
        <v>28890124.4517641</v>
      </c>
      <c r="G32" s="29" t="n">
        <f aca="false">elasticity!$E$28</f>
        <v>1417023.22535002</v>
      </c>
      <c r="H32" s="16" t="n">
        <f aca="false">D7*(1+elasticity!$D$25)</f>
        <v>26.2181957826499</v>
      </c>
      <c r="I32" s="29" t="n">
        <f aca="false">G32*H32</f>
        <v>37151792.3507888</v>
      </c>
      <c r="J32" s="56" t="n">
        <f aca="false">$I32/POWER(1+DiscRate3,1+attendance!$A32)</f>
        <v>29984258.1372076</v>
      </c>
      <c r="K32" s="29" t="n">
        <f aca="false">elasticity!$E$35</f>
        <v>1333878.99393651</v>
      </c>
      <c r="L32" s="16" t="n">
        <f aca="false">D7*(1+elasticity!$D$32)</f>
        <v>27.0812193979597</v>
      </c>
      <c r="M32" s="29" t="n">
        <f aca="false">K32*L32</f>
        <v>36123069.6851244</v>
      </c>
      <c r="N32" s="56" t="n">
        <f aca="false">$M32/POWER(1+DiscRate5,1+attendance!$A32)</f>
        <v>27796728.0219579</v>
      </c>
    </row>
    <row r="33" customFormat="false" ht="12.75" hidden="false" customHeight="false" outlineLevel="0" collapsed="false">
      <c r="A33" s="32" t="n">
        <v>5</v>
      </c>
      <c r="B33" s="32" t="n">
        <v>2003</v>
      </c>
      <c r="C33" s="29" t="n">
        <f aca="false">elasticity!$E$21</f>
        <v>1375964.35980638</v>
      </c>
      <c r="D33" s="16" t="n">
        <f aca="false">D8*(1+elasticity!$D$18)</f>
        <v>27.7381061175268</v>
      </c>
      <c r="E33" s="29" t="n">
        <f aca="false">C33*D33</f>
        <v>38166645.4262442</v>
      </c>
      <c r="F33" s="56" t="n">
        <f aca="false">$E33/POWER(1+DiscRate,1+attendance!$A33)</f>
        <v>28676617.1432287</v>
      </c>
      <c r="G33" s="29" t="n">
        <f aca="false">elasticity!$E$28</f>
        <v>1417023.22535002</v>
      </c>
      <c r="H33" s="16" t="n">
        <f aca="false">D8*(1+elasticity!$D$25)</f>
        <v>27.2944273085056</v>
      </c>
      <c r="I33" s="29" t="n">
        <f aca="false">G33*H33</f>
        <v>38676837.4187802</v>
      </c>
      <c r="J33" s="56" t="n">
        <f aca="false">$I33/POWER(1+DiscRate3,1+attendance!$A33)</f>
        <v>29905233.6392033</v>
      </c>
      <c r="K33" s="29" t="n">
        <f aca="false">elasticity!$E$35</f>
        <v>1333878.99393651</v>
      </c>
      <c r="L33" s="16" t="n">
        <f aca="false">D8*(1+elasticity!$D$32)</f>
        <v>28.1928772067699</v>
      </c>
      <c r="M33" s="29" t="n">
        <f aca="false">K33*L33</f>
        <v>37605886.6847419</v>
      </c>
      <c r="N33" s="56" t="n">
        <f aca="false">$M33/POWER(1+DiscRate5,1+attendance!$A33)</f>
        <v>27460387.8974215</v>
      </c>
    </row>
    <row r="34" customFormat="false" ht="12.75" hidden="false" customHeight="false" outlineLevel="0" collapsed="false">
      <c r="A34" s="32" t="n">
        <v>6</v>
      </c>
      <c r="B34" s="32" t="n">
        <v>2004</v>
      </c>
      <c r="C34" s="29" t="n">
        <f aca="false">elasticity!$E$21</f>
        <v>1375964.35980638</v>
      </c>
      <c r="D34" s="16" t="n">
        <f aca="false">D9*(1+elasticity!$D$18)</f>
        <v>28.8774040139203</v>
      </c>
      <c r="E34" s="29" t="n">
        <f aca="false">C34*D34</f>
        <v>39734278.7268841</v>
      </c>
      <c r="F34" s="56" t="n">
        <f aca="false">$E34/POWER(1+DiscRate,1+attendance!$A34)</f>
        <v>28465353.6077312</v>
      </c>
      <c r="G34" s="29" t="n">
        <f aca="false">elasticity!$E$28</f>
        <v>1417023.22535002</v>
      </c>
      <c r="H34" s="16" t="n">
        <f aca="false">D9*(1+elasticity!$D$25)</f>
        <v>28.4155018146052</v>
      </c>
      <c r="I34" s="29" t="n">
        <f aca="false">G34*H34</f>
        <v>40265426.0312711</v>
      </c>
      <c r="J34" s="56" t="n">
        <f aca="false">$I34/POWER(1+DiscRate3,1+attendance!$A34)</f>
        <v>29827115.1537076</v>
      </c>
      <c r="K34" s="29" t="n">
        <f aca="false">elasticity!$E$35</f>
        <v>1333878.99393651</v>
      </c>
      <c r="L34" s="16" t="n">
        <f aca="false">D9*(1+elasticity!$D$32)</f>
        <v>29.3508540909472</v>
      </c>
      <c r="M34" s="29" t="n">
        <f aca="false">K34*L34</f>
        <v>39150487.72601</v>
      </c>
      <c r="N34" s="56" t="n">
        <f aca="false">$M34/POWER(1+DiscRate5,1+attendance!$A34)</f>
        <v>27128752.1034283</v>
      </c>
    </row>
    <row r="35" customFormat="false" ht="12.75" hidden="false" customHeight="false" outlineLevel="0" collapsed="false">
      <c r="A35" s="32" t="n">
        <v>7</v>
      </c>
      <c r="B35" s="32" t="n">
        <v>2005</v>
      </c>
      <c r="C35" s="29" t="n">
        <f aca="false">elasticity!$E$21</f>
        <v>1375964.35980638</v>
      </c>
      <c r="D35" s="16" t="n">
        <f aca="false">D10*(1+elasticity!$D$18)</f>
        <v>30.0622738261695</v>
      </c>
      <c r="E35" s="29" t="n">
        <f aca="false">C35*D35</f>
        <v>41364617.3595495</v>
      </c>
      <c r="F35" s="56" t="n">
        <f aca="false">$E35/POWER(1+DiscRate,1+attendance!$A35)</f>
        <v>28254497.1060336</v>
      </c>
      <c r="G35" s="29" t="n">
        <f aca="false">elasticity!$E$28</f>
        <v>1417023.22535002</v>
      </c>
      <c r="H35" s="16" t="n">
        <f aca="false">D10*(1+elasticity!$D$25)</f>
        <v>29.5814193009488</v>
      </c>
      <c r="I35" s="29" t="n">
        <f aca="false">G35*H35</f>
        <v>41917558.1882618</v>
      </c>
      <c r="J35" s="56" t="n">
        <f aca="false">$I35/POWER(1+DiscRate3,1+attendance!$A35)</f>
        <v>29747990.6095084</v>
      </c>
      <c r="K35" s="29" t="n">
        <f aca="false">elasticity!$E$35</f>
        <v>1333878.99393651</v>
      </c>
      <c r="L35" s="16" t="n">
        <f aca="false">D10*(1+elasticity!$D$32)</f>
        <v>30.5551500504916</v>
      </c>
      <c r="M35" s="29" t="n">
        <f aca="false">K35*L35</f>
        <v>40756872.8089289</v>
      </c>
      <c r="N35" s="56" t="n">
        <f aca="false">$M35/POWER(1+DiscRate5,1+attendance!$A35)</f>
        <v>26800031.2352134</v>
      </c>
    </row>
    <row r="36" customFormat="false" ht="12.75" hidden="false" customHeight="false" outlineLevel="0" collapsed="false">
      <c r="A36" s="32" t="n">
        <v>8</v>
      </c>
      <c r="B36" s="32" t="n">
        <v>2006</v>
      </c>
      <c r="C36" s="29" t="n">
        <f aca="false">elasticity!$E$21</f>
        <v>1375964.35980638</v>
      </c>
      <c r="D36" s="16" t="n">
        <f aca="false">D11*(1+elasticity!$D$18)</f>
        <v>31.2927155542745</v>
      </c>
      <c r="E36" s="29" t="n">
        <f aca="false">C36*D36</f>
        <v>43057661.3242405</v>
      </c>
      <c r="F36" s="56" t="n">
        <f aca="false">$E36/POWER(1+DiscRate,1+attendance!$A36)</f>
        <v>28042474.2203651</v>
      </c>
      <c r="G36" s="29" t="n">
        <f aca="false">elasticity!$E$28</f>
        <v>1417023.22535002</v>
      </c>
      <c r="H36" s="16" t="n">
        <f aca="false">D11*(1+elasticity!$D$25)</f>
        <v>30.7921797675364</v>
      </c>
      <c r="I36" s="29" t="n">
        <f aca="false">G36*H36</f>
        <v>43633233.889752</v>
      </c>
      <c r="J36" s="56" t="n">
        <f aca="false">$I36/POWER(1+DiscRate3,1+attendance!$A36)</f>
        <v>29666189.6916992</v>
      </c>
      <c r="K36" s="29" t="n">
        <f aca="false">elasticity!$E$35</f>
        <v>1333878.99393651</v>
      </c>
      <c r="L36" s="16" t="n">
        <f aca="false">D11*(1+elasticity!$D$32)</f>
        <v>31.8057650854031</v>
      </c>
      <c r="M36" s="29" t="n">
        <f aca="false">K36*L36</f>
        <v>42425041.9334985</v>
      </c>
      <c r="N36" s="56" t="n">
        <f aca="false">$M36/POWER(1+DiscRate5,1+attendance!$A36)</f>
        <v>26472717.9244947</v>
      </c>
    </row>
    <row r="37" customFormat="false" ht="12.75" hidden="false" customHeight="false" outlineLevel="0" collapsed="false">
      <c r="A37" s="32" t="n">
        <v>9</v>
      </c>
      <c r="B37" s="32" t="n">
        <v>2007</v>
      </c>
      <c r="C37" s="29" t="n">
        <f aca="false">elasticity!$E$21</f>
        <v>1375964.35980638</v>
      </c>
      <c r="D37" s="16" t="n">
        <f aca="false">D12*(1+elasticity!$D$18)</f>
        <v>32.5839198368537</v>
      </c>
      <c r="E37" s="29" t="n">
        <f aca="false">C37*D37</f>
        <v>44834312.398299</v>
      </c>
      <c r="F37" s="56" t="n">
        <f aca="false">$E37/POWER(1+DiscRate,1+attendance!$A37)</f>
        <v>27840929.2555723</v>
      </c>
      <c r="G37" s="29" t="n">
        <f aca="false">elasticity!$E$28</f>
        <v>1417023.22535002</v>
      </c>
      <c r="H37" s="16" t="n">
        <f aca="false">D12*(1+elasticity!$D$25)</f>
        <v>32.0627308744493</v>
      </c>
      <c r="I37" s="29" t="n">
        <f aca="false">G37*H37</f>
        <v>45433634.3172418</v>
      </c>
      <c r="J37" s="56" t="n">
        <f aca="false">$I37/POWER(1+DiscRate3,1+attendance!$A37)</f>
        <v>29594060.2060316</v>
      </c>
      <c r="K37" s="29" t="n">
        <f aca="false">elasticity!$E$35</f>
        <v>1333878.99393651</v>
      </c>
      <c r="L37" s="16" t="n">
        <f aca="false">D12*(1+elasticity!$D$32)</f>
        <v>33.1181388874707</v>
      </c>
      <c r="M37" s="29" t="n">
        <f aca="false">K37*L37</f>
        <v>44175589.7802691</v>
      </c>
      <c r="N37" s="56" t="n">
        <f aca="false">$M37/POWER(1+DiscRate5,1+attendance!$A37)</f>
        <v>26157751.7647833</v>
      </c>
    </row>
    <row r="38" customFormat="false" ht="12.75" hidden="false" customHeight="false" outlineLevel="0" collapsed="false">
      <c r="A38" s="32" t="n">
        <v>10</v>
      </c>
      <c r="B38" s="32" t="n">
        <v>2008</v>
      </c>
      <c r="C38" s="29" t="n">
        <f aca="false">elasticity!$E$21</f>
        <v>1375964.35980638</v>
      </c>
      <c r="D38" s="16" t="n">
        <f aca="false">D13*(1+elasticity!$D$18)</f>
        <v>33.9055053966702</v>
      </c>
      <c r="E38" s="29" t="n">
        <f aca="false">C38*D38</f>
        <v>46652767.0270412</v>
      </c>
      <c r="F38" s="56" t="n">
        <f aca="false">$E38/POWER(1+DiscRate,1+attendance!$A38)</f>
        <v>27622179.4153636</v>
      </c>
      <c r="G38" s="29" t="n">
        <f aca="false">elasticity!$E$28</f>
        <v>1417023.22535002</v>
      </c>
      <c r="H38" s="16" t="n">
        <f aca="false">D13*(1+elasticity!$D$25)</f>
        <v>33.3631773015249</v>
      </c>
      <c r="I38" s="29" t="n">
        <f aca="false">G38*H38</f>
        <v>47276397.1077313</v>
      </c>
      <c r="J38" s="56" t="n">
        <f aca="false">$I38/POWER(1+DiscRate3,1+attendance!$A38)</f>
        <v>29502183.1115833</v>
      </c>
      <c r="K38" s="29" t="n">
        <f aca="false">elasticity!$E$35</f>
        <v>1333878.99393651</v>
      </c>
      <c r="L38" s="16" t="n">
        <f aca="false">D13*(1+elasticity!$D$32)</f>
        <v>34.4613920731163</v>
      </c>
      <c r="M38" s="29" t="n">
        <f aca="false">K38*L38</f>
        <v>45967326.9881401</v>
      </c>
      <c r="N38" s="56" t="n">
        <f aca="false">$M38/POWER(1+DiscRate5,1+attendance!$A38)</f>
        <v>25829090.4750955</v>
      </c>
    </row>
    <row r="39" customFormat="false" ht="12.75" hidden="false" customHeight="false" outlineLevel="0" collapsed="false">
      <c r="A39" s="32" t="n">
        <v>11</v>
      </c>
      <c r="B39" s="32" t="n">
        <v>2009</v>
      </c>
      <c r="C39" s="29" t="n">
        <f aca="false">elasticity!$E$21</f>
        <v>1375964.35980638</v>
      </c>
      <c r="D39" s="16" t="n">
        <f aca="false">D14*(1+elasticity!$D$18)</f>
        <v>35.3030441495795</v>
      </c>
      <c r="E39" s="29" t="n">
        <f aca="false">C39*D39</f>
        <v>48575730.5424927</v>
      </c>
      <c r="F39" s="56" t="n">
        <f aca="false">$E39/POWER(1+DiscRate,1+attendance!$A39)</f>
        <v>27422509.5626034</v>
      </c>
      <c r="G39" s="29" t="n">
        <f aca="false">elasticity!$E$28</f>
        <v>1417023.22535002</v>
      </c>
      <c r="H39" s="16" t="n">
        <f aca="false">D14*(1+elasticity!$D$25)</f>
        <v>34.7383620290071</v>
      </c>
      <c r="I39" s="29" t="n">
        <f aca="false">G39*H39</f>
        <v>49225065.8057202</v>
      </c>
      <c r="J39" s="56" t="n">
        <f aca="false">$I39/POWER(1+DiscRate3,1+attendance!$A39)</f>
        <v>29429222.9519619</v>
      </c>
      <c r="K39" s="29" t="n">
        <f aca="false">elasticity!$E$35</f>
        <v>1333878.99393651</v>
      </c>
      <c r="L39" s="16" t="n">
        <f aca="false">D14*(1+elasticity!$D$32)</f>
        <v>35.8818437177071</v>
      </c>
      <c r="M39" s="29" t="n">
        <f aca="false">K39*L39</f>
        <v>47862037.5987624</v>
      </c>
      <c r="N39" s="56" t="n">
        <f aca="false">$M39/POWER(1+DiscRate5,1+attendance!$A39)</f>
        <v>25520715.8901809</v>
      </c>
    </row>
    <row r="40" customFormat="false" ht="12.75" hidden="false" customHeight="false" outlineLevel="0" collapsed="false">
      <c r="A40" s="32" t="n">
        <v>12</v>
      </c>
      <c r="B40" s="32" t="n">
        <v>2010</v>
      </c>
      <c r="C40" s="29" t="n">
        <f aca="false">elasticity!$E$21</f>
        <v>1375964.35980638</v>
      </c>
      <c r="D40" s="16" t="n">
        <f aca="false">D15*(1+elasticity!$D$18)</f>
        <v>36.7461548183446</v>
      </c>
      <c r="E40" s="29" t="n">
        <f aca="false">C40*D40</f>
        <v>50561399.3899698</v>
      </c>
      <c r="F40" s="56" t="n">
        <f aca="false">$E40/POWER(1+DiscRate,1+attendance!$A40)</f>
        <v>27215371.2233445</v>
      </c>
      <c r="G40" s="29" t="n">
        <f aca="false">elasticity!$E$28</f>
        <v>1417023.22535002</v>
      </c>
      <c r="H40" s="16" t="n">
        <f aca="false">D15*(1+elasticity!$D$25)</f>
        <v>36.1583897367333</v>
      </c>
      <c r="I40" s="29" t="n">
        <f aca="false">G40*H40</f>
        <v>51237278.0482088</v>
      </c>
      <c r="J40" s="56" t="n">
        <f aca="false">$I40/POWER(1+DiscRate3,1+attendance!$A40)</f>
        <v>29346833.4458448</v>
      </c>
      <c r="K40" s="29" t="n">
        <f aca="false">elasticity!$E$35</f>
        <v>1333878.99393651</v>
      </c>
      <c r="L40" s="16" t="n">
        <f aca="false">D15*(1+elasticity!$D$32)</f>
        <v>37.3486144376651</v>
      </c>
      <c r="M40" s="29" t="n">
        <f aca="false">K40*L40</f>
        <v>49818532.2510354</v>
      </c>
      <c r="N40" s="56" t="n">
        <f aca="false">$M40/POWER(1+DiscRate5,1+attendance!$A40)</f>
        <v>25207768.5814486</v>
      </c>
    </row>
    <row r="41" customFormat="false" ht="12.75" hidden="false" customHeight="false" outlineLevel="0" collapsed="false">
      <c r="A41" s="32" t="n">
        <v>13</v>
      </c>
      <c r="B41" s="32" t="n">
        <v>2011</v>
      </c>
      <c r="C41" s="29" t="n">
        <f aca="false">elasticity!$E$21</f>
        <v>1375964.35980638</v>
      </c>
      <c r="D41" s="16" t="n">
        <f aca="false">D16*(1+elasticity!$D$18)</f>
        <v>38.250028041584</v>
      </c>
      <c r="E41" s="29" t="n">
        <f aca="false">C41*D41</f>
        <v>52630675.3468143</v>
      </c>
      <c r="F41" s="56" t="n">
        <f aca="false">$E41/POWER(1+DiscRate,1+attendance!$A41)</f>
        <v>27011048.4110747</v>
      </c>
      <c r="G41" s="29" t="n">
        <f aca="false">elasticity!$E$28</f>
        <v>1417023.22535002</v>
      </c>
      <c r="H41" s="16" t="n">
        <f aca="false">D16*(1+elasticity!$D$25)</f>
        <v>37.6382080847848</v>
      </c>
      <c r="I41" s="29" t="n">
        <f aca="false">G41*H41</f>
        <v>53334215.0166969</v>
      </c>
      <c r="J41" s="56" t="n">
        <f aca="false">$I41/POWER(1+DiscRate3,1+attendance!$A41)</f>
        <v>29266029.9140067</v>
      </c>
      <c r="K41" s="29" t="n">
        <f aca="false">elasticity!$E$35</f>
        <v>1333878.99393651</v>
      </c>
      <c r="L41" s="16" t="n">
        <f aca="false">D16*(1+elasticity!$D$32)</f>
        <v>38.8771439247791</v>
      </c>
      <c r="M41" s="29" t="n">
        <f aca="false">K41*L41</f>
        <v>51857405.6255093</v>
      </c>
      <c r="N41" s="56" t="n">
        <f aca="false">$M41/POWER(1+DiscRate5,1+attendance!$A41)</f>
        <v>24899811.9006808</v>
      </c>
    </row>
    <row r="42" customFormat="false" ht="12.75" hidden="false" customHeight="false" outlineLevel="0" collapsed="false">
      <c r="A42" s="32" t="n">
        <v>14</v>
      </c>
      <c r="B42" s="32" t="n">
        <v>2012</v>
      </c>
      <c r="C42" s="29" t="n">
        <f aca="false">elasticity!$E$21</f>
        <v>1375964.35980638</v>
      </c>
      <c r="D42" s="16" t="n">
        <f aca="false">D17*(1+elasticity!$D$18)</f>
        <v>39.8298544579163</v>
      </c>
      <c r="E42" s="29" t="n">
        <f aca="false">C42*D42</f>
        <v>54804460.1903682</v>
      </c>
      <c r="F42" s="56" t="n">
        <f aca="false">$E42/POWER(1+DiscRate,1+attendance!$A42)</f>
        <v>26817959.105515</v>
      </c>
      <c r="G42" s="29" t="n">
        <f aca="false">elasticity!$E$28</f>
        <v>1417023.22535002</v>
      </c>
      <c r="H42" s="16" t="n">
        <f aca="false">D17*(1+elasticity!$D$25)</f>
        <v>39.1927647332429</v>
      </c>
      <c r="I42" s="29" t="n">
        <f aca="false">G42*H42</f>
        <v>55537057.8926843</v>
      </c>
      <c r="J42" s="56" t="n">
        <f aca="false">$I42/POWER(1+DiscRate3,1+attendance!$A42)</f>
        <v>29196008.4877008</v>
      </c>
      <c r="K42" s="29" t="n">
        <f aca="false">elasticity!$E$35</f>
        <v>1333878.99393651</v>
      </c>
      <c r="L42" s="16" t="n">
        <f aca="false">D17*(1+elasticity!$D$32)</f>
        <v>40.4828718708383</v>
      </c>
      <c r="M42" s="29" t="n">
        <f aca="false">K42*L42</f>
        <v>53999252.4027345</v>
      </c>
      <c r="N42" s="56" t="n">
        <f aca="false">$M42/POWER(1+DiscRate5,1+attendance!$A42)</f>
        <v>24604516.4146613</v>
      </c>
    </row>
    <row r="43" customFormat="false" ht="12.75" hidden="false" customHeight="false" outlineLevel="0" collapsed="false">
      <c r="A43" s="32" t="n">
        <v>15</v>
      </c>
      <c r="B43" s="32" t="n">
        <v>2013</v>
      </c>
      <c r="C43" s="29" t="n">
        <f aca="false">elasticity!$E$21</f>
        <v>1375964.35980638</v>
      </c>
      <c r="D43" s="16" t="n">
        <f aca="false">D18*(1+elasticity!$D$18)</f>
        <v>41.4552527901044</v>
      </c>
      <c r="E43" s="29" t="n">
        <f aca="false">C43*D43</f>
        <v>57040950.3659477</v>
      </c>
      <c r="F43" s="56" t="n">
        <f aca="false">$E43/POWER(1+DiscRate,1+attendance!$A43)</f>
        <v>26613616.4620925</v>
      </c>
      <c r="G43" s="29" t="n">
        <f aca="false">elasticity!$E$28</f>
        <v>1417023.22535002</v>
      </c>
      <c r="H43" s="16" t="n">
        <f aca="false">D18*(1+elasticity!$D$25)</f>
        <v>40.7921643619451</v>
      </c>
      <c r="I43" s="29" t="n">
        <f aca="false">G43*H43</f>
        <v>57803444.3131715</v>
      </c>
      <c r="J43" s="56" t="n">
        <f aca="false">$I43/POWER(1+DiscRate3,1+attendance!$A43)</f>
        <v>29112334.7943359</v>
      </c>
      <c r="K43" s="29" t="n">
        <f aca="false">elasticity!$E$35</f>
        <v>1333878.99393651</v>
      </c>
      <c r="L43" s="16" t="n">
        <f aca="false">D18*(1+elasticity!$D$32)</f>
        <v>42.1349188922645</v>
      </c>
      <c r="M43" s="29" t="n">
        <f aca="false">K43*L43</f>
        <v>56202883.2216104</v>
      </c>
      <c r="N43" s="56" t="n">
        <f aca="false">$M43/POWER(1+DiscRate5,1+attendance!$A43)</f>
        <v>24301187.0213957</v>
      </c>
    </row>
    <row r="44" customFormat="false" ht="12.75" hidden="false" customHeight="false" outlineLevel="0" collapsed="false">
      <c r="A44" s="32" t="n">
        <v>16</v>
      </c>
      <c r="B44" s="32" t="n">
        <v>2014</v>
      </c>
      <c r="C44" s="29" t="n">
        <f aca="false">elasticity!$E$21</f>
        <v>1375964.35980638</v>
      </c>
      <c r="D44" s="16" t="n">
        <f aca="false">D19*(1+elasticity!$D$18)</f>
        <v>43.1717949540039</v>
      </c>
      <c r="E44" s="29" t="n">
        <f aca="false">C44*D44</f>
        <v>59402851.2055784</v>
      </c>
      <c r="F44" s="56" t="n">
        <f aca="false">$E44/POWER(1+DiscRate,1+attendance!$A44)</f>
        <v>26426019.6179699</v>
      </c>
      <c r="G44" s="29" t="n">
        <f aca="false">elasticity!$E$28</f>
        <v>1417023.22535002</v>
      </c>
      <c r="H44" s="16" t="n">
        <f aca="false">D19*(1+elasticity!$D$25)</f>
        <v>42.4812499511352</v>
      </c>
      <c r="I44" s="29" t="n">
        <f aca="false">G44*H44</f>
        <v>60196917.8226579</v>
      </c>
      <c r="J44" s="56" t="n">
        <f aca="false">$I44/POWER(1+DiscRate3,1+attendance!$A44)</f>
        <v>29045595.3338682</v>
      </c>
      <c r="K44" s="29" t="n">
        <f aca="false">elasticity!$E$35</f>
        <v>1333878.99393651</v>
      </c>
      <c r="L44" s="16" t="n">
        <f aca="false">D19*(1+elasticity!$D$32)</f>
        <v>43.879604064425</v>
      </c>
      <c r="M44" s="29" t="n">
        <f aca="false">K44*L44</f>
        <v>58530082.1237877</v>
      </c>
      <c r="N44" s="56" t="n">
        <f aca="false">$M44/POWER(1+DiscRate5,1+attendance!$A44)</f>
        <v>24015400.3768408</v>
      </c>
    </row>
    <row r="45" customFormat="false" ht="12.75" hidden="false" customHeight="false" outlineLevel="0" collapsed="false">
      <c r="A45" s="32" t="n">
        <v>17</v>
      </c>
      <c r="B45" s="32" t="n">
        <v>2015</v>
      </c>
      <c r="C45" s="29" t="n">
        <f aca="false">elasticity!$E$21</f>
        <v>1375964.35980638</v>
      </c>
      <c r="D45" s="16" t="n">
        <f aca="false">D20*(1+elasticity!$D$18)</f>
        <v>44.9339090337591</v>
      </c>
      <c r="E45" s="29" t="n">
        <f aca="false">C45*D45</f>
        <v>61827457.3772346</v>
      </c>
      <c r="F45" s="56" t="n">
        <f aca="false">$E45/POWER(1+DiscRate,1+attendance!$A45)</f>
        <v>26224859.5190706</v>
      </c>
      <c r="G45" s="29" t="n">
        <f aca="false">elasticity!$E$28</f>
        <v>1417023.22535002</v>
      </c>
      <c r="H45" s="16" t="n">
        <f aca="false">D20*(1+elasticity!$D$25)</f>
        <v>44.2151785205692</v>
      </c>
      <c r="I45" s="29" t="n">
        <f aca="false">G45*H45</f>
        <v>62653934.8766439</v>
      </c>
      <c r="J45" s="56" t="n">
        <f aca="false">$I45/POWER(1+DiscRate3,1+attendance!$A45)</f>
        <v>28962569.3018695</v>
      </c>
      <c r="K45" s="29" t="n">
        <f aca="false">elasticity!$E$35</f>
        <v>1333878.99393651</v>
      </c>
      <c r="L45" s="16" t="n">
        <f aca="false">D20*(1+elasticity!$D$32)</f>
        <v>45.6706083119526</v>
      </c>
      <c r="M45" s="29" t="n">
        <f aca="false">K45*L45</f>
        <v>60919065.0676158</v>
      </c>
      <c r="N45" s="56" t="n">
        <f aca="false">$M45/POWER(1+DiscRate5,1+attendance!$A45)</f>
        <v>23719511.1030417</v>
      </c>
    </row>
    <row r="46" customFormat="false" ht="12.75" hidden="false" customHeight="false" outlineLevel="0" collapsed="false">
      <c r="A46" s="32" t="n">
        <v>18</v>
      </c>
      <c r="B46" s="32" t="n">
        <v>2016</v>
      </c>
      <c r="C46" s="29" t="n">
        <f aca="false">elasticity!$E$21</f>
        <v>1375964.35980638</v>
      </c>
      <c r="D46" s="16" t="n">
        <f aca="false">D21*(1+elasticity!$D$18)</f>
        <v>44.9339090337591</v>
      </c>
      <c r="E46" s="29" t="n">
        <f aca="false">C46*D46</f>
        <v>61827457.3772346</v>
      </c>
      <c r="F46" s="56" t="n">
        <f aca="false">$E46/POWER(1+DiscRate,1+attendance!$A46)</f>
        <v>25004633.4087249</v>
      </c>
      <c r="G46" s="29" t="n">
        <f aca="false">elasticity!$E$28</f>
        <v>1417023.22535002</v>
      </c>
      <c r="H46" s="16" t="n">
        <f aca="false">D21*(1+elasticity!$D$25)</f>
        <v>44.2151785205692</v>
      </c>
      <c r="I46" s="29" t="n">
        <f aca="false">G46*H46</f>
        <v>62653934.8766439</v>
      </c>
      <c r="J46" s="56" t="n">
        <f aca="false">$I46/POWER(1+DiscRate3,1+attendance!$A46)</f>
        <v>27747240.1819022</v>
      </c>
      <c r="K46" s="29" t="n">
        <f aca="false">elasticity!$E$35</f>
        <v>1333878.99393651</v>
      </c>
      <c r="L46" s="16" t="n">
        <f aca="false">D21*(1+elasticity!$D$32)</f>
        <v>45.6706083119526</v>
      </c>
      <c r="M46" s="29" t="n">
        <f aca="false">K46*L46</f>
        <v>60919065.0676158</v>
      </c>
      <c r="N46" s="56" t="n">
        <f aca="false">$M46/POWER(1+DiscRate5,1+attendance!$A46)</f>
        <v>22508551.0562172</v>
      </c>
    </row>
    <row r="47" customFormat="false" ht="12.75" hidden="false" customHeight="false" outlineLevel="0" collapsed="false">
      <c r="A47" s="32" t="n">
        <v>19</v>
      </c>
      <c r="B47" s="32" t="n">
        <v>2017</v>
      </c>
      <c r="C47" s="29" t="n">
        <f aca="false">elasticity!$E$21</f>
        <v>1375964.35980638</v>
      </c>
      <c r="D47" s="16" t="n">
        <f aca="false">D22*(1+elasticity!$D$18)</f>
        <v>44.9339090337591</v>
      </c>
      <c r="E47" s="29" t="n">
        <f aca="false">C47*D47</f>
        <v>61827457.3772346</v>
      </c>
      <c r="F47" s="56" t="n">
        <f aca="false">$E47/POWER(1+DiscRate,1+attendance!$A47)</f>
        <v>23841183.6467628</v>
      </c>
      <c r="G47" s="29" t="n">
        <f aca="false">elasticity!$E$28</f>
        <v>1417023.22535002</v>
      </c>
      <c r="H47" s="16" t="n">
        <f aca="false">D22*(1+elasticity!$D$25)</f>
        <v>44.2151785205692</v>
      </c>
      <c r="I47" s="29" t="n">
        <f aca="false">G47*H47</f>
        <v>62653934.8766439</v>
      </c>
      <c r="J47" s="56" t="n">
        <f aca="false">$I47/POWER(1+DiscRate3,1+attendance!$A47)</f>
        <v>26582908.7774499</v>
      </c>
      <c r="K47" s="29" t="n">
        <f aca="false">elasticity!$E$35</f>
        <v>1333878.99393651</v>
      </c>
      <c r="L47" s="16" t="n">
        <f aca="false">D22*(1+elasticity!$D$32)</f>
        <v>45.6706083119526</v>
      </c>
      <c r="M47" s="29" t="n">
        <f aca="false">K47*L47</f>
        <v>60919065.0676158</v>
      </c>
      <c r="N47" s="56" t="n">
        <f aca="false">$M47/POWER(1+DiscRate5,1+attendance!$A47)</f>
        <v>21359414.5532522</v>
      </c>
    </row>
    <row r="48" customFormat="false" ht="12.75" hidden="false" customHeight="false" outlineLevel="0" collapsed="false">
      <c r="A48" s="32" t="n">
        <v>20</v>
      </c>
      <c r="B48" s="32" t="n">
        <v>2018</v>
      </c>
      <c r="C48" s="29" t="n">
        <f aca="false">elasticity!$E$21</f>
        <v>1375964.35980638</v>
      </c>
      <c r="D48" s="16" t="n">
        <f aca="false">D23*(1+elasticity!$D$18)</f>
        <v>44.9339090337591</v>
      </c>
      <c r="E48" s="40" t="n">
        <f aca="false">C48*D48</f>
        <v>61827457.3772346</v>
      </c>
      <c r="F48" s="57" t="n">
        <f aca="false">$E48/POWER(1+DiscRate,1+attendance!$A48)</f>
        <v>22731868.4656396</v>
      </c>
      <c r="G48" s="29" t="n">
        <f aca="false">elasticity!$E$28</f>
        <v>1417023.22535002</v>
      </c>
      <c r="H48" s="16" t="n">
        <f aca="false">D23*(1+elasticity!$D$25)</f>
        <v>44.2151785205692</v>
      </c>
      <c r="I48" s="40" t="n">
        <f aca="false">G48*H48</f>
        <v>62653934.8766439</v>
      </c>
      <c r="J48" s="57" t="n">
        <f aca="false">$I48/POWER(1+DiscRate3,1+attendance!$A48)</f>
        <v>25467435.1192277</v>
      </c>
      <c r="K48" s="29" t="n">
        <f aca="false">elasticity!$E$35</f>
        <v>1333878.99393651</v>
      </c>
      <c r="L48" s="16" t="n">
        <f aca="false">D23*(1+elasticity!$D$32)</f>
        <v>45.6706083119526</v>
      </c>
      <c r="M48" s="40" t="n">
        <f aca="false">K48*L48</f>
        <v>60919065.0676158</v>
      </c>
      <c r="N48" s="57" t="n">
        <f aca="false">$M48/POWER(1+DiscRate5,1+attendance!$A48)</f>
        <v>20268945.2963107</v>
      </c>
    </row>
    <row r="49" customFormat="false" ht="12.75" hidden="false" customHeight="false" outlineLevel="0" collapsed="false">
      <c r="E49" s="56" t="n">
        <f aca="false">SUM(E29:E48)</f>
        <v>972603611.07929</v>
      </c>
      <c r="F49" s="58" t="n">
        <f aca="false">SUM(F29:F48)</f>
        <v>554252334.389502</v>
      </c>
      <c r="I49" s="56" t="n">
        <f aca="false">SUM(I29:I48)</f>
        <v>985604873.536141</v>
      </c>
      <c r="J49" s="58" t="n">
        <f aca="false">SUM(J29:J48)</f>
        <v>592223260.321612</v>
      </c>
      <c r="M49" s="56" t="n">
        <f aca="false">SUM(M29:M48)</f>
        <v>958313752.202815</v>
      </c>
      <c r="N49" s="58" t="n">
        <f aca="false">SUM(N29:N48)</f>
        <v>518449729.48389</v>
      </c>
    </row>
    <row r="51" customFormat="false" ht="12.75" hidden="false" customHeight="false" outlineLevel="0" collapsed="false">
      <c r="G5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58</v>
      </c>
      <c r="B1" s="62" t="n">
        <v>0.03</v>
      </c>
    </row>
    <row r="2" customFormat="false" ht="12.75" hidden="false" customHeight="false" outlineLevel="0" collapsed="false">
      <c r="A2" s="55"/>
      <c r="B2" s="63"/>
      <c r="C2" s="55"/>
      <c r="D2" s="55"/>
      <c r="E2" s="55" t="s">
        <v>59</v>
      </c>
      <c r="F2" s="55" t="s">
        <v>60</v>
      </c>
      <c r="G2" s="55"/>
      <c r="H2" s="55"/>
      <c r="I2" s="55"/>
      <c r="J2" s="55" t="s">
        <v>61</v>
      </c>
      <c r="K2" s="55"/>
      <c r="L2" s="55"/>
    </row>
    <row r="3" customFormat="false" ht="12.75" hidden="false" customHeight="false" outlineLevel="0" collapsed="false">
      <c r="A3" s="55"/>
      <c r="B3" s="55" t="s">
        <v>52</v>
      </c>
      <c r="C3" s="55" t="s">
        <v>62</v>
      </c>
      <c r="D3" s="55" t="s">
        <v>63</v>
      </c>
      <c r="E3" s="55" t="s">
        <v>64</v>
      </c>
      <c r="F3" s="55" t="s">
        <v>64</v>
      </c>
      <c r="G3" s="55" t="s">
        <v>65</v>
      </c>
      <c r="H3" s="55" t="s">
        <v>66</v>
      </c>
      <c r="I3" s="55" t="s">
        <v>67</v>
      </c>
      <c r="J3" s="55" t="s">
        <v>68</v>
      </c>
      <c r="K3" s="55" t="s">
        <v>69</v>
      </c>
      <c r="L3" s="55"/>
    </row>
    <row r="4" customFormat="false" ht="12.75" hidden="false" customHeight="false" outlineLevel="0" collapsed="false">
      <c r="A4" s="0" t="n">
        <f aca="false">$B$11-B4</f>
        <v>7</v>
      </c>
      <c r="B4" s="55" t="n">
        <v>1989</v>
      </c>
      <c r="C4" s="64" t="n">
        <v>0.451</v>
      </c>
      <c r="D4" s="30" t="n">
        <v>6.8</v>
      </c>
      <c r="E4" s="29" t="n">
        <v>1298430</v>
      </c>
      <c r="F4" s="29" t="n">
        <f aca="false">E4</f>
        <v>1298430</v>
      </c>
      <c r="G4" s="30" t="n">
        <f aca="false">D4*POWER(1+inflation,A4)</f>
        <v>8.36314228488912</v>
      </c>
      <c r="H4" s="30"/>
      <c r="I4" s="30"/>
      <c r="J4" s="30"/>
    </row>
    <row r="5" customFormat="false" ht="12.75" hidden="false" customHeight="false" outlineLevel="0" collapsed="false">
      <c r="A5" s="0" t="n">
        <f aca="false">$B$11-B5</f>
        <v>6</v>
      </c>
      <c r="B5" s="55" t="n">
        <v>1990</v>
      </c>
      <c r="C5" s="64" t="n">
        <v>0.475</v>
      </c>
      <c r="D5" s="30" t="n">
        <v>7.12</v>
      </c>
      <c r="E5" s="29" t="n">
        <v>1509759</v>
      </c>
      <c r="F5" s="29" t="n">
        <f aca="false">E5</f>
        <v>1509759</v>
      </c>
      <c r="G5" s="30" t="n">
        <f aca="false">D5*POWER(1+inflation,A5)</f>
        <v>8.50165235128648</v>
      </c>
      <c r="H5" s="25" t="n">
        <f aca="false">F5/F4-1</f>
        <v>0.162757330006238</v>
      </c>
      <c r="I5" s="25" t="n">
        <f aca="false">G5/G4-1</f>
        <v>0.0165619645916619</v>
      </c>
      <c r="J5" s="22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55" t="n">
        <v>1991</v>
      </c>
      <c r="C6" s="64" t="n">
        <v>0.512</v>
      </c>
      <c r="D6" s="30" t="n">
        <v>6.37</v>
      </c>
      <c r="E6" s="29" t="n">
        <v>2147877</v>
      </c>
      <c r="F6" s="29" t="n">
        <f aca="false">E6-200000/D6</f>
        <v>2116479.82574568</v>
      </c>
      <c r="G6" s="30" t="n">
        <f aca="false">D6*POWER(1+inflation,A6)</f>
        <v>7.384575853291</v>
      </c>
      <c r="H6" s="25" t="n">
        <f aca="false">F6/F5-1</f>
        <v>0.401866010234536</v>
      </c>
      <c r="I6" s="25" t="n">
        <f aca="false">G6/G5-1</f>
        <v>-0.131395221991928</v>
      </c>
      <c r="J6" s="22" t="n">
        <f aca="false">-H6/I6</f>
        <v>3.0584522339726</v>
      </c>
      <c r="K6" s="0" t="s">
        <v>70</v>
      </c>
    </row>
    <row r="7" customFormat="false" ht="12.75" hidden="false" customHeight="false" outlineLevel="0" collapsed="false">
      <c r="A7" s="0" t="n">
        <f aca="false">$B$11-B7</f>
        <v>4</v>
      </c>
      <c r="B7" s="55" t="n">
        <v>1992</v>
      </c>
      <c r="C7" s="64" t="n">
        <v>0.395</v>
      </c>
      <c r="D7" s="30" t="n">
        <v>8.88</v>
      </c>
      <c r="E7" s="29" t="n">
        <v>1651428</v>
      </c>
      <c r="F7" s="29" t="n">
        <v>1651398</v>
      </c>
      <c r="G7" s="30" t="n">
        <f aca="false">D7*POWER(1+inflation,A7)</f>
        <v>9.9945182328</v>
      </c>
      <c r="H7" s="25" t="n">
        <f aca="false">F7/F6-1</f>
        <v>-0.219743094211552</v>
      </c>
      <c r="I7" s="25" t="n">
        <f aca="false">G7/G6-1</f>
        <v>0.353431589215223</v>
      </c>
      <c r="J7" s="22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55" t="n">
        <v>1993</v>
      </c>
      <c r="C8" s="64" t="n">
        <v>0.506</v>
      </c>
      <c r="D8" s="30" t="n">
        <v>8.91</v>
      </c>
      <c r="E8" s="29" t="n">
        <v>2051853</v>
      </c>
      <c r="F8" s="29" t="n">
        <f aca="false">E8</f>
        <v>2051853</v>
      </c>
      <c r="G8" s="30" t="n">
        <f aca="false">D8*POWER(1+inflation,A8)</f>
        <v>9.73619757</v>
      </c>
      <c r="H8" s="25" t="n">
        <f aca="false">F8/F7-1</f>
        <v>0.242494540988908</v>
      </c>
      <c r="I8" s="25" t="n">
        <f aca="false">G8/G7-1</f>
        <v>-0.025846234584099</v>
      </c>
      <c r="J8" s="22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55" t="n">
        <v>1994</v>
      </c>
      <c r="C9" s="64" t="n">
        <v>0.438</v>
      </c>
      <c r="D9" s="30" t="n">
        <v>11.86</v>
      </c>
      <c r="E9" s="29" t="n">
        <v>1104206</v>
      </c>
      <c r="F9" s="29" t="n">
        <v>2032743</v>
      </c>
      <c r="G9" s="30" t="n">
        <f aca="false">D9*POWER(1+inflation,A9)</f>
        <v>12.582274</v>
      </c>
      <c r="H9" s="25" t="n">
        <f aca="false">F9/F8-1</f>
        <v>-0.00931353269459367</v>
      </c>
      <c r="I9" s="25" t="n">
        <f aca="false">G9/G8-1</f>
        <v>0.292319091671842</v>
      </c>
      <c r="J9" s="22" t="n">
        <f aca="false">-H9/I9</f>
        <v>0.0318608430305642</v>
      </c>
      <c r="K9" s="0" t="s">
        <v>71</v>
      </c>
    </row>
    <row r="10" customFormat="false" ht="12.75" hidden="false" customHeight="false" outlineLevel="0" collapsed="false">
      <c r="A10" s="0" t="n">
        <f aca="false">$B$11-B10</f>
        <v>1</v>
      </c>
      <c r="B10" s="55" t="n">
        <v>1995</v>
      </c>
      <c r="C10" s="64" t="n">
        <v>0.545</v>
      </c>
      <c r="D10" s="30" t="n">
        <v>10.88</v>
      </c>
      <c r="E10" s="29" t="n">
        <v>1643203</v>
      </c>
      <c r="F10" s="29" t="n">
        <v>1823280</v>
      </c>
      <c r="G10" s="30" t="n">
        <f aca="false">D10*POWER(1+inflation,A10)</f>
        <v>11.2064</v>
      </c>
      <c r="H10" s="25" t="n">
        <f aca="false">F10/F9-1</f>
        <v>-0.103044506856007</v>
      </c>
      <c r="I10" s="25" t="n">
        <f aca="false">G10/G9-1</f>
        <v>-0.109350185824915</v>
      </c>
      <c r="J10" s="22" t="n">
        <f aca="false">-H10/I10</f>
        <v>-0.942334995397223</v>
      </c>
      <c r="K10" s="0" t="s">
        <v>71</v>
      </c>
    </row>
    <row r="11" customFormat="false" ht="12.75" hidden="false" customHeight="false" outlineLevel="0" collapsed="false">
      <c r="A11" s="0" t="n">
        <f aca="false">$B$11-B11</f>
        <v>0</v>
      </c>
      <c r="B11" s="55" t="n">
        <v>1996</v>
      </c>
      <c r="C11" s="64" t="n">
        <v>0.528</v>
      </c>
      <c r="D11" s="30" t="n">
        <v>12.34</v>
      </c>
      <c r="E11" s="29" t="n">
        <v>2723850</v>
      </c>
      <c r="F11" s="29" t="n">
        <f aca="false">E11</f>
        <v>2723850</v>
      </c>
      <c r="G11" s="30" t="n">
        <f aca="false">D11*POWER(1+inflation,A11)</f>
        <v>12.34</v>
      </c>
      <c r="H11" s="25" t="n">
        <f aca="false">F11/F10-1</f>
        <v>0.493928524417533</v>
      </c>
      <c r="I11" s="25" t="n">
        <f aca="false">G11/G10-1</f>
        <v>0.10115648201028</v>
      </c>
      <c r="J11" s="22" t="n">
        <f aca="false">-H11/I11</f>
        <v>-4.88281635147552</v>
      </c>
    </row>
    <row r="12" customFormat="false" ht="12.75" hidden="false" customHeight="false" outlineLevel="0" collapsed="false">
      <c r="B12" s="30"/>
      <c r="I12" s="22"/>
      <c r="J12" s="22"/>
    </row>
    <row r="13" customFormat="false" ht="12.75" hidden="false" customHeight="false" outlineLevel="0" collapsed="false">
      <c r="B13" s="30" t="s">
        <v>66</v>
      </c>
      <c r="F13" s="29"/>
      <c r="I13" s="22"/>
    </row>
    <row r="14" customFormat="false" ht="12.75" hidden="false" customHeight="false" outlineLevel="0" collapsed="false">
      <c r="B14" s="30" t="s">
        <v>67</v>
      </c>
      <c r="I14" s="15"/>
    </row>
    <row r="15" customFormat="false" ht="12.75" hidden="false" customHeight="false" outlineLevel="0" collapsed="false">
      <c r="B15" s="30"/>
    </row>
    <row r="16" customFormat="false" ht="12.75" hidden="false" customHeight="false" outlineLevel="0" collapsed="false">
      <c r="A16" s="37" t="s">
        <v>72</v>
      </c>
      <c r="B16" s="65"/>
      <c r="C16" s="37"/>
      <c r="D16" s="66" t="n">
        <f aca="false">DiscRate</f>
        <v>0.0488</v>
      </c>
      <c r="E16" s="37"/>
      <c r="F16" s="37"/>
      <c r="G16" s="37"/>
      <c r="H16" s="37"/>
      <c r="I16" s="37"/>
      <c r="J16" s="37"/>
      <c r="K16" s="37"/>
      <c r="L16" s="37"/>
    </row>
    <row r="17" customFormat="false" ht="12.75" hidden="false" customHeight="false" outlineLevel="0" collapsed="false">
      <c r="A17" s="37"/>
      <c r="B17" s="65"/>
      <c r="C17" s="37" t="s">
        <v>73</v>
      </c>
      <c r="D17" s="37" t="s">
        <v>74</v>
      </c>
      <c r="E17" s="67" t="s">
        <v>72</v>
      </c>
      <c r="F17" s="67"/>
      <c r="G17" s="67"/>
      <c r="H17" s="67"/>
      <c r="I17" s="67"/>
      <c r="J17" s="67"/>
      <c r="K17" s="37"/>
      <c r="L17" s="37"/>
    </row>
    <row r="18" customFormat="false" ht="12.75" hidden="false" customHeight="false" outlineLevel="0" collapsed="false">
      <c r="A18" s="37" t="s">
        <v>52</v>
      </c>
      <c r="B18" s="37" t="s">
        <v>53</v>
      </c>
      <c r="C18" s="37" t="s">
        <v>75</v>
      </c>
      <c r="D18" s="68" t="n">
        <f aca="false">facts!C33</f>
        <v>0.519063861857983</v>
      </c>
      <c r="E18" s="37" t="n">
        <v>0.75</v>
      </c>
      <c r="F18" s="37" t="n">
        <v>0.8</v>
      </c>
      <c r="G18" s="37" t="n">
        <v>0.85</v>
      </c>
      <c r="H18" s="37" t="n">
        <v>0.7</v>
      </c>
      <c r="I18" s="37" t="n">
        <v>0.65</v>
      </c>
      <c r="J18" s="37" t="n">
        <v>0.6</v>
      </c>
      <c r="K18" s="37"/>
      <c r="L18" s="37"/>
    </row>
    <row r="19" customFormat="false" ht="12.75" hidden="false" customHeight="false" outlineLevel="0" collapsed="false">
      <c r="A19" s="0" t="n">
        <v>1999</v>
      </c>
      <c r="B19" s="29" t="n">
        <v>2703704</v>
      </c>
      <c r="C19" s="0" t="n">
        <v>15.64</v>
      </c>
      <c r="D19" s="16" t="n">
        <f aca="false">C19*(1+$D$18)</f>
        <v>23.7581587994589</v>
      </c>
      <c r="E19" s="29" t="n">
        <f aca="false">(1-E$18*$D$18)*$B19</f>
        <v>1651157.72032934</v>
      </c>
      <c r="F19" s="29" t="n">
        <f aca="false">(1-F$18*$D$18)*$B19</f>
        <v>1580987.9683513</v>
      </c>
      <c r="G19" s="29" t="n">
        <f aca="false">(1-G$18*$D$18)*$B19</f>
        <v>1510818.21637325</v>
      </c>
      <c r="H19" s="29" t="n">
        <f aca="false">(1-H$18*$D$18)*$B19</f>
        <v>1721327.47230739</v>
      </c>
      <c r="I19" s="29" t="n">
        <f aca="false">(1-I$18*$D$18)*$B19</f>
        <v>1791497.22428543</v>
      </c>
      <c r="J19" s="29" t="n">
        <f aca="false">(1-J$18*$D$18)*$B19</f>
        <v>1861666.97626347</v>
      </c>
    </row>
    <row r="20" customFormat="false" ht="12.75" hidden="false" customHeight="false" outlineLevel="0" collapsed="false">
      <c r="A20" s="0" t="n">
        <v>2000</v>
      </c>
      <c r="B20" s="29" t="n">
        <v>2478395</v>
      </c>
      <c r="C20" s="0" t="n">
        <v>16.23</v>
      </c>
      <c r="D20" s="16" t="n">
        <f aca="false">C20*(1+$D$18)</f>
        <v>24.6544064779551</v>
      </c>
      <c r="E20" s="29" t="n">
        <f aca="false">(1-E$18*$D$18)*$B20</f>
        <v>1513561.04006786</v>
      </c>
      <c r="F20" s="29" t="n">
        <f aca="false">(1-F$18*$D$18)*$B20</f>
        <v>1449238.77607239</v>
      </c>
      <c r="G20" s="29" t="n">
        <f aca="false">(1-G$18*$D$18)*$B20</f>
        <v>1384916.51207691</v>
      </c>
      <c r="H20" s="29" t="n">
        <f aca="false">(1-H$18*$D$18)*$B20</f>
        <v>1577883.30406334</v>
      </c>
      <c r="I20" s="29" t="n">
        <f aca="false">(1-I$18*$D$18)*$B20</f>
        <v>1642205.56805881</v>
      </c>
      <c r="J20" s="29" t="n">
        <f aca="false">(1-J$18*$D$18)*$B20</f>
        <v>1706527.83205429</v>
      </c>
    </row>
    <row r="21" customFormat="false" ht="12.75" hidden="false" customHeight="false" outlineLevel="0" collapsed="false">
      <c r="A21" s="2" t="s">
        <v>76</v>
      </c>
      <c r="B21" s="29" t="n">
        <v>2253086</v>
      </c>
      <c r="C21" s="0" t="n">
        <v>16.87</v>
      </c>
      <c r="D21" s="16" t="n">
        <f aca="false">C21*(1+$D$18)</f>
        <v>25.6266073495442</v>
      </c>
      <c r="E21" s="29" t="n">
        <f aca="false">(1-E$18*$D$18)*$B21</f>
        <v>1375964.35980638</v>
      </c>
      <c r="F21" s="29" t="n">
        <f aca="false">(1-F$18*$D$18)*$B21</f>
        <v>1317489.58379347</v>
      </c>
      <c r="G21" s="29" t="n">
        <f aca="false">(1-G$18*$D$18)*$B21</f>
        <v>1259014.80778057</v>
      </c>
      <c r="H21" s="29" t="n">
        <f aca="false">(1-H$18*$D$18)*$B21</f>
        <v>1434439.13581929</v>
      </c>
      <c r="I21" s="29" t="n">
        <f aca="false">(1-I$18*$D$18)*$B21</f>
        <v>1492913.9118322</v>
      </c>
      <c r="J21" s="29" t="n">
        <f aca="false">(1-J$18*$D$18)*$B21</f>
        <v>1551388.68784511</v>
      </c>
    </row>
    <row r="22" customFormat="false" ht="12.75" hidden="false" customHeight="false" outlineLevel="0" collapsed="false">
      <c r="B22" s="29"/>
      <c r="D22" s="16"/>
      <c r="E22" s="29"/>
      <c r="F22" s="29"/>
      <c r="G22" s="29"/>
      <c r="H22" s="29"/>
      <c r="I22" s="29"/>
      <c r="J22" s="29"/>
    </row>
    <row r="23" customFormat="false" ht="12.75" hidden="false" customHeight="false" outlineLevel="0" collapsed="false">
      <c r="A23" s="37" t="s">
        <v>72</v>
      </c>
      <c r="B23" s="65"/>
      <c r="C23" s="37"/>
      <c r="D23" s="66" t="n">
        <f aca="false">DiscRate3</f>
        <v>0.0438</v>
      </c>
      <c r="E23" s="37"/>
      <c r="F23" s="37"/>
      <c r="G23" s="37"/>
      <c r="H23" s="37"/>
      <c r="I23" s="37"/>
      <c r="J23" s="37"/>
      <c r="K23" s="37"/>
      <c r="L23" s="37"/>
    </row>
    <row r="24" customFormat="false" ht="12.75" hidden="false" customHeight="false" outlineLevel="0" collapsed="false">
      <c r="A24" s="37"/>
      <c r="B24" s="65"/>
      <c r="C24" s="37" t="s">
        <v>73</v>
      </c>
      <c r="D24" s="37" t="s">
        <v>74</v>
      </c>
      <c r="E24" s="67" t="s">
        <v>72</v>
      </c>
      <c r="F24" s="67"/>
      <c r="G24" s="67"/>
      <c r="H24" s="67"/>
      <c r="I24" s="67"/>
      <c r="J24" s="67"/>
      <c r="K24" s="37"/>
      <c r="L24" s="37"/>
    </row>
    <row r="25" customFormat="false" ht="12.75" hidden="false" customHeight="false" outlineLevel="0" collapsed="false">
      <c r="A25" s="37" t="s">
        <v>52</v>
      </c>
      <c r="B25" s="37" t="s">
        <v>53</v>
      </c>
      <c r="C25" s="37" t="s">
        <v>75</v>
      </c>
      <c r="D25" s="69" t="n">
        <f aca="false">facts!E33</f>
        <v>0.494766008132835</v>
      </c>
      <c r="E25" s="37" t="n">
        <v>0.75</v>
      </c>
      <c r="F25" s="37" t="n">
        <v>0.8</v>
      </c>
      <c r="G25" s="37" t="n">
        <v>0.85</v>
      </c>
      <c r="H25" s="37" t="n">
        <v>0.7</v>
      </c>
      <c r="I25" s="37" t="n">
        <v>0.65</v>
      </c>
      <c r="J25" s="37" t="n">
        <v>0.6</v>
      </c>
      <c r="K25" s="37"/>
      <c r="L25" s="37"/>
    </row>
    <row r="26" customFormat="false" ht="12.75" hidden="false" customHeight="false" outlineLevel="0" collapsed="false">
      <c r="A26" s="0" t="n">
        <v>1999</v>
      </c>
      <c r="B26" s="29" t="n">
        <v>2703704</v>
      </c>
      <c r="C26" s="0" t="n">
        <v>15.64</v>
      </c>
      <c r="D26" s="16" t="n">
        <f aca="false">C26*(1+$D$25)</f>
        <v>23.3781403671975</v>
      </c>
      <c r="E26" s="29" t="n">
        <f aca="false">(1-E$18*$D$25)*$B26</f>
        <v>1700428.37356042</v>
      </c>
      <c r="F26" s="29" t="n">
        <f aca="false">(1-F$18*$D$25)*$B26</f>
        <v>1633543.33179778</v>
      </c>
      <c r="G26" s="29" t="n">
        <f aca="false">(1-G$18*$D$25)*$B26</f>
        <v>1566658.29003514</v>
      </c>
      <c r="H26" s="29" t="n">
        <f aca="false">(1-H$18*$D$25)*$B26</f>
        <v>1767313.41532306</v>
      </c>
      <c r="I26" s="29" t="n">
        <f aca="false">(1-I$18*$D$25)*$B26</f>
        <v>1834198.45708569</v>
      </c>
      <c r="J26" s="29" t="n">
        <f aca="false">(1-J$18*$D$25)*$B26</f>
        <v>1901083.49884833</v>
      </c>
    </row>
    <row r="27" customFormat="false" ht="12.75" hidden="false" customHeight="false" outlineLevel="0" collapsed="false">
      <c r="A27" s="0" t="n">
        <v>2000</v>
      </c>
      <c r="B27" s="29" t="n">
        <v>2478395</v>
      </c>
      <c r="C27" s="0" t="n">
        <v>16.23</v>
      </c>
      <c r="D27" s="16" t="n">
        <f aca="false">C27*(1+$D$25)</f>
        <v>24.2600523119959</v>
      </c>
      <c r="E27" s="29" t="n">
        <f aca="false">(1-E$18*$D$25)*$B27</f>
        <v>1558725.79945522</v>
      </c>
      <c r="F27" s="29" t="n">
        <f aca="false">(1-F$18*$D$25)*$B27</f>
        <v>1497414.5194189</v>
      </c>
      <c r="G27" s="29" t="n">
        <f aca="false">(1-G$18*$D$25)*$B27</f>
        <v>1436103.23938258</v>
      </c>
      <c r="H27" s="29" t="n">
        <f aca="false">(1-H$18*$D$25)*$B27</f>
        <v>1620037.07949154</v>
      </c>
      <c r="I27" s="29" t="n">
        <f aca="false">(1-I$18*$D$25)*$B27</f>
        <v>1681348.35952786</v>
      </c>
      <c r="J27" s="29" t="n">
        <f aca="false">(1-J$18*$D$25)*$B27</f>
        <v>1742659.63956417</v>
      </c>
    </row>
    <row r="28" customFormat="false" ht="12.75" hidden="false" customHeight="false" outlineLevel="0" collapsed="false">
      <c r="A28" s="2" t="s">
        <v>76</v>
      </c>
      <c r="B28" s="29" t="n">
        <v>2253086</v>
      </c>
      <c r="C28" s="0" t="n">
        <v>16.87</v>
      </c>
      <c r="D28" s="16" t="n">
        <f aca="false">C28*(1+$D$25)</f>
        <v>25.2167025572009</v>
      </c>
      <c r="E28" s="29" t="n">
        <f aca="false">(1-E$18*$D$25)*$B28</f>
        <v>1417023.22535002</v>
      </c>
      <c r="F28" s="29" t="n">
        <f aca="false">(1-F$18*$D$25)*$B28</f>
        <v>1361285.70704002</v>
      </c>
      <c r="G28" s="29" t="n">
        <f aca="false">(1-G$18*$D$25)*$B28</f>
        <v>1305548.18873002</v>
      </c>
      <c r="H28" s="29" t="n">
        <f aca="false">(1-H$18*$D$25)*$B28</f>
        <v>1472760.74366002</v>
      </c>
      <c r="I28" s="29" t="n">
        <f aca="false">(1-I$18*$D$25)*$B28</f>
        <v>1528498.26197002</v>
      </c>
      <c r="J28" s="29" t="n">
        <f aca="false">(1-J$18*$D$25)*$B28</f>
        <v>1584235.78028001</v>
      </c>
    </row>
    <row r="29" customFormat="false" ht="12.75" hidden="false" customHeight="false" outlineLevel="0" collapsed="false">
      <c r="B29" s="29"/>
      <c r="D29" s="16"/>
      <c r="E29" s="29"/>
      <c r="F29" s="29"/>
      <c r="G29" s="29"/>
      <c r="H29" s="29"/>
      <c r="I29" s="29"/>
      <c r="J29" s="29"/>
    </row>
    <row r="30" customFormat="false" ht="12.75" hidden="false" customHeight="false" outlineLevel="0" collapsed="false">
      <c r="A30" s="37" t="s">
        <v>72</v>
      </c>
      <c r="B30" s="65"/>
      <c r="C30" s="37"/>
      <c r="D30" s="66" t="n">
        <f aca="false">DiscRate5</f>
        <v>0.0538</v>
      </c>
      <c r="E30" s="37"/>
      <c r="F30" s="37"/>
      <c r="G30" s="37"/>
      <c r="H30" s="37"/>
      <c r="I30" s="37"/>
      <c r="J30" s="37"/>
      <c r="K30" s="37"/>
      <c r="L30" s="37"/>
    </row>
    <row r="31" customFormat="false" ht="12.75" hidden="false" customHeight="false" outlineLevel="0" collapsed="false">
      <c r="A31" s="37"/>
      <c r="B31" s="65"/>
      <c r="C31" s="37" t="s">
        <v>73</v>
      </c>
      <c r="D31" s="37" t="s">
        <v>74</v>
      </c>
      <c r="E31" s="67" t="s">
        <v>72</v>
      </c>
      <c r="F31" s="67"/>
      <c r="G31" s="67"/>
      <c r="H31" s="67"/>
      <c r="I31" s="67"/>
      <c r="J31" s="67"/>
      <c r="K31" s="37"/>
      <c r="L31" s="37"/>
    </row>
    <row r="32" customFormat="false" ht="12.75" hidden="false" customHeight="false" outlineLevel="0" collapsed="false">
      <c r="A32" s="37" t="s">
        <v>52</v>
      </c>
      <c r="B32" s="37" t="s">
        <v>53</v>
      </c>
      <c r="C32" s="37" t="s">
        <v>75</v>
      </c>
      <c r="D32" s="69" t="n">
        <f aca="false">facts!G33</f>
        <v>0.543969178903062</v>
      </c>
      <c r="E32" s="37" t="n">
        <v>0.75</v>
      </c>
      <c r="F32" s="37" t="n">
        <v>0.8</v>
      </c>
      <c r="G32" s="37" t="n">
        <v>0.85</v>
      </c>
      <c r="H32" s="37" t="n">
        <v>0.7</v>
      </c>
      <c r="I32" s="37" t="n">
        <v>0.65</v>
      </c>
      <c r="J32" s="37" t="n">
        <v>0.6</v>
      </c>
      <c r="K32" s="37"/>
      <c r="L32" s="37"/>
    </row>
    <row r="33" customFormat="false" ht="12.75" hidden="false" customHeight="false" outlineLevel="0" collapsed="false">
      <c r="A33" s="0" t="n">
        <v>1999</v>
      </c>
      <c r="B33" s="29" t="n">
        <v>2703704</v>
      </c>
      <c r="C33" s="0" t="n">
        <v>15.64</v>
      </c>
      <c r="D33" s="16" t="n">
        <f aca="false">C33*($D$32+1)</f>
        <v>24.1476779580439</v>
      </c>
      <c r="E33" s="29" t="n">
        <f aca="false">(1-E$18*$D$32)*$B33</f>
        <v>1600655.26634231</v>
      </c>
      <c r="F33" s="29" t="n">
        <f aca="false">(1-F$18*$D$32)*$B33</f>
        <v>1527118.68409846</v>
      </c>
      <c r="G33" s="29" t="n">
        <f aca="false">(1-G$18*$D$32)*$B33</f>
        <v>1453582.10185462</v>
      </c>
      <c r="H33" s="29" t="n">
        <f aca="false">(1-H$18*$D$32)*$B33</f>
        <v>1674191.84858615</v>
      </c>
      <c r="I33" s="29" t="n">
        <f aca="false">(1-I$18*$D$32)*$B33</f>
        <v>1747728.43083</v>
      </c>
      <c r="J33" s="29" t="n">
        <f aca="false">(1-J$18*$D$32)*$B33</f>
        <v>1821265.01307385</v>
      </c>
    </row>
    <row r="34" customFormat="false" ht="12.75" hidden="false" customHeight="false" outlineLevel="0" collapsed="false">
      <c r="A34" s="0" t="n">
        <v>2000</v>
      </c>
      <c r="B34" s="29" t="n">
        <v>2478395</v>
      </c>
      <c r="C34" s="0" t="n">
        <v>16.23</v>
      </c>
      <c r="D34" s="16" t="n">
        <f aca="false">C34*($D$32+1)</f>
        <v>25.0586197735967</v>
      </c>
      <c r="E34" s="29" t="n">
        <f aca="false">(1-E$18*$D$32)*$B34</f>
        <v>1467267.13013941</v>
      </c>
      <c r="F34" s="29" t="n">
        <f aca="false">(1-F$18*$D$32)*$B34</f>
        <v>1399858.60548204</v>
      </c>
      <c r="G34" s="29" t="n">
        <f aca="false">(1-G$18*$D$32)*$B34</f>
        <v>1332450.08082466</v>
      </c>
      <c r="H34" s="29" t="n">
        <f aca="false">(1-H$18*$D$32)*$B34</f>
        <v>1534675.65479678</v>
      </c>
      <c r="I34" s="29" t="n">
        <f aca="false">(1-I$18*$D$32)*$B34</f>
        <v>1602084.17945416</v>
      </c>
      <c r="J34" s="29" t="n">
        <f aca="false">(1-J$18*$D$32)*$B34</f>
        <v>1669492.70411153</v>
      </c>
    </row>
    <row r="35" customFormat="false" ht="12.75" hidden="false" customHeight="false" outlineLevel="0" collapsed="false">
      <c r="A35" s="2" t="s">
        <v>76</v>
      </c>
      <c r="B35" s="29" t="n">
        <v>2253086</v>
      </c>
      <c r="C35" s="0" t="n">
        <v>16.87</v>
      </c>
      <c r="D35" s="16" t="n">
        <f aca="false">C35*($D$32+1)</f>
        <v>26.0467600480946</v>
      </c>
      <c r="E35" s="29" t="n">
        <f aca="false">(1-E$18*$D$32)*$B35</f>
        <v>1333878.99393651</v>
      </c>
      <c r="F35" s="29" t="n">
        <f aca="false">(1-F$18*$D$32)*$B35</f>
        <v>1272598.52686561</v>
      </c>
      <c r="G35" s="29" t="n">
        <f aca="false">(1-G$18*$D$32)*$B35</f>
        <v>1211318.05979471</v>
      </c>
      <c r="H35" s="29" t="n">
        <f aca="false">(1-H$18*$D$32)*$B35</f>
        <v>1395159.46100741</v>
      </c>
      <c r="I35" s="29" t="n">
        <f aca="false">(1-I$18*$D$32)*$B35</f>
        <v>1456439.92807831</v>
      </c>
      <c r="J35" s="29" t="n">
        <f aca="false">(1-J$18*$D$32)*$B35</f>
        <v>1517720.39514921</v>
      </c>
    </row>
    <row r="36" customFormat="false" ht="12.75" hidden="false" customHeight="false" outlineLevel="0" collapsed="false">
      <c r="B36" s="29"/>
      <c r="D36" s="16"/>
      <c r="E36" s="16"/>
      <c r="F36" s="29"/>
      <c r="G36" s="29"/>
      <c r="H36" s="29"/>
      <c r="I36" s="29"/>
      <c r="J36" s="29"/>
      <c r="K36" s="29"/>
    </row>
    <row r="37" customFormat="false" ht="12.75" hidden="false" customHeight="false" outlineLevel="0" collapsed="false">
      <c r="B37" s="29"/>
      <c r="D37" s="16"/>
      <c r="E37" s="16"/>
      <c r="F37" s="29"/>
      <c r="G37" s="29"/>
      <c r="H37" s="29"/>
      <c r="I37" s="29"/>
      <c r="J37" s="29"/>
      <c r="K37" s="29"/>
    </row>
    <row r="38" customFormat="false" ht="12.75" hidden="false" customHeight="false" outlineLevel="0" collapsed="false">
      <c r="B38" s="29"/>
      <c r="D38" s="16"/>
      <c r="E38" s="16"/>
      <c r="F38" s="29"/>
      <c r="G38" s="29"/>
      <c r="H38" s="29"/>
      <c r="I38" s="29"/>
      <c r="J38" s="29"/>
      <c r="K38" s="29"/>
    </row>
    <row r="39" customFormat="false" ht="12.75" hidden="false" customHeight="false" outlineLevel="0" collapsed="false">
      <c r="E39" s="16"/>
    </row>
    <row r="40" customFormat="false" ht="12.75" hidden="false" customHeight="false" outlineLevel="0" collapsed="false">
      <c r="E40" s="16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55" t="s">
        <v>77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59"/>
      <c r="D4" s="59"/>
      <c r="E4" s="59"/>
    </row>
    <row r="5" customFormat="false" ht="12.75" hidden="false" customHeight="false" outlineLevel="0" collapsed="false">
      <c r="B5" s="0" t="n">
        <f aca="false">elasticity!B5</f>
        <v>1990</v>
      </c>
      <c r="C5" s="70" t="n">
        <f aca="false">elasticity!C5</f>
        <v>0.475</v>
      </c>
      <c r="D5" s="70" t="n">
        <f aca="false">elasticity!I5</f>
        <v>0.0165619645916619</v>
      </c>
      <c r="E5" s="70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70" t="n">
        <f aca="false">elasticity!C6</f>
        <v>0.512</v>
      </c>
      <c r="D6" s="70" t="n">
        <f aca="false">elasticity!I6</f>
        <v>-0.131395221991928</v>
      </c>
      <c r="E6" s="70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70" t="n">
        <f aca="false">elasticity!C7</f>
        <v>0.395</v>
      </c>
      <c r="D7" s="70" t="n">
        <f aca="false">elasticity!I7</f>
        <v>0.353431589215223</v>
      </c>
      <c r="E7" s="70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70" t="n">
        <f aca="false">elasticity!C8</f>
        <v>0.506</v>
      </c>
      <c r="D8" s="70" t="n">
        <f aca="false">elasticity!I8</f>
        <v>-0.025846234584099</v>
      </c>
      <c r="E8" s="70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70" t="n">
        <f aca="false">elasticity!C9</f>
        <v>0.438</v>
      </c>
      <c r="D9" s="70" t="n">
        <f aca="false">elasticity!I9</f>
        <v>0.292319091671842</v>
      </c>
      <c r="E9" s="70" t="n">
        <f aca="false">elasticity!H9</f>
        <v>-0.00931353269459367</v>
      </c>
      <c r="F9" s="61"/>
    </row>
    <row r="10" customFormat="false" ht="12.75" hidden="false" customHeight="false" outlineLevel="0" collapsed="false">
      <c r="B10" s="0" t="n">
        <f aca="false">elasticity!B10</f>
        <v>1995</v>
      </c>
      <c r="C10" s="70" t="n">
        <f aca="false">elasticity!C10</f>
        <v>0.545</v>
      </c>
      <c r="D10" s="70" t="n">
        <f aca="false">elasticity!I10</f>
        <v>-0.109350185824915</v>
      </c>
      <c r="E10" s="70" t="n">
        <f aca="false">elasticity!H10</f>
        <v>-0.103044506856007</v>
      </c>
      <c r="F10" s="61"/>
    </row>
    <row r="11" customFormat="false" ht="12.75" hidden="false" customHeight="false" outlineLevel="0" collapsed="false">
      <c r="B11" s="0" t="n">
        <f aca="false">elasticity!B11</f>
        <v>1996</v>
      </c>
      <c r="C11" s="70" t="n">
        <f aca="false">elasticity!C11</f>
        <v>0.528</v>
      </c>
      <c r="D11" s="70" t="n">
        <f aca="false">elasticity!I11</f>
        <v>0.10115648201028</v>
      </c>
      <c r="E11" s="70" t="n">
        <f aca="false">elasticity!H11</f>
        <v>0.493928524417533</v>
      </c>
      <c r="F11" s="61"/>
    </row>
    <row r="12" customFormat="false" ht="12.75" hidden="false" customHeight="false" outlineLevel="0" collapsed="false">
      <c r="C12" s="70"/>
      <c r="D12" s="70"/>
      <c r="E12" s="70"/>
    </row>
    <row r="13" customFormat="false" ht="12.75" hidden="false" customHeight="false" outlineLevel="0" collapsed="false">
      <c r="A13" s="55"/>
      <c r="B13" s="63"/>
      <c r="C13" s="55"/>
      <c r="D13" s="55"/>
      <c r="E13" s="55"/>
      <c r="F13" s="55"/>
    </row>
    <row r="14" customFormat="false" ht="12.75" hidden="false" customHeight="false" outlineLevel="0" collapsed="false">
      <c r="A14" s="55"/>
      <c r="B14" s="55"/>
      <c r="C14" s="55"/>
      <c r="D14" s="55"/>
      <c r="E14" s="55"/>
      <c r="F14" s="55"/>
    </row>
    <row r="15" customFormat="false" ht="12.75" hidden="false" customHeight="false" outlineLevel="0" collapsed="false">
      <c r="B15" s="55"/>
      <c r="C15" s="64"/>
      <c r="D15" s="30"/>
      <c r="E15" s="29"/>
      <c r="F15" s="29"/>
      <c r="G15" s="30"/>
      <c r="H15" s="30"/>
      <c r="I15" s="30"/>
      <c r="J15" s="30"/>
    </row>
    <row r="16" customFormat="false" ht="12.75" hidden="false" customHeight="false" outlineLevel="0" collapsed="false">
      <c r="B16" s="55"/>
      <c r="C16" s="64"/>
      <c r="D16" s="30"/>
      <c r="E16" s="29"/>
      <c r="F16" s="29"/>
      <c r="G16" s="30"/>
      <c r="H16" s="25"/>
      <c r="I16" s="25"/>
      <c r="J16" s="22"/>
    </row>
    <row r="17" customFormat="false" ht="12.75" hidden="false" customHeight="false" outlineLevel="0" collapsed="false">
      <c r="B17" s="55"/>
      <c r="C17" s="64"/>
      <c r="D17" s="30"/>
      <c r="E17" s="29"/>
      <c r="F17" s="71"/>
      <c r="G17" s="30"/>
      <c r="H17" s="25"/>
      <c r="I17" s="25"/>
      <c r="J17" s="22"/>
    </row>
    <row r="18" customFormat="false" ht="12.75" hidden="false" customHeight="false" outlineLevel="0" collapsed="false">
      <c r="B18" s="55"/>
      <c r="C18" s="64"/>
      <c r="D18" s="30"/>
      <c r="E18" s="29"/>
      <c r="F18" s="29"/>
      <c r="G18" s="30"/>
      <c r="H18" s="25"/>
      <c r="I18" s="25"/>
      <c r="J18" s="22"/>
    </row>
    <row r="19" customFormat="false" ht="12.75" hidden="false" customHeight="false" outlineLevel="0" collapsed="false">
      <c r="B19" s="55"/>
      <c r="C19" s="64"/>
      <c r="D19" s="30"/>
      <c r="E19" s="29"/>
      <c r="F19" s="29"/>
      <c r="G19" s="30"/>
      <c r="H19" s="25"/>
      <c r="I19" s="25"/>
      <c r="J19" s="22"/>
    </row>
    <row r="20" customFormat="false" ht="12.75" hidden="false" customHeight="false" outlineLevel="0" collapsed="false">
      <c r="B20" s="55"/>
      <c r="C20" s="64"/>
      <c r="D20" s="30"/>
      <c r="E20" s="29"/>
      <c r="F20" s="71"/>
      <c r="G20" s="30"/>
      <c r="H20" s="25"/>
      <c r="I20" s="25"/>
      <c r="J20" s="22"/>
    </row>
    <row r="21" customFormat="false" ht="12.75" hidden="false" customHeight="false" outlineLevel="0" collapsed="false">
      <c r="B21" s="55"/>
      <c r="C21" s="64"/>
      <c r="D21" s="30"/>
      <c r="E21" s="29"/>
      <c r="F21" s="71"/>
      <c r="G21" s="30"/>
      <c r="H21" s="25"/>
      <c r="I21" s="25"/>
      <c r="J21" s="22"/>
    </row>
    <row r="22" customFormat="false" ht="12.75" hidden="false" customHeight="false" outlineLevel="0" collapsed="false">
      <c r="B22" s="55"/>
      <c r="C22" s="64"/>
      <c r="D22" s="30"/>
      <c r="E22" s="29"/>
      <c r="F22" s="29"/>
      <c r="G22" s="30"/>
      <c r="H22" s="25"/>
      <c r="I22" s="25"/>
      <c r="J22" s="22"/>
    </row>
    <row r="24" customFormat="false" ht="12.75" hidden="false" customHeight="false" outlineLevel="0" collapsed="false">
      <c r="C2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2000-12-03T20:52:17Z</cp:lastPrinted>
  <dcterms:modified xsi:type="dcterms:W3CDTF">2000-12-04T03:31:34Z</dcterms:modified>
  <cp:revision>0</cp:revision>
  <dc:subject/>
  <dc:title/>
</cp:coreProperties>
</file>