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2 - 19 - '01" sheetId="1" state="visible" r:id="rId3"/>
    <sheet name="12 - 22 - '00" sheetId="2" state="visible" r:id="rId4"/>
    <sheet name="12-22-'99" sheetId="3" state="visible" r:id="rId5"/>
    <sheet name="12-31-'98" sheetId="4" state="visible" r:id="rId6"/>
    <sheet name="12-23-'97" sheetId="5" state="visible" r:id="rId7"/>
  </sheets>
  <definedNames>
    <definedName function="false" hidden="false" localSheetId="0" name="_xlnm.Print_Area" vbProcedure="false">'12 - 19 - ''01'!$A$1:$T$77</definedName>
    <definedName function="false" hidden="false" localSheetId="1" name="_xlnm.Print_Area" vbProcedure="false">'12 - 22 - ''00'!$A$1:$T$80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<sst xmlns="http://schemas.openxmlformats.org/spreadsheetml/2006/main" count="930" uniqueCount="181">
  <si>
    <t xml:space="preserve">2001/2002  FDD Information</t>
  </si>
  <si>
    <t xml:space="preserve">Today's  Date</t>
  </si>
  <si>
    <t xml:space="preserve">12/19/'01</t>
  </si>
  <si>
    <t xml:space="preserve">% of </t>
  </si>
  <si>
    <t xml:space="preserve">GIP</t>
  </si>
  <si>
    <t xml:space="preserve">Contract</t>
  </si>
  <si>
    <t xml:space="preserve">Tarriff  Required</t>
  </si>
  <si>
    <t xml:space="preserve">Customer</t>
  </si>
  <si>
    <t xml:space="preserve">Contract  #</t>
  </si>
  <si>
    <t xml:space="preserve">Quantity in MMCF</t>
  </si>
  <si>
    <t xml:space="preserve">Office</t>
  </si>
  <si>
    <t xml:space="preserve">Election</t>
  </si>
  <si>
    <t xml:space="preserve">Gas-In-Place</t>
  </si>
  <si>
    <t xml:space="preserve">4-Step</t>
  </si>
  <si>
    <t xml:space="preserve">3-Step</t>
  </si>
  <si>
    <t xml:space="preserve">IN  MMCF</t>
  </si>
  <si>
    <t xml:space="preserve">Filled</t>
  </si>
  <si>
    <r>
      <rPr>
        <b val="true"/>
        <u val="single"/>
        <sz val="10"/>
        <rFont val="Arial"/>
        <family val="2"/>
      </rPr>
      <t xml:space="preserve">% of Contract </t>
    </r>
    <r>
      <rPr>
        <b val="true"/>
        <u val="single"/>
        <sz val="10"/>
        <color rgb="FFFF0000"/>
        <rFont val="Arial"/>
        <family val="2"/>
      </rPr>
      <t xml:space="preserve">by</t>
    </r>
    <r>
      <rPr>
        <b val="true"/>
        <u val="single"/>
        <sz val="10"/>
        <rFont val="Arial"/>
        <family val="2"/>
      </rPr>
      <t xml:space="preserve"> </t>
    </r>
    <r>
      <rPr>
        <b val="true"/>
        <u val="single"/>
        <sz val="12"/>
        <color rgb="FFFF0000"/>
        <rFont val="Arial"/>
        <family val="2"/>
      </rPr>
      <t xml:space="preserve">Month End</t>
    </r>
  </si>
  <si>
    <t xml:space="preserve">IES Industries</t>
  </si>
  <si>
    <t xml:space="preserve">DM</t>
  </si>
  <si>
    <t xml:space="preserve">MUD</t>
  </si>
  <si>
    <t xml:space="preserve">Oma</t>
  </si>
  <si>
    <t xml:space="preserve">Nov.   </t>
  </si>
  <si>
    <t xml:space="preserve">No  &gt;  100%,  Nor  &lt;  51%</t>
  </si>
  <si>
    <t xml:space="preserve">LS Power/Utilcorp United Inc.</t>
  </si>
  <si>
    <t xml:space="preserve">EndUser</t>
  </si>
  <si>
    <t xml:space="preserve">Dec.</t>
  </si>
  <si>
    <t xml:space="preserve">No  &gt;  83.5%,  Nor  &lt;  33.5%</t>
  </si>
  <si>
    <t xml:space="preserve">max. month to min. month</t>
  </si>
  <si>
    <t xml:space="preserve">Cap. Rel.</t>
  </si>
  <si>
    <t xml:space="preserve">Utilicorp United Inc.</t>
  </si>
  <si>
    <t xml:space="preserve">Jan.</t>
  </si>
  <si>
    <t xml:space="preserve">No  &gt;  64.6%,  Nor  &lt;  14.4%</t>
  </si>
  <si>
    <t xml:space="preserve">Feb.</t>
  </si>
  <si>
    <t xml:space="preserve">No  &gt;  53.0%,  Nor  &lt;  3.9%</t>
  </si>
  <si>
    <t xml:space="preserve">max. to max. w/in the month</t>
  </si>
  <si>
    <t xml:space="preserve">March </t>
  </si>
  <si>
    <t xml:space="preserve">No  &gt;  16.1%,  Nor  &lt;  0%</t>
  </si>
  <si>
    <t xml:space="preserve">April</t>
  </si>
  <si>
    <t xml:space="preserve">No  &gt;  0%,  Nor  &lt;  0%</t>
  </si>
  <si>
    <t xml:space="preserve">min. month to min. month</t>
  </si>
  <si>
    <t xml:space="preserve">Great Plains Natural Gas</t>
  </si>
  <si>
    <t xml:space="preserve">Mpls</t>
  </si>
  <si>
    <r>
      <rPr>
        <b val="true"/>
        <sz val="9"/>
        <rFont val="Univers"/>
        <family val="2"/>
      </rPr>
      <t xml:space="preserve">Semco Ener</t>
    </r>
    <r>
      <rPr>
        <sz val="9"/>
        <rFont val="Univers"/>
        <family val="2"/>
      </rPr>
      <t xml:space="preserve">./Mich.Gas Company</t>
    </r>
  </si>
  <si>
    <t xml:space="preserve">Coral Energy Rwesources</t>
  </si>
  <si>
    <t xml:space="preserve">Hutchinson Util. Comm.</t>
  </si>
  <si>
    <t xml:space="preserve">Tenaska Gas Storage, LLC</t>
  </si>
  <si>
    <r>
      <rPr>
        <b val="true"/>
        <sz val="9"/>
        <rFont val="Arial"/>
        <family val="2"/>
      </rPr>
      <t xml:space="preserve">BP Canada Energy Mk</t>
    </r>
    <r>
      <rPr>
        <sz val="9"/>
        <rFont val="Arial"/>
        <family val="2"/>
      </rPr>
      <t xml:space="preserve">t/Trans Canada Energy</t>
    </r>
    <r>
      <rPr>
        <strike val="true"/>
        <sz val="9"/>
        <rFont val="Arial"/>
        <family val="2"/>
      </rPr>
      <t xml:space="preserve">/Cibola </t>
    </r>
  </si>
  <si>
    <t xml:space="preserve">1  =  GIP</t>
  </si>
  <si>
    <t xml:space="preserve">NSP-Minn.</t>
  </si>
  <si>
    <t xml:space="preserve">In Line with Jan. 31st Reqrmt's</t>
  </si>
  <si>
    <t xml:space="preserve">NSP-Wisc.</t>
  </si>
  <si>
    <r>
      <rPr>
        <b val="true"/>
        <sz val="9"/>
        <rFont val="Arial"/>
        <family val="2"/>
      </rPr>
      <t xml:space="preserve">Mirant Amer. Ener.</t>
    </r>
    <r>
      <rPr>
        <b val="true"/>
        <sz val="9"/>
        <color rgb="FF800000"/>
        <rFont val="Arial"/>
        <family val="2"/>
      </rPr>
      <t xml:space="preserve">/</t>
    </r>
    <r>
      <rPr>
        <b val="true"/>
        <sz val="8"/>
        <rFont val="Arial"/>
        <family val="2"/>
      </rPr>
      <t xml:space="preserve">Southern Company Energy</t>
    </r>
    <r>
      <rPr>
        <sz val="8"/>
        <rFont val="Arial"/>
        <family val="2"/>
      </rPr>
      <t xml:space="preserve">/</t>
    </r>
    <r>
      <rPr>
        <strike val="true"/>
        <sz val="8"/>
        <rFont val="Arial"/>
        <family val="2"/>
      </rPr>
      <t xml:space="preserve">PanAlberta </t>
    </r>
  </si>
  <si>
    <t xml:space="preserve">No  &lt;  40%</t>
  </si>
  <si>
    <r>
      <rPr>
        <b val="true"/>
        <sz val="9"/>
        <rFont val="Univers"/>
        <family val="2"/>
      </rPr>
      <t xml:space="preserve">Entergy</t>
    </r>
    <r>
      <rPr>
        <sz val="9"/>
        <rFont val="Univers"/>
        <family val="2"/>
      </rPr>
      <t xml:space="preserve">/Axia Energy, LP/</t>
    </r>
    <r>
      <rPr>
        <strike val="true"/>
        <sz val="8"/>
        <rFont val="Univers"/>
        <family val="2"/>
      </rPr>
      <t xml:space="preserve">Koch Gas Services</t>
    </r>
  </si>
  <si>
    <r>
      <rPr>
        <sz val="10"/>
        <rFont val="Arial"/>
        <family val="0"/>
      </rPr>
      <t xml:space="preserve">Williams Energy       </t>
    </r>
    <r>
      <rPr>
        <strike val="true"/>
        <sz val="9"/>
        <rFont val="Univers"/>
        <family val="2"/>
      </rPr>
      <t xml:space="preserve">(103970  ????)</t>
    </r>
  </si>
  <si>
    <t xml:space="preserve">Hou.</t>
  </si>
  <si>
    <t xml:space="preserve">No  &gt;  25%</t>
  </si>
  <si>
    <t xml:space="preserve">Duluth, City of</t>
  </si>
  <si>
    <t xml:space="preserve">U. S. Energy Services as AGENT</t>
  </si>
  <si>
    <t xml:space="preserve">Superior W/L&amp;P Co.</t>
  </si>
  <si>
    <t xml:space="preserve">Fremont Dept. of Utilities</t>
  </si>
  <si>
    <t xml:space="preserve">Midwest Natural Gas Inc.</t>
  </si>
  <si>
    <t xml:space="preserve">Wisconsin Electric Power Co.</t>
  </si>
  <si>
    <t xml:space="preserve">Osage Municipal Utilities</t>
  </si>
  <si>
    <t xml:space="preserve">Sac City, City of</t>
  </si>
  <si>
    <t xml:space="preserve">MidWest Natural Inc.</t>
  </si>
  <si>
    <t xml:space="preserve">Two Harbors, City of</t>
  </si>
  <si>
    <t xml:space="preserve">Waukee, City of</t>
  </si>
  <si>
    <t xml:space="preserve">Sheehan's Gas Co.</t>
  </si>
  <si>
    <t xml:space="preserve">Lake Park Municipal Utility</t>
  </si>
  <si>
    <t xml:space="preserve">Ponca, City of</t>
  </si>
  <si>
    <t xml:space="preserve">Sioux Center, City of</t>
  </si>
  <si>
    <t xml:space="preserve">Northwest Natural Gas</t>
  </si>
  <si>
    <t xml:space="preserve">Sabula, City of</t>
  </si>
  <si>
    <t xml:space="preserve">4  =  4-STEP</t>
  </si>
  <si>
    <t xml:space="preserve">MidAmerican Energy Co.</t>
  </si>
  <si>
    <t xml:space="preserve">Interstate Power Company</t>
  </si>
  <si>
    <t xml:space="preserve">Wisconsin P&amp;L</t>
  </si>
  <si>
    <t xml:space="preserve">NWPS Co.</t>
  </si>
  <si>
    <t xml:space="preserve">Circle Pines, City of</t>
  </si>
  <si>
    <t xml:space="preserve">Remsen, City of</t>
  </si>
  <si>
    <t xml:space="preserve">Coon Rapids Municipal Utilities</t>
  </si>
  <si>
    <t xml:space="preserve">Manning Municipal Gas</t>
  </si>
  <si>
    <t xml:space="preserve">Brooklyn Municipal Utilities</t>
  </si>
  <si>
    <t xml:space="preserve">Sanborn, City of</t>
  </si>
  <si>
    <r>
      <rPr>
        <sz val="9"/>
        <rFont val="Arial"/>
        <family val="0"/>
      </rPr>
      <t xml:space="preserve">Hartley       </t>
    </r>
    <r>
      <rPr>
        <strike val="true"/>
        <sz val="9"/>
        <rFont val="Arial"/>
        <family val="2"/>
      </rPr>
      <t xml:space="preserve">(102830  ????)</t>
    </r>
  </si>
  <si>
    <t xml:space="preserve">Manilla Municipal Gas Dept.</t>
  </si>
  <si>
    <t xml:space="preserve">Rolfe, City of</t>
  </si>
  <si>
    <t xml:space="preserve">3  =  3-STEP</t>
  </si>
  <si>
    <r>
      <rPr>
        <b val="true"/>
        <sz val="10"/>
        <rFont val="Arial"/>
        <family val="0"/>
      </rPr>
      <t xml:space="preserve">Contracts  </t>
    </r>
    <r>
      <rPr>
        <b val="true"/>
        <sz val="10"/>
        <color rgb="FFFF0000"/>
        <rFont val="Arial"/>
        <family val="2"/>
      </rPr>
      <t xml:space="preserve">(active)</t>
    </r>
  </si>
  <si>
    <t xml:space="preserve">Filled Season ToDate</t>
  </si>
  <si>
    <t xml:space="preserve">Balance ReMaining</t>
  </si>
  <si>
    <t xml:space="preserve">2000/2001  FDD Information</t>
  </si>
  <si>
    <t xml:space="preserve">12/22/'00</t>
  </si>
  <si>
    <t xml:space="preserve">No  &gt;  100%,  Nor  &lt;  74%</t>
  </si>
  <si>
    <r>
      <rPr>
        <b val="true"/>
        <strike val="true"/>
        <sz val="10"/>
        <color rgb="FF800000"/>
        <rFont val="Arial"/>
        <family val="2"/>
      </rPr>
      <t xml:space="preserve">Trans Canada Energy/</t>
    </r>
    <r>
      <rPr>
        <strike val="true"/>
        <sz val="10"/>
        <rFont val="Arial"/>
        <family val="2"/>
      </rPr>
      <t xml:space="preserve">Cibola </t>
    </r>
  </si>
  <si>
    <t xml:space="preserve">For Inf. Only</t>
  </si>
  <si>
    <t xml:space="preserve">Koch Gas Services</t>
  </si>
  <si>
    <t xml:space="preserve">LS Power</t>
  </si>
  <si>
    <r>
      <rPr>
        <b val="true"/>
        <sz val="10"/>
        <rFont val="Univers"/>
        <family val="0"/>
      </rPr>
      <t xml:space="preserve">Semco Ener.</t>
    </r>
    <r>
      <rPr>
        <sz val="10"/>
        <rFont val="Univers"/>
        <family val="0"/>
      </rPr>
      <t xml:space="preserve">/Mich.Gas Company</t>
    </r>
  </si>
  <si>
    <r>
      <rPr>
        <b val="true"/>
        <sz val="10"/>
        <rFont val="Arial"/>
        <family val="2"/>
      </rPr>
      <t xml:space="preserve">U. S. Energy</t>
    </r>
    <r>
      <rPr>
        <sz val="10"/>
        <rFont val="Arial"/>
        <family val="0"/>
      </rPr>
      <t xml:space="preserve">/LS Power</t>
    </r>
  </si>
  <si>
    <t xml:space="preserve">NSP-Mn</t>
  </si>
  <si>
    <r>
      <rPr>
        <b val="true"/>
        <sz val="10"/>
        <color rgb="FF800000"/>
        <rFont val="Arial"/>
        <family val="2"/>
      </rPr>
      <t xml:space="preserve">Southern Company Energy</t>
    </r>
    <r>
      <rPr>
        <sz val="10"/>
        <rFont val="Arial"/>
        <family val="0"/>
      </rPr>
      <t xml:space="preserve">/</t>
    </r>
    <r>
      <rPr>
        <strike val="true"/>
        <sz val="10"/>
        <rFont val="Arial"/>
        <family val="2"/>
      </rPr>
      <t xml:space="preserve">PanAlberta </t>
    </r>
  </si>
  <si>
    <t xml:space="preserve">NSP-Wi</t>
  </si>
  <si>
    <r>
      <rPr>
        <sz val="10"/>
        <rFont val="Arial"/>
        <family val="0"/>
      </rPr>
      <t xml:space="preserve">Williams Energy       </t>
    </r>
    <r>
      <rPr>
        <strike val="true"/>
        <sz val="10"/>
        <rFont val="Univers"/>
        <family val="2"/>
      </rPr>
      <t xml:space="preserve">(103970  ????)</t>
    </r>
  </si>
  <si>
    <r>
      <rPr>
        <b val="true"/>
        <strike val="true"/>
        <sz val="10"/>
        <color rgb="FF800000"/>
        <rFont val="Univers"/>
        <family val="2"/>
      </rPr>
      <t xml:space="preserve">NSP MINN</t>
    </r>
    <r>
      <rPr>
        <strike val="true"/>
        <sz val="10"/>
        <rFont val="Univers"/>
        <family val="2"/>
      </rPr>
      <t xml:space="preserve">/Western Gas Utilities</t>
    </r>
  </si>
  <si>
    <t xml:space="preserve">NiGas      (Terminated in 1998)</t>
  </si>
  <si>
    <r>
      <rPr>
        <sz val="10"/>
        <rFont val="Arial"/>
        <family val="0"/>
      </rPr>
      <t xml:space="preserve">NWPS Co,/</t>
    </r>
    <r>
      <rPr>
        <strike val="true"/>
        <sz val="10"/>
        <rFont val="Arial"/>
        <family val="2"/>
      </rPr>
      <t xml:space="preserve">NW Energy Corp.</t>
    </r>
  </si>
  <si>
    <r>
      <rPr>
        <sz val="10"/>
        <rFont val="Arial"/>
        <family val="0"/>
      </rPr>
      <t xml:space="preserve">Hartley       </t>
    </r>
    <r>
      <rPr>
        <strike val="true"/>
        <sz val="10"/>
        <rFont val="Arial"/>
        <family val="2"/>
      </rPr>
      <t xml:space="preserve">(102830  ????)</t>
    </r>
  </si>
  <si>
    <t xml:space="preserve">less</t>
  </si>
  <si>
    <t xml:space="preserve">Filled as of 10/31/'00</t>
  </si>
  <si>
    <t xml:space="preserve">Month todate</t>
  </si>
  <si>
    <t xml:space="preserve">12-31-1999 FDD Stats.</t>
  </si>
  <si>
    <t xml:space="preserve">32% CTN</t>
  </si>
  <si>
    <t xml:space="preserve">W/D Month ToDate</t>
  </si>
  <si>
    <t xml:space="preserve">9.1% WTN</t>
  </si>
  <si>
    <t xml:space="preserve">W/D Season ToDate</t>
  </si>
  <si>
    <t xml:space="preserve">NOTE:</t>
  </si>
  <si>
    <r>
      <rPr>
        <b val="true"/>
        <sz val="10"/>
        <color rgb="FF800000"/>
        <rFont val="Arial"/>
        <family val="0"/>
      </rPr>
      <t xml:space="preserve">Items  with an  </t>
    </r>
    <r>
      <rPr>
        <b val="true"/>
        <sz val="14"/>
        <color rgb="FF800000"/>
        <rFont val="Arial"/>
        <family val="0"/>
      </rPr>
      <t xml:space="preserve">*</t>
    </r>
    <r>
      <rPr>
        <b val="true"/>
        <sz val="10"/>
        <color rgb="FF800000"/>
        <rFont val="Arial"/>
        <family val="0"/>
      </rPr>
      <t xml:space="preserve">  should be reviewed by the</t>
    </r>
  </si>
  <si>
    <t xml:space="preserve">Remained on 12/31/'99</t>
  </si>
  <si>
    <t xml:space="preserve">appropriate Marketing and/or Market Serv. Rep. </t>
  </si>
  <si>
    <t xml:space="preserve">1999/2000  FDD Information</t>
  </si>
  <si>
    <t xml:space="preserve">12/22/'99</t>
  </si>
  <si>
    <t xml:space="preserve">% of Contract by Month End</t>
  </si>
  <si>
    <t xml:space="preserve">Semco Ener./Mich.Gas Company</t>
  </si>
  <si>
    <t xml:space="preserve">PanAlberta  -                     DMark</t>
  </si>
  <si>
    <t xml:space="preserve">Cibola -                              DMark</t>
  </si>
  <si>
    <t xml:space="preserve">Austin Utilities</t>
  </si>
  <si>
    <t xml:space="preserve">Williams Energy       (103970  ????)</t>
  </si>
  <si>
    <t xml:space="preserve">Super. W/L&amp;P Co.  (114 mm comb.)</t>
  </si>
  <si>
    <t xml:space="preserve">Western Gas Utilities</t>
  </si>
  <si>
    <t xml:space="preserve">Cibola -                             Ogden</t>
  </si>
  <si>
    <t xml:space="preserve">NW Energy Corp.</t>
  </si>
  <si>
    <t xml:space="preserve">Hartley       (102830  ????)</t>
  </si>
  <si>
    <t xml:space="preserve">Contracts  (active)</t>
  </si>
  <si>
    <t xml:space="preserve">Filled as of 10/31/'99</t>
  </si>
  <si>
    <t xml:space="preserve">12-31-1998 FDD Stats.</t>
  </si>
  <si>
    <t xml:space="preserve">10% WTN</t>
  </si>
  <si>
    <t xml:space="preserve">8.7% WTN</t>
  </si>
  <si>
    <t xml:space="preserve">Items  with an  *  should be reviewed by the</t>
  </si>
  <si>
    <t xml:space="preserve">Remained on 12/31/'98</t>
  </si>
  <si>
    <t xml:space="preserve">12/31/'98</t>
  </si>
  <si>
    <t xml:space="preserve">*</t>
  </si>
  <si>
    <t xml:space="preserve">On 12/8/'98, between</t>
  </si>
  <si>
    <t xml:space="preserve">Kimball</t>
  </si>
  <si>
    <t xml:space="preserve">Hou</t>
  </si>
  <si>
    <t xml:space="preserve">Cedar Falls Utilities</t>
  </si>
  <si>
    <t xml:space="preserve">Owatonna Public Utility</t>
  </si>
  <si>
    <t xml:space="preserve">Farmland Industries    (102815 Term.)</t>
  </si>
  <si>
    <t xml:space="preserve">St Croix Valley Natural Gas</t>
  </si>
  <si>
    <t xml:space="preserve">NSP/Natural Gas, Inc.</t>
  </si>
  <si>
    <t xml:space="preserve">Combined w/ NSP Wisc.</t>
  </si>
  <si>
    <t xml:space="preserve">Neb. Pub. Gas Agency  (102942  ????)</t>
  </si>
  <si>
    <t xml:space="preserve">Wisconsin Gas Co.</t>
  </si>
  <si>
    <t xml:space="preserve">Producers Energy</t>
  </si>
  <si>
    <t xml:space="preserve">Aquila Energy</t>
  </si>
  <si>
    <t xml:space="preserve">Twister</t>
  </si>
  <si>
    <t xml:space="preserve">Hutchinson Utility Commission</t>
  </si>
  <si>
    <t xml:space="preserve">Ag Processing</t>
  </si>
  <si>
    <t xml:space="preserve">Hibbing Public Utilities Commission</t>
  </si>
  <si>
    <t xml:space="preserve">Filled as of 10/31/'98</t>
  </si>
  <si>
    <t xml:space="preserve">12-31-1997 FDD Stats.</t>
  </si>
  <si>
    <t xml:space="preserve">Remained on 11/30/'98</t>
  </si>
  <si>
    <t xml:space="preserve">1997/1998 Heating Season FDD Information</t>
  </si>
  <si>
    <t xml:space="preserve">12/23/'97</t>
  </si>
  <si>
    <t xml:space="preserve">Remaining</t>
  </si>
  <si>
    <t xml:space="preserve">Cibola -   (1200 became 1500)   DMark</t>
  </si>
  <si>
    <t xml:space="preserve">Mich.Gas Company/Semco Ener.</t>
  </si>
  <si>
    <t xml:space="preserve">Farmland Industries</t>
  </si>
  <si>
    <t xml:space="preserve">Natural Gas, Inc.</t>
  </si>
  <si>
    <t xml:space="preserve">?????</t>
  </si>
  <si>
    <t xml:space="preserve">Neb. Pub. Gas Agency</t>
  </si>
  <si>
    <t xml:space="preserve">NiGas</t>
  </si>
  <si>
    <t xml:space="preserve">Hartley</t>
  </si>
  <si>
    <t xml:space="preserve">Contracts</t>
  </si>
  <si>
    <t xml:space="preserve">Filled as of 10/31/'97</t>
  </si>
  <si>
    <t xml:space="preserve">12-31-1996 FDD Stats.</t>
  </si>
  <si>
    <t xml:space="preserve">Items  with an  *  should be reviewed by the appropriate </t>
  </si>
  <si>
    <t xml:space="preserve">Marketing and/or Market Services Rep. </t>
  </si>
  <si>
    <t xml:space="preserve">Remained on 12/31/'96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</si>
</sst>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#,##0.000_);\(#,##0.000\)"/>
    <numFmt numFmtId="166" formatCode="#,##0.000_);[RED]\(#,##0.000\)"/>
    <numFmt numFmtId="167" formatCode="0.000"/>
    <numFmt numFmtId="168" formatCode="[$-409]#,##0_);[RED]\(#,##0\)"/>
    <numFmt numFmtId="169" formatCode="0%"/>
    <numFmt numFmtId="170" formatCode="0.00%"/>
    <numFmt numFmtId="171" formatCode="0.000%"/>
    <numFmt numFmtId="172" formatCode="0.00"/>
    <numFmt numFmtId="173" formatCode="\$#,##0_);[RED]&quot;($&quot;#,##0\)"/>
    <numFmt numFmtId="174" formatCode="0.0"/>
    <numFmt numFmtId="175" formatCode="0"/>
    <numFmt numFmtId="176" formatCode="\$#,##0.00_);[RED]&quot;($&quot;#,##0.00\)"/>
    <numFmt numFmtId="177" formatCode="#,##0.000"/>
    <numFmt numFmtId="178" formatCode="0.0%"/>
    <numFmt numFmtId="179" formatCode="0.000_);[RED]\(0.000\)"/>
    <numFmt numFmtId="180" formatCode="#,##0"/>
    <numFmt numFmtId="181" formatCode="0_);[RED]\(0\)"/>
    <numFmt numFmtId="182" formatCode="[$-409]#,##0_);\(#,##0\)"/>
  </numFmts>
  <fonts count="1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0"/>
      <name val="MS Sans Serif"/>
      <family val="0"/>
    </font>
    <font>
      <b val="true"/>
      <sz val="10"/>
      <name val="Arial"/>
      <family val="0"/>
    </font>
    <font>
      <b val="true"/>
      <u val="single"/>
      <sz val="10"/>
      <name val="Arial"/>
      <family val="0"/>
    </font>
    <font>
      <b val="true"/>
      <u val="single"/>
      <sz val="9"/>
      <name val="Univers"/>
      <family val="2"/>
    </font>
    <font>
      <b val="true"/>
      <u val="single"/>
      <sz val="10"/>
      <name val="MS Sans Serif"/>
      <family val="2"/>
    </font>
    <font>
      <b val="true"/>
      <u val="single"/>
      <sz val="10"/>
      <name val="Arial"/>
      <family val="2"/>
    </font>
    <font>
      <b val="true"/>
      <u val="single"/>
      <sz val="10"/>
      <color rgb="FFFF0000"/>
      <name val="Arial"/>
      <family val="2"/>
    </font>
    <font>
      <b val="true"/>
      <u val="single"/>
      <sz val="12"/>
      <color rgb="FFFF0000"/>
      <name val="Arial"/>
      <family val="2"/>
    </font>
    <font>
      <sz val="9"/>
      <name val="Univers"/>
      <family val="0"/>
    </font>
    <font>
      <sz val="9"/>
      <name val="Univers"/>
      <family val="2"/>
    </font>
    <font>
      <sz val="9"/>
      <name val="Arial"/>
      <family val="2"/>
    </font>
    <font>
      <b val="true"/>
      <sz val="9"/>
      <color rgb="FF800000"/>
      <name val="Univers"/>
      <family val="2"/>
    </font>
    <font>
      <b val="true"/>
      <sz val="10"/>
      <color rgb="FF0000FF"/>
      <name val="Arial"/>
      <family val="0"/>
    </font>
    <font>
      <sz val="10"/>
      <color rgb="FF800000"/>
      <name val="Univers"/>
      <family val="2"/>
    </font>
    <font>
      <sz val="9"/>
      <name val="Arial"/>
      <family val="0"/>
    </font>
    <font>
      <b val="true"/>
      <sz val="10"/>
      <color rgb="FF800000"/>
      <name val="Univers"/>
      <family val="2"/>
    </font>
    <font>
      <b val="true"/>
      <sz val="9"/>
      <color rgb="FF800000"/>
      <name val="Arial"/>
      <family val="2"/>
    </font>
    <font>
      <b val="true"/>
      <sz val="16"/>
      <name val="Arial"/>
      <family val="0"/>
    </font>
    <font>
      <b val="true"/>
      <sz val="10"/>
      <color rgb="FF0000FF"/>
      <name val="Arial"/>
      <family val="2"/>
    </font>
    <font>
      <sz val="18"/>
      <color rgb="FFFF0000"/>
      <name val="Univers"/>
      <family val="2"/>
    </font>
    <font>
      <sz val="9"/>
      <name val="Arial Rounded MT Bold"/>
      <family val="0"/>
    </font>
    <font>
      <b val="true"/>
      <sz val="9"/>
      <name val="Univers"/>
      <family val="2"/>
    </font>
    <font>
      <b val="true"/>
      <sz val="10"/>
      <name val="Arial"/>
      <family val="2"/>
    </font>
    <font>
      <b val="true"/>
      <sz val="9"/>
      <color rgb="FF0000FF"/>
      <name val="Univers"/>
      <family val="2"/>
    </font>
    <font>
      <sz val="9"/>
      <color rgb="FF800000"/>
      <name val="Arial"/>
      <family val="2"/>
    </font>
    <font>
      <b val="true"/>
      <sz val="10"/>
      <color rgb="FFFF0000"/>
      <name val="Arial"/>
      <family val="2"/>
    </font>
    <font>
      <b val="true"/>
      <sz val="9"/>
      <name val="Arial"/>
      <family val="2"/>
    </font>
    <font>
      <strike val="true"/>
      <sz val="9"/>
      <name val="Arial"/>
      <family val="2"/>
    </font>
    <font>
      <strike val="true"/>
      <sz val="9"/>
      <name val="Univers"/>
      <family val="2"/>
    </font>
    <font>
      <strike val="true"/>
      <sz val="9"/>
      <name val="Univers"/>
      <family val="0"/>
    </font>
    <font>
      <b val="true"/>
      <sz val="10"/>
      <color rgb="FF80000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strike val="true"/>
      <sz val="8"/>
      <name val="Arial"/>
      <family val="2"/>
    </font>
    <font>
      <b val="true"/>
      <sz val="9"/>
      <color rgb="FF0000FF"/>
      <name val="Arial"/>
      <family val="2"/>
    </font>
    <font>
      <strike val="true"/>
      <sz val="8"/>
      <name val="Univers"/>
      <family val="2"/>
    </font>
    <font>
      <sz val="9"/>
      <color rgb="FF000000"/>
      <name val="Arial"/>
      <family val="2"/>
    </font>
    <font>
      <b val="true"/>
      <sz val="10"/>
      <color rgb="FF008000"/>
      <name val="Arial"/>
      <family val="2"/>
    </font>
    <font>
      <b val="true"/>
      <sz val="9"/>
      <color rgb="FF008000"/>
      <name val="Univers"/>
      <family val="0"/>
    </font>
    <font>
      <b val="true"/>
      <sz val="9"/>
      <color rgb="FF008000"/>
      <name val="Univers"/>
      <family val="2"/>
    </font>
    <font>
      <b val="true"/>
      <sz val="10"/>
      <color rgb="FF008000"/>
      <name val="Arial"/>
      <family val="0"/>
    </font>
    <font>
      <b val="true"/>
      <strike val="true"/>
      <sz val="10"/>
      <color rgb="FF008000"/>
      <name val="Arial"/>
      <family val="0"/>
    </font>
    <font>
      <strike val="true"/>
      <sz val="9"/>
      <color rgb="FF008000"/>
      <name val="Univers"/>
      <family val="0"/>
    </font>
    <font>
      <strike val="true"/>
      <sz val="9"/>
      <color rgb="FF008000"/>
      <name val="Univers"/>
      <family val="2"/>
    </font>
    <font>
      <strike val="true"/>
      <sz val="9"/>
      <color rgb="FF008000"/>
      <name val="Arial"/>
      <family val="2"/>
    </font>
    <font>
      <strike val="true"/>
      <sz val="9"/>
      <color rgb="FF008000"/>
      <name val="Arial"/>
      <family val="0"/>
    </font>
    <font>
      <b val="true"/>
      <sz val="9"/>
      <color rgb="FFFF0000"/>
      <name val="Univers"/>
      <family val="2"/>
    </font>
    <font>
      <strike val="true"/>
      <sz val="9"/>
      <color rgb="FF008000"/>
      <name val="Arial Rounded MT Bold"/>
      <family val="0"/>
    </font>
    <font>
      <sz val="9"/>
      <color rgb="FF000000"/>
      <name val="Univers"/>
      <family val="2"/>
    </font>
    <font>
      <b val="true"/>
      <sz val="9"/>
      <color rgb="FF0000FF"/>
      <name val="Arial"/>
      <family val="0"/>
    </font>
    <font>
      <b val="true"/>
      <sz val="9"/>
      <color rgb="FF0000FF"/>
      <name val="Univers"/>
      <family val="0"/>
    </font>
    <font>
      <u val="single"/>
      <sz val="10"/>
      <name val="Arial"/>
      <family val="2"/>
    </font>
    <font>
      <b val="true"/>
      <sz val="9"/>
      <name val="Univers"/>
      <family val="0"/>
    </font>
    <font>
      <sz val="10"/>
      <name val="Univers"/>
      <family val="0"/>
    </font>
    <font>
      <b val="true"/>
      <sz val="10"/>
      <name val="Univers"/>
      <family val="2"/>
    </font>
    <font>
      <b val="true"/>
      <sz val="10"/>
      <name val="Univers"/>
      <family val="0"/>
    </font>
    <font>
      <b val="true"/>
      <strike val="true"/>
      <sz val="10"/>
      <color rgb="FF800000"/>
      <name val="Arial"/>
      <family val="2"/>
    </font>
    <font>
      <strike val="true"/>
      <sz val="10"/>
      <name val="Arial"/>
      <family val="2"/>
    </font>
    <font>
      <b val="true"/>
      <strike val="true"/>
      <sz val="9"/>
      <color rgb="FF800000"/>
      <name val="Univers"/>
      <family val="0"/>
    </font>
    <font>
      <b val="true"/>
      <strike val="true"/>
      <sz val="9"/>
      <color rgb="FF800000"/>
      <name val="Arial"/>
      <family val="2"/>
    </font>
    <font>
      <b val="true"/>
      <strike val="true"/>
      <sz val="10"/>
      <name val="Arial"/>
      <family val="0"/>
    </font>
    <font>
      <b val="true"/>
      <strike val="true"/>
      <sz val="10"/>
      <color rgb="FF993366"/>
      <name val="Univers"/>
      <family val="2"/>
    </font>
    <font>
      <b val="true"/>
      <strike val="true"/>
      <sz val="9"/>
      <color rgb="FF800000"/>
      <name val="Univers"/>
      <family val="2"/>
    </font>
    <font>
      <b val="true"/>
      <strike val="true"/>
      <sz val="10"/>
      <name val="Univers"/>
      <family val="0"/>
    </font>
    <font>
      <strike val="true"/>
      <sz val="9"/>
      <name val="Arial"/>
      <family val="0"/>
    </font>
    <font>
      <b val="true"/>
      <sz val="10"/>
      <name val="Arial Rounded MT Bold"/>
      <family val="0"/>
    </font>
    <font>
      <strike val="true"/>
      <sz val="10"/>
      <name val="Univers"/>
      <family val="2"/>
    </font>
    <font>
      <b val="true"/>
      <sz val="10"/>
      <color rgb="FF008000"/>
      <name val="Univers"/>
      <family val="0"/>
    </font>
    <font>
      <sz val="9"/>
      <color rgb="FF008000"/>
      <name val="Univers"/>
      <family val="0"/>
    </font>
    <font>
      <b val="true"/>
      <sz val="10"/>
      <color rgb="FF008000"/>
      <name val="Univers"/>
      <family val="2"/>
    </font>
    <font>
      <strike val="true"/>
      <sz val="10"/>
      <color rgb="FF008000"/>
      <name val="Univers"/>
      <family val="0"/>
    </font>
    <font>
      <b val="true"/>
      <strike val="true"/>
      <sz val="10"/>
      <color rgb="FF008000"/>
      <name val="Univers"/>
      <family val="2"/>
    </font>
    <font>
      <b val="true"/>
      <strike val="true"/>
      <sz val="10"/>
      <color rgb="FF008000"/>
      <name val="Univers"/>
      <family val="0"/>
    </font>
    <font>
      <strike val="true"/>
      <sz val="10"/>
      <color rgb="FF008000"/>
      <name val="Univers"/>
      <family val="2"/>
    </font>
    <font>
      <b val="true"/>
      <strike val="true"/>
      <sz val="10"/>
      <name val="Arial"/>
      <family val="2"/>
    </font>
    <font>
      <b val="true"/>
      <strike val="true"/>
      <sz val="10"/>
      <color rgb="FF800000"/>
      <name val="Univers"/>
      <family val="2"/>
    </font>
    <font>
      <b val="true"/>
      <strike val="true"/>
      <sz val="10"/>
      <name val="Univers"/>
      <family val="2"/>
    </font>
    <font>
      <b val="true"/>
      <strike val="true"/>
      <sz val="10"/>
      <color rgb="FF008000"/>
      <name val="Arial Rounded MT Bold"/>
      <family val="0"/>
    </font>
    <font>
      <b val="true"/>
      <strike val="true"/>
      <sz val="10"/>
      <color rgb="FF000080"/>
      <name val="Arial"/>
      <family val="0"/>
    </font>
    <font>
      <strike val="true"/>
      <sz val="10"/>
      <color rgb="FF000080"/>
      <name val="Univers"/>
      <family val="0"/>
    </font>
    <font>
      <strike val="true"/>
      <sz val="9"/>
      <color rgb="FF000080"/>
      <name val="Univers"/>
      <family val="0"/>
    </font>
    <font>
      <b val="true"/>
      <strike val="true"/>
      <sz val="10"/>
      <color rgb="FF000080"/>
      <name val="Univers"/>
      <family val="2"/>
    </font>
    <font>
      <strike val="true"/>
      <sz val="9"/>
      <color rgb="FF000080"/>
      <name val="Arial"/>
      <family val="0"/>
    </font>
    <font>
      <strike val="true"/>
      <sz val="10"/>
      <name val="Univers"/>
      <family val="0"/>
    </font>
    <font>
      <strike val="true"/>
      <sz val="10"/>
      <name val="Arial"/>
      <family val="0"/>
    </font>
    <font>
      <b val="true"/>
      <sz val="10"/>
      <color rgb="FF000080"/>
      <name val="Arial"/>
      <family val="2"/>
    </font>
    <font>
      <sz val="10"/>
      <name val="Arial"/>
      <family val="2"/>
    </font>
    <font>
      <b val="true"/>
      <sz val="10"/>
      <color rgb="FF800000"/>
      <name val="Arial"/>
      <family val="0"/>
    </font>
    <font>
      <b val="true"/>
      <sz val="14"/>
      <color rgb="FF800000"/>
      <name val="Arial"/>
      <family val="0"/>
    </font>
    <font>
      <sz val="9"/>
      <color rgb="FF800000"/>
      <name val="Univers"/>
      <family val="0"/>
    </font>
    <font>
      <b val="true"/>
      <sz val="8"/>
      <name val="Arial"/>
      <family val="0"/>
    </font>
    <font>
      <b val="true"/>
      <sz val="9"/>
      <name val="Arial"/>
      <family val="0"/>
    </font>
    <font>
      <sz val="9"/>
      <color rgb="FF008000"/>
      <name val="Univers"/>
      <family val="2"/>
    </font>
    <font>
      <strike val="true"/>
      <sz val="9"/>
      <color rgb="FF000080"/>
      <name val="Univers"/>
      <family val="2"/>
    </font>
    <font>
      <strike val="true"/>
      <sz val="9"/>
      <color rgb="FF000080"/>
      <name val="Arial"/>
      <family val="2"/>
    </font>
    <font>
      <b val="true"/>
      <strike val="true"/>
      <sz val="10"/>
      <color rgb="FF000080"/>
      <name val="Arial"/>
      <family val="2"/>
    </font>
    <font>
      <b val="true"/>
      <sz val="12"/>
      <color rgb="FFFF0000"/>
      <name val="Univers"/>
      <family val="2"/>
    </font>
    <font>
      <sz val="14"/>
      <color rgb="FFFF0000"/>
      <name val="Univers"/>
      <family val="2"/>
    </font>
    <font>
      <b val="true"/>
      <strike val="true"/>
      <sz val="10"/>
      <color rgb="FFFF0000"/>
      <name val="Arial"/>
      <family val="0"/>
    </font>
    <font>
      <b val="true"/>
      <strike val="true"/>
      <sz val="10"/>
      <color rgb="FFFF0000"/>
      <name val="Arial"/>
      <family val="2"/>
    </font>
    <font>
      <sz val="9"/>
      <color rgb="FF0000FF"/>
      <name val="Univers"/>
      <family val="2"/>
    </font>
    <font>
      <sz val="10"/>
      <color rgb="FFFF0000"/>
      <name val="Arial"/>
      <family val="2"/>
    </font>
    <font>
      <b val="true"/>
      <sz val="10"/>
      <color rgb="FFFF0000"/>
      <name val="Univers"/>
      <family val="0"/>
    </font>
    <font>
      <sz val="12"/>
      <color rgb="FFFF0000"/>
      <name val="Univers"/>
      <family val="2"/>
    </font>
    <font>
      <b val="true"/>
      <sz val="14"/>
      <color rgb="FF800000"/>
      <name val="Arial"/>
      <family val="2"/>
    </font>
    <font>
      <sz val="10"/>
      <color rgb="FF800000"/>
      <name val="Arial"/>
      <family val="0"/>
    </font>
    <font>
      <b val="true"/>
      <strike val="true"/>
      <sz val="10"/>
      <color rgb="FF008000"/>
      <name val="Arial"/>
      <family val="2"/>
    </font>
    <font>
      <strike val="true"/>
      <sz val="10"/>
      <color rgb="FF008000"/>
      <name val="Arial"/>
      <family val="0"/>
    </font>
    <font>
      <sz val="14"/>
      <color rgb="FF800000"/>
      <name val="Arial"/>
      <family val="2"/>
    </font>
    <font>
      <strike val="true"/>
      <sz val="10"/>
      <color rgb="FF008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3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5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1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7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7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1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1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5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5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5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6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7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8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6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7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2" fillId="7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33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7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2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3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25" fillId="7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2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33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8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9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8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03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3" fontId="104" fillId="4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0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2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8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8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1" fillId="4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0" fontId="1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1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0" fontId="11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7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289080</xdr:colOff>
      <xdr:row>57</xdr:row>
      <xdr:rowOff>-360</xdr:rowOff>
    </xdr:from>
    <xdr:to>
      <xdr:col>14</xdr:col>
      <xdr:colOff>289800</xdr:colOff>
      <xdr:row>64</xdr:row>
      <xdr:rowOff>75600</xdr:rowOff>
    </xdr:to>
    <xdr:sp>
      <xdr:nvSpPr>
        <xdr:cNvPr id="0" name="Line 1"/>
        <xdr:cNvSpPr/>
      </xdr:nvSpPr>
      <xdr:spPr>
        <a:xfrm flipV="1">
          <a:off x="12904560" y="9362880"/>
          <a:ext cx="720" cy="120924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49</xdr:row>
      <xdr:rowOff>86040</xdr:rowOff>
    </xdr:from>
    <xdr:to>
      <xdr:col>14</xdr:col>
      <xdr:colOff>279720</xdr:colOff>
      <xdr:row>49</xdr:row>
      <xdr:rowOff>86040</xdr:rowOff>
    </xdr:to>
    <xdr:sp>
      <xdr:nvSpPr>
        <xdr:cNvPr id="1" name="Line 2"/>
        <xdr:cNvSpPr/>
      </xdr:nvSpPr>
      <xdr:spPr>
        <a:xfrm>
          <a:off x="12615480" y="8153640"/>
          <a:ext cx="279720" cy="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26</xdr:row>
      <xdr:rowOff>105120</xdr:rowOff>
    </xdr:from>
    <xdr:to>
      <xdr:col>14</xdr:col>
      <xdr:colOff>249840</xdr:colOff>
      <xdr:row>26</xdr:row>
      <xdr:rowOff>105120</xdr:rowOff>
    </xdr:to>
    <xdr:sp>
      <xdr:nvSpPr>
        <xdr:cNvPr id="2" name="Line 3"/>
        <xdr:cNvSpPr/>
      </xdr:nvSpPr>
      <xdr:spPr>
        <a:xfrm>
          <a:off x="12615480" y="4448520"/>
          <a:ext cx="249840" cy="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269280</xdr:colOff>
      <xdr:row>17</xdr:row>
      <xdr:rowOff>105120</xdr:rowOff>
    </xdr:from>
    <xdr:to>
      <xdr:col>14</xdr:col>
      <xdr:colOff>559080</xdr:colOff>
      <xdr:row>17</xdr:row>
      <xdr:rowOff>105120</xdr:rowOff>
    </xdr:to>
    <xdr:sp>
      <xdr:nvSpPr>
        <xdr:cNvPr id="3" name="Line 4"/>
        <xdr:cNvSpPr/>
      </xdr:nvSpPr>
      <xdr:spPr>
        <a:xfrm>
          <a:off x="12884760" y="2991240"/>
          <a:ext cx="289800" cy="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279360</xdr:colOff>
      <xdr:row>10</xdr:row>
      <xdr:rowOff>105120</xdr:rowOff>
    </xdr:from>
    <xdr:to>
      <xdr:col>14</xdr:col>
      <xdr:colOff>588960</xdr:colOff>
      <xdr:row>10</xdr:row>
      <xdr:rowOff>105120</xdr:rowOff>
    </xdr:to>
    <xdr:sp>
      <xdr:nvSpPr>
        <xdr:cNvPr id="4" name="Line 5"/>
        <xdr:cNvSpPr/>
      </xdr:nvSpPr>
      <xdr:spPr>
        <a:xfrm>
          <a:off x="12894840" y="1857600"/>
          <a:ext cx="309600" cy="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269280</xdr:colOff>
      <xdr:row>29</xdr:row>
      <xdr:rowOff>47520</xdr:rowOff>
    </xdr:from>
    <xdr:to>
      <xdr:col>14</xdr:col>
      <xdr:colOff>270000</xdr:colOff>
      <xdr:row>50</xdr:row>
      <xdr:rowOff>47520</xdr:rowOff>
    </xdr:to>
    <xdr:sp>
      <xdr:nvSpPr>
        <xdr:cNvPr id="5" name="Line 6"/>
        <xdr:cNvSpPr/>
      </xdr:nvSpPr>
      <xdr:spPr>
        <a:xfrm flipH="1" flipV="1">
          <a:off x="12884760" y="4876560"/>
          <a:ext cx="720" cy="340056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49</xdr:row>
      <xdr:rowOff>86040</xdr:rowOff>
    </xdr:from>
    <xdr:to>
      <xdr:col>14</xdr:col>
      <xdr:colOff>279720</xdr:colOff>
      <xdr:row>49</xdr:row>
      <xdr:rowOff>86040</xdr:rowOff>
    </xdr:to>
    <xdr:sp>
      <xdr:nvSpPr>
        <xdr:cNvPr id="6" name="Line 7"/>
        <xdr:cNvSpPr/>
      </xdr:nvSpPr>
      <xdr:spPr>
        <a:xfrm>
          <a:off x="12615480" y="8153640"/>
          <a:ext cx="279720" cy="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29880</xdr:colOff>
      <xdr:row>8</xdr:row>
      <xdr:rowOff>86040</xdr:rowOff>
    </xdr:from>
    <xdr:to>
      <xdr:col>14</xdr:col>
      <xdr:colOff>219960</xdr:colOff>
      <xdr:row>8</xdr:row>
      <xdr:rowOff>86040</xdr:rowOff>
    </xdr:to>
    <xdr:sp>
      <xdr:nvSpPr>
        <xdr:cNvPr id="7" name="Line 8"/>
        <xdr:cNvSpPr/>
      </xdr:nvSpPr>
      <xdr:spPr>
        <a:xfrm>
          <a:off x="12645360" y="1514880"/>
          <a:ext cx="190080" cy="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39960</xdr:colOff>
      <xdr:row>67</xdr:row>
      <xdr:rowOff>86040</xdr:rowOff>
    </xdr:from>
    <xdr:to>
      <xdr:col>14</xdr:col>
      <xdr:colOff>289800</xdr:colOff>
      <xdr:row>67</xdr:row>
      <xdr:rowOff>86040</xdr:rowOff>
    </xdr:to>
    <xdr:sp>
      <xdr:nvSpPr>
        <xdr:cNvPr id="8" name="Line 9"/>
        <xdr:cNvSpPr/>
      </xdr:nvSpPr>
      <xdr:spPr>
        <a:xfrm>
          <a:off x="12655440" y="11068200"/>
          <a:ext cx="249840" cy="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39960</xdr:colOff>
      <xdr:row>49</xdr:row>
      <xdr:rowOff>86040</xdr:rowOff>
    </xdr:from>
    <xdr:to>
      <xdr:col>14</xdr:col>
      <xdr:colOff>270000</xdr:colOff>
      <xdr:row>49</xdr:row>
      <xdr:rowOff>86040</xdr:rowOff>
    </xdr:to>
    <xdr:sp>
      <xdr:nvSpPr>
        <xdr:cNvPr id="9" name="Line 10"/>
        <xdr:cNvSpPr/>
      </xdr:nvSpPr>
      <xdr:spPr>
        <a:xfrm>
          <a:off x="12655440" y="8153640"/>
          <a:ext cx="230040" cy="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39960</xdr:colOff>
      <xdr:row>22</xdr:row>
      <xdr:rowOff>86040</xdr:rowOff>
    </xdr:from>
    <xdr:to>
      <xdr:col>14</xdr:col>
      <xdr:colOff>289800</xdr:colOff>
      <xdr:row>22</xdr:row>
      <xdr:rowOff>86040</xdr:rowOff>
    </xdr:to>
    <xdr:sp>
      <xdr:nvSpPr>
        <xdr:cNvPr id="10" name="Line 11"/>
        <xdr:cNvSpPr/>
      </xdr:nvSpPr>
      <xdr:spPr>
        <a:xfrm>
          <a:off x="12655440" y="3781800"/>
          <a:ext cx="249840" cy="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279000</xdr:colOff>
      <xdr:row>21</xdr:row>
      <xdr:rowOff>-360</xdr:rowOff>
    </xdr:from>
    <xdr:to>
      <xdr:col>14</xdr:col>
      <xdr:colOff>279360</xdr:colOff>
      <xdr:row>22</xdr:row>
      <xdr:rowOff>85680</xdr:rowOff>
    </xdr:to>
    <xdr:sp>
      <xdr:nvSpPr>
        <xdr:cNvPr id="11" name="Line 12"/>
        <xdr:cNvSpPr/>
      </xdr:nvSpPr>
      <xdr:spPr>
        <a:xfrm flipH="1" flipV="1">
          <a:off x="12894480" y="3533400"/>
          <a:ext cx="360" cy="24804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289080</xdr:colOff>
      <xdr:row>58</xdr:row>
      <xdr:rowOff>28440</xdr:rowOff>
    </xdr:from>
    <xdr:to>
      <xdr:col>14</xdr:col>
      <xdr:colOff>289800</xdr:colOff>
      <xdr:row>67</xdr:row>
      <xdr:rowOff>75960</xdr:rowOff>
    </xdr:to>
    <xdr:sp>
      <xdr:nvSpPr>
        <xdr:cNvPr id="12" name="Line 13"/>
        <xdr:cNvSpPr/>
      </xdr:nvSpPr>
      <xdr:spPr>
        <a:xfrm flipV="1">
          <a:off x="12904560" y="9553320"/>
          <a:ext cx="720" cy="150480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53</xdr:row>
      <xdr:rowOff>86040</xdr:rowOff>
    </xdr:from>
    <xdr:to>
      <xdr:col>14</xdr:col>
      <xdr:colOff>279720</xdr:colOff>
      <xdr:row>53</xdr:row>
      <xdr:rowOff>86040</xdr:rowOff>
    </xdr:to>
    <xdr:sp>
      <xdr:nvSpPr>
        <xdr:cNvPr id="13" name="Line 14"/>
        <xdr:cNvSpPr/>
      </xdr:nvSpPr>
      <xdr:spPr>
        <a:xfrm>
          <a:off x="12615480" y="8801280"/>
          <a:ext cx="279720" cy="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39960</xdr:colOff>
      <xdr:row>67</xdr:row>
      <xdr:rowOff>86040</xdr:rowOff>
    </xdr:from>
    <xdr:to>
      <xdr:col>14</xdr:col>
      <xdr:colOff>289800</xdr:colOff>
      <xdr:row>67</xdr:row>
      <xdr:rowOff>86040</xdr:rowOff>
    </xdr:to>
    <xdr:sp>
      <xdr:nvSpPr>
        <xdr:cNvPr id="14" name="Line 15"/>
        <xdr:cNvSpPr/>
      </xdr:nvSpPr>
      <xdr:spPr>
        <a:xfrm>
          <a:off x="12655440" y="11068200"/>
          <a:ext cx="249840" cy="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39960</xdr:colOff>
      <xdr:row>49</xdr:row>
      <xdr:rowOff>86040</xdr:rowOff>
    </xdr:from>
    <xdr:to>
      <xdr:col>14</xdr:col>
      <xdr:colOff>270000</xdr:colOff>
      <xdr:row>49</xdr:row>
      <xdr:rowOff>86040</xdr:rowOff>
    </xdr:to>
    <xdr:sp>
      <xdr:nvSpPr>
        <xdr:cNvPr id="15" name="Line 16"/>
        <xdr:cNvSpPr/>
      </xdr:nvSpPr>
      <xdr:spPr>
        <a:xfrm>
          <a:off x="12655440" y="8153640"/>
          <a:ext cx="230040" cy="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39960</xdr:colOff>
      <xdr:row>22</xdr:row>
      <xdr:rowOff>86040</xdr:rowOff>
    </xdr:from>
    <xdr:to>
      <xdr:col>14</xdr:col>
      <xdr:colOff>289800</xdr:colOff>
      <xdr:row>22</xdr:row>
      <xdr:rowOff>86040</xdr:rowOff>
    </xdr:to>
    <xdr:sp>
      <xdr:nvSpPr>
        <xdr:cNvPr id="16" name="Line 17"/>
        <xdr:cNvSpPr/>
      </xdr:nvSpPr>
      <xdr:spPr>
        <a:xfrm>
          <a:off x="12655440" y="3781800"/>
          <a:ext cx="249840" cy="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279360</xdr:colOff>
      <xdr:row>11</xdr:row>
      <xdr:rowOff>28440</xdr:rowOff>
    </xdr:from>
    <xdr:to>
      <xdr:col>14</xdr:col>
      <xdr:colOff>289800</xdr:colOff>
      <xdr:row>22</xdr:row>
      <xdr:rowOff>86040</xdr:rowOff>
    </xdr:to>
    <xdr:sp>
      <xdr:nvSpPr>
        <xdr:cNvPr id="17" name="Line 18"/>
        <xdr:cNvSpPr/>
      </xdr:nvSpPr>
      <xdr:spPr>
        <a:xfrm flipV="1">
          <a:off x="12894840" y="1942920"/>
          <a:ext cx="10440" cy="183888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289080</xdr:colOff>
      <xdr:row>55</xdr:row>
      <xdr:rowOff>105120</xdr:rowOff>
    </xdr:from>
    <xdr:to>
      <xdr:col>14</xdr:col>
      <xdr:colOff>559080</xdr:colOff>
      <xdr:row>55</xdr:row>
      <xdr:rowOff>105120</xdr:rowOff>
    </xdr:to>
    <xdr:sp>
      <xdr:nvSpPr>
        <xdr:cNvPr id="18" name="Line 19"/>
        <xdr:cNvSpPr/>
      </xdr:nvSpPr>
      <xdr:spPr>
        <a:xfrm>
          <a:off x="12904560" y="9144360"/>
          <a:ext cx="270000" cy="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289080</xdr:colOff>
      <xdr:row>56</xdr:row>
      <xdr:rowOff>9360</xdr:rowOff>
    </xdr:from>
    <xdr:to>
      <xdr:col>14</xdr:col>
      <xdr:colOff>289800</xdr:colOff>
      <xdr:row>67</xdr:row>
      <xdr:rowOff>66600</xdr:rowOff>
    </xdr:to>
    <xdr:sp>
      <xdr:nvSpPr>
        <xdr:cNvPr id="19" name="Line 20"/>
        <xdr:cNvSpPr/>
      </xdr:nvSpPr>
      <xdr:spPr>
        <a:xfrm flipV="1">
          <a:off x="12904560" y="9210600"/>
          <a:ext cx="720" cy="183816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53</xdr:row>
      <xdr:rowOff>86040</xdr:rowOff>
    </xdr:from>
    <xdr:to>
      <xdr:col>14</xdr:col>
      <xdr:colOff>279720</xdr:colOff>
      <xdr:row>53</xdr:row>
      <xdr:rowOff>86040</xdr:rowOff>
    </xdr:to>
    <xdr:sp>
      <xdr:nvSpPr>
        <xdr:cNvPr id="20" name="Line 21"/>
        <xdr:cNvSpPr/>
      </xdr:nvSpPr>
      <xdr:spPr>
        <a:xfrm>
          <a:off x="12615480" y="8801280"/>
          <a:ext cx="279720" cy="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279360</xdr:colOff>
      <xdr:row>8</xdr:row>
      <xdr:rowOff>114480</xdr:rowOff>
    </xdr:from>
    <xdr:to>
      <xdr:col>14</xdr:col>
      <xdr:colOff>279720</xdr:colOff>
      <xdr:row>10</xdr:row>
      <xdr:rowOff>9720</xdr:rowOff>
    </xdr:to>
    <xdr:sp>
      <xdr:nvSpPr>
        <xdr:cNvPr id="21" name="Line 22"/>
        <xdr:cNvSpPr/>
      </xdr:nvSpPr>
      <xdr:spPr>
        <a:xfrm>
          <a:off x="12894840" y="1543320"/>
          <a:ext cx="360" cy="21888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29880</xdr:colOff>
      <xdr:row>8</xdr:row>
      <xdr:rowOff>86040</xdr:rowOff>
    </xdr:from>
    <xdr:to>
      <xdr:col>14</xdr:col>
      <xdr:colOff>219960</xdr:colOff>
      <xdr:row>8</xdr:row>
      <xdr:rowOff>86040</xdr:rowOff>
    </xdr:to>
    <xdr:sp>
      <xdr:nvSpPr>
        <xdr:cNvPr id="22" name="Line 23"/>
        <xdr:cNvSpPr/>
      </xdr:nvSpPr>
      <xdr:spPr>
        <a:xfrm>
          <a:off x="12645360" y="1514880"/>
          <a:ext cx="190080" cy="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269280</xdr:colOff>
      <xdr:row>28</xdr:row>
      <xdr:rowOff>142920</xdr:rowOff>
    </xdr:from>
    <xdr:to>
      <xdr:col>14</xdr:col>
      <xdr:colOff>569160</xdr:colOff>
      <xdr:row>28</xdr:row>
      <xdr:rowOff>142920</xdr:rowOff>
    </xdr:to>
    <xdr:sp>
      <xdr:nvSpPr>
        <xdr:cNvPr id="23" name="Line 24"/>
        <xdr:cNvSpPr/>
      </xdr:nvSpPr>
      <xdr:spPr>
        <a:xfrm>
          <a:off x="12884760" y="4810320"/>
          <a:ext cx="299880" cy="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309240</xdr:colOff>
      <xdr:row>53</xdr:row>
      <xdr:rowOff>142920</xdr:rowOff>
    </xdr:from>
    <xdr:to>
      <xdr:col>14</xdr:col>
      <xdr:colOff>309960</xdr:colOff>
      <xdr:row>55</xdr:row>
      <xdr:rowOff>37800</xdr:rowOff>
    </xdr:to>
    <xdr:sp>
      <xdr:nvSpPr>
        <xdr:cNvPr id="24" name="Line 25"/>
        <xdr:cNvSpPr/>
      </xdr:nvSpPr>
      <xdr:spPr>
        <a:xfrm>
          <a:off x="12924720" y="8858160"/>
          <a:ext cx="720" cy="21888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50040</xdr:colOff>
      <xdr:row>20</xdr:row>
      <xdr:rowOff>85680</xdr:rowOff>
    </xdr:from>
    <xdr:to>
      <xdr:col>14</xdr:col>
      <xdr:colOff>329760</xdr:colOff>
      <xdr:row>20</xdr:row>
      <xdr:rowOff>85680</xdr:rowOff>
    </xdr:to>
    <xdr:sp>
      <xdr:nvSpPr>
        <xdr:cNvPr id="25" name="Line 1"/>
        <xdr:cNvSpPr/>
      </xdr:nvSpPr>
      <xdr:spPr>
        <a:xfrm>
          <a:off x="13273200" y="3571920"/>
          <a:ext cx="279720" cy="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309240</xdr:colOff>
      <xdr:row>50</xdr:row>
      <xdr:rowOff>152280</xdr:rowOff>
    </xdr:from>
    <xdr:to>
      <xdr:col>14</xdr:col>
      <xdr:colOff>309960</xdr:colOff>
      <xdr:row>64</xdr:row>
      <xdr:rowOff>28080</xdr:rowOff>
    </xdr:to>
    <xdr:sp>
      <xdr:nvSpPr>
        <xdr:cNvPr id="26" name="Line 2"/>
        <xdr:cNvSpPr/>
      </xdr:nvSpPr>
      <xdr:spPr>
        <a:xfrm flipV="1">
          <a:off x="13532400" y="8762760"/>
          <a:ext cx="720" cy="227628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23</xdr:row>
      <xdr:rowOff>85680</xdr:rowOff>
    </xdr:from>
    <xdr:to>
      <xdr:col>14</xdr:col>
      <xdr:colOff>319680</xdr:colOff>
      <xdr:row>23</xdr:row>
      <xdr:rowOff>85680</xdr:rowOff>
    </xdr:to>
    <xdr:sp>
      <xdr:nvSpPr>
        <xdr:cNvPr id="27" name="Line 3"/>
        <xdr:cNvSpPr/>
      </xdr:nvSpPr>
      <xdr:spPr>
        <a:xfrm>
          <a:off x="13223160" y="4076640"/>
          <a:ext cx="319680" cy="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49</xdr:row>
      <xdr:rowOff>85680</xdr:rowOff>
    </xdr:from>
    <xdr:to>
      <xdr:col>14</xdr:col>
      <xdr:colOff>319680</xdr:colOff>
      <xdr:row>49</xdr:row>
      <xdr:rowOff>85680</xdr:rowOff>
    </xdr:to>
    <xdr:sp>
      <xdr:nvSpPr>
        <xdr:cNvPr id="28" name="Line 4"/>
        <xdr:cNvSpPr/>
      </xdr:nvSpPr>
      <xdr:spPr>
        <a:xfrm>
          <a:off x="13223160" y="8524800"/>
          <a:ext cx="319680" cy="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39960</xdr:colOff>
      <xdr:row>64</xdr:row>
      <xdr:rowOff>75960</xdr:rowOff>
    </xdr:from>
    <xdr:to>
      <xdr:col>14</xdr:col>
      <xdr:colOff>319680</xdr:colOff>
      <xdr:row>64</xdr:row>
      <xdr:rowOff>75960</xdr:rowOff>
    </xdr:to>
    <xdr:sp>
      <xdr:nvSpPr>
        <xdr:cNvPr id="29" name="Line 5"/>
        <xdr:cNvSpPr/>
      </xdr:nvSpPr>
      <xdr:spPr>
        <a:xfrm>
          <a:off x="13263120" y="11086920"/>
          <a:ext cx="279720" cy="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50040</xdr:colOff>
      <xdr:row>46</xdr:row>
      <xdr:rowOff>85680</xdr:rowOff>
    </xdr:from>
    <xdr:to>
      <xdr:col>14</xdr:col>
      <xdr:colOff>309960</xdr:colOff>
      <xdr:row>46</xdr:row>
      <xdr:rowOff>85680</xdr:rowOff>
    </xdr:to>
    <xdr:sp>
      <xdr:nvSpPr>
        <xdr:cNvPr id="30" name="Line 6"/>
        <xdr:cNvSpPr/>
      </xdr:nvSpPr>
      <xdr:spPr>
        <a:xfrm>
          <a:off x="13273200" y="8020080"/>
          <a:ext cx="259920" cy="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309240</xdr:colOff>
      <xdr:row>11</xdr:row>
      <xdr:rowOff>9360</xdr:rowOff>
    </xdr:from>
    <xdr:to>
      <xdr:col>14</xdr:col>
      <xdr:colOff>309960</xdr:colOff>
      <xdr:row>20</xdr:row>
      <xdr:rowOff>76320</xdr:rowOff>
    </xdr:to>
    <xdr:sp>
      <xdr:nvSpPr>
        <xdr:cNvPr id="31" name="Line 7"/>
        <xdr:cNvSpPr/>
      </xdr:nvSpPr>
      <xdr:spPr>
        <a:xfrm flipH="1" flipV="1">
          <a:off x="13532400" y="1952640"/>
          <a:ext cx="720" cy="160992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319320</xdr:colOff>
      <xdr:row>10</xdr:row>
      <xdr:rowOff>104040</xdr:rowOff>
    </xdr:from>
    <xdr:to>
      <xdr:col>14</xdr:col>
      <xdr:colOff>569160</xdr:colOff>
      <xdr:row>10</xdr:row>
      <xdr:rowOff>123120</xdr:rowOff>
    </xdr:to>
    <xdr:sp>
      <xdr:nvSpPr>
        <xdr:cNvPr id="32" name="Line 8"/>
        <xdr:cNvSpPr/>
      </xdr:nvSpPr>
      <xdr:spPr>
        <a:xfrm flipV="1">
          <a:off x="13542480" y="1875600"/>
          <a:ext cx="249840" cy="1908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318960</xdr:colOff>
      <xdr:row>25</xdr:row>
      <xdr:rowOff>47160</xdr:rowOff>
    </xdr:from>
    <xdr:to>
      <xdr:col>14</xdr:col>
      <xdr:colOff>319320</xdr:colOff>
      <xdr:row>46</xdr:row>
      <xdr:rowOff>47160</xdr:rowOff>
    </xdr:to>
    <xdr:sp>
      <xdr:nvSpPr>
        <xdr:cNvPr id="33" name="Line 9"/>
        <xdr:cNvSpPr/>
      </xdr:nvSpPr>
      <xdr:spPr>
        <a:xfrm flipH="1" flipV="1">
          <a:off x="13542120" y="4381200"/>
          <a:ext cx="360" cy="360036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348840</xdr:colOff>
      <xdr:row>49</xdr:row>
      <xdr:rowOff>95040</xdr:rowOff>
    </xdr:from>
    <xdr:to>
      <xdr:col>14</xdr:col>
      <xdr:colOff>369360</xdr:colOff>
      <xdr:row>50</xdr:row>
      <xdr:rowOff>66960</xdr:rowOff>
    </xdr:to>
    <xdr:sp>
      <xdr:nvSpPr>
        <xdr:cNvPr id="34" name="Line 10"/>
        <xdr:cNvSpPr/>
      </xdr:nvSpPr>
      <xdr:spPr>
        <a:xfrm flipH="1">
          <a:off x="13572000" y="8534160"/>
          <a:ext cx="20520" cy="14328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23</xdr:row>
      <xdr:rowOff>85680</xdr:rowOff>
    </xdr:from>
    <xdr:to>
      <xdr:col>14</xdr:col>
      <xdr:colOff>319680</xdr:colOff>
      <xdr:row>23</xdr:row>
      <xdr:rowOff>85680</xdr:rowOff>
    </xdr:to>
    <xdr:sp>
      <xdr:nvSpPr>
        <xdr:cNvPr id="35" name="Line 11"/>
        <xdr:cNvSpPr/>
      </xdr:nvSpPr>
      <xdr:spPr>
        <a:xfrm>
          <a:off x="13223160" y="4076640"/>
          <a:ext cx="319680" cy="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49</xdr:row>
      <xdr:rowOff>85680</xdr:rowOff>
    </xdr:from>
    <xdr:to>
      <xdr:col>14</xdr:col>
      <xdr:colOff>319680</xdr:colOff>
      <xdr:row>49</xdr:row>
      <xdr:rowOff>85680</xdr:rowOff>
    </xdr:to>
    <xdr:sp>
      <xdr:nvSpPr>
        <xdr:cNvPr id="36" name="Line 12"/>
        <xdr:cNvSpPr/>
      </xdr:nvSpPr>
      <xdr:spPr>
        <a:xfrm>
          <a:off x="13223160" y="8524800"/>
          <a:ext cx="319680" cy="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309240</xdr:colOff>
      <xdr:row>8</xdr:row>
      <xdr:rowOff>85680</xdr:rowOff>
    </xdr:from>
    <xdr:to>
      <xdr:col>14</xdr:col>
      <xdr:colOff>309960</xdr:colOff>
      <xdr:row>10</xdr:row>
      <xdr:rowOff>28800</xdr:rowOff>
    </xdr:to>
    <xdr:sp>
      <xdr:nvSpPr>
        <xdr:cNvPr id="37" name="Line 13"/>
        <xdr:cNvSpPr/>
      </xdr:nvSpPr>
      <xdr:spPr>
        <a:xfrm>
          <a:off x="13532400" y="1514520"/>
          <a:ext cx="720" cy="28584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249480</xdr:colOff>
      <xdr:row>50</xdr:row>
      <xdr:rowOff>104760</xdr:rowOff>
    </xdr:from>
    <xdr:to>
      <xdr:col>14</xdr:col>
      <xdr:colOff>559080</xdr:colOff>
      <xdr:row>50</xdr:row>
      <xdr:rowOff>104760</xdr:rowOff>
    </xdr:to>
    <xdr:sp>
      <xdr:nvSpPr>
        <xdr:cNvPr id="38" name="Line 16"/>
        <xdr:cNvSpPr/>
      </xdr:nvSpPr>
      <xdr:spPr>
        <a:xfrm>
          <a:off x="13472640" y="8715240"/>
          <a:ext cx="309600" cy="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269280</xdr:colOff>
      <xdr:row>24</xdr:row>
      <xdr:rowOff>114480</xdr:rowOff>
    </xdr:from>
    <xdr:to>
      <xdr:col>14</xdr:col>
      <xdr:colOff>539280</xdr:colOff>
      <xdr:row>24</xdr:row>
      <xdr:rowOff>114480</xdr:rowOff>
    </xdr:to>
    <xdr:sp>
      <xdr:nvSpPr>
        <xdr:cNvPr id="39" name="Line 19"/>
        <xdr:cNvSpPr/>
      </xdr:nvSpPr>
      <xdr:spPr>
        <a:xfrm>
          <a:off x="13492440" y="4276800"/>
          <a:ext cx="270000" cy="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348840</xdr:colOff>
      <xdr:row>23</xdr:row>
      <xdr:rowOff>66960</xdr:rowOff>
    </xdr:from>
    <xdr:to>
      <xdr:col>14</xdr:col>
      <xdr:colOff>369360</xdr:colOff>
      <xdr:row>24</xdr:row>
      <xdr:rowOff>104760</xdr:rowOff>
    </xdr:to>
    <xdr:sp>
      <xdr:nvSpPr>
        <xdr:cNvPr id="40" name="Line 20"/>
        <xdr:cNvSpPr/>
      </xdr:nvSpPr>
      <xdr:spPr>
        <a:xfrm flipH="1">
          <a:off x="13572000" y="4057920"/>
          <a:ext cx="20520" cy="20916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29880</xdr:colOff>
      <xdr:row>8</xdr:row>
      <xdr:rowOff>85680</xdr:rowOff>
    </xdr:from>
    <xdr:to>
      <xdr:col>14</xdr:col>
      <xdr:colOff>240120</xdr:colOff>
      <xdr:row>8</xdr:row>
      <xdr:rowOff>85680</xdr:rowOff>
    </xdr:to>
    <xdr:sp>
      <xdr:nvSpPr>
        <xdr:cNvPr id="41" name="Line 21"/>
        <xdr:cNvSpPr/>
      </xdr:nvSpPr>
      <xdr:spPr>
        <a:xfrm>
          <a:off x="13253040" y="1514520"/>
          <a:ext cx="210240" cy="0"/>
        </a:xfrm>
        <a:prstGeom prst="line">
          <a:avLst/>
        </a:prstGeom>
        <a:ln w="17280">
          <a:solidFill>
            <a:srgbClr val="8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W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28.85"/>
    <col collapsed="false" customWidth="true" hidden="false" outlineLevel="0" max="4" min="4" style="0" width="12.99"/>
    <col collapsed="false" customWidth="true" hidden="false" outlineLevel="0" max="5" min="5" style="0" width="20.85"/>
    <col collapsed="false" customWidth="true" hidden="false" outlineLevel="0" max="7" min="7" style="0" width="9.28"/>
    <col collapsed="false" customWidth="true" hidden="false" outlineLevel="0" max="8" min="8" style="0" width="15.13"/>
    <col collapsed="false" customWidth="true" hidden="false" outlineLevel="0" max="9" min="9" style="0" width="13.99"/>
    <col collapsed="false" customWidth="true" hidden="false" outlineLevel="0" max="10" min="10" style="0" width="12.7"/>
    <col collapsed="false" customWidth="true" hidden="false" outlineLevel="0" max="12" min="12" style="0" width="9.7"/>
    <col collapsed="false" customWidth="true" hidden="false" outlineLevel="0" max="14" min="14" style="0" width="9.99"/>
    <col collapsed="false" customWidth="true" hidden="false" outlineLevel="0" max="16" min="16" style="0" width="10.71"/>
    <col collapsed="false" customWidth="true" hidden="false" outlineLevel="0" max="20" min="20" style="0" width="11.7"/>
  </cols>
  <sheetData>
    <row r="3" customFormat="false" ht="20.25" hidden="false" customHeight="false" outlineLevel="0" collapsed="false">
      <c r="B3" s="1"/>
      <c r="C3" s="1"/>
      <c r="D3" s="1"/>
      <c r="E3" s="2" t="s">
        <v>0</v>
      </c>
      <c r="F3" s="1"/>
      <c r="G3" s="1"/>
      <c r="H3" s="1"/>
      <c r="I3" s="1"/>
      <c r="K3" s="3"/>
      <c r="L3" s="4" t="s">
        <v>1</v>
      </c>
      <c r="M3" s="5"/>
      <c r="N3" s="4" t="s">
        <v>2</v>
      </c>
      <c r="O3" s="3"/>
    </row>
    <row r="5" customFormat="false" ht="12.75" hidden="false" customHeight="false" outlineLevel="0" collapsed="false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customFormat="false" ht="12.75" hidden="false" customHeight="false" outlineLevel="0" collapsed="false">
      <c r="L6" s="7"/>
      <c r="M6" s="7"/>
      <c r="N6" s="8" t="s">
        <v>3</v>
      </c>
      <c r="O6" s="9"/>
      <c r="P6" s="9"/>
      <c r="Q6" s="9"/>
      <c r="R6" s="9"/>
      <c r="S6" s="9"/>
    </row>
    <row r="7" customFormat="false" ht="12.75" hidden="false" customHeight="false" outlineLevel="0" collapsed="false">
      <c r="L7" s="8" t="s">
        <v>4</v>
      </c>
      <c r="M7" s="10"/>
      <c r="N7" s="8" t="s">
        <v>5</v>
      </c>
      <c r="O7" s="11"/>
      <c r="P7" s="12"/>
      <c r="Q7" s="13" t="s">
        <v>6</v>
      </c>
      <c r="R7" s="12"/>
      <c r="S7" s="12"/>
    </row>
    <row r="8" customFormat="false" ht="15.75" hidden="false" customHeight="false" outlineLevel="0" collapsed="false">
      <c r="C8" s="14" t="s">
        <v>7</v>
      </c>
      <c r="D8" s="15" t="s">
        <v>8</v>
      </c>
      <c r="E8" s="14" t="s">
        <v>9</v>
      </c>
      <c r="F8" s="14" t="s">
        <v>10</v>
      </c>
      <c r="G8" s="14" t="s">
        <v>11</v>
      </c>
      <c r="H8" s="14" t="s">
        <v>12</v>
      </c>
      <c r="I8" s="14" t="s">
        <v>13</v>
      </c>
      <c r="J8" s="14" t="s">
        <v>14</v>
      </c>
      <c r="L8" s="16" t="s">
        <v>15</v>
      </c>
      <c r="M8" s="16"/>
      <c r="N8" s="16" t="s">
        <v>16</v>
      </c>
      <c r="O8" s="11"/>
      <c r="P8" s="17" t="s">
        <v>17</v>
      </c>
      <c r="Q8" s="17"/>
      <c r="R8" s="17"/>
      <c r="S8" s="17"/>
    </row>
    <row r="9" customFormat="false" ht="12.75" hidden="false" customHeight="true" outlineLevel="0" collapsed="false">
      <c r="B9" s="18" t="n">
        <f aca="false">1</f>
        <v>1</v>
      </c>
      <c r="C9" s="19" t="s">
        <v>18</v>
      </c>
      <c r="D9" s="20" t="n">
        <v>22319</v>
      </c>
      <c r="E9" s="21" t="n">
        <v>3500</v>
      </c>
      <c r="F9" s="22" t="s">
        <v>19</v>
      </c>
      <c r="G9" s="23" t="n">
        <v>1</v>
      </c>
      <c r="H9" s="24" t="n">
        <f aca="false">IF(G9=1,E9,0)</f>
        <v>3500</v>
      </c>
      <c r="I9" s="25"/>
      <c r="J9" s="25"/>
      <c r="K9" s="26"/>
      <c r="L9" s="26" t="n">
        <v>3120.1</v>
      </c>
      <c r="M9" s="27"/>
      <c r="N9" s="28" t="n">
        <f aca="false">L9/H9</f>
        <v>0.891457142857143</v>
      </c>
      <c r="O9" s="29"/>
      <c r="R9" s="30" t="s">
        <v>12</v>
      </c>
      <c r="T9" s="31"/>
    </row>
    <row r="10" customFormat="false" ht="12.75" hidden="false" customHeight="true" outlineLevel="0" collapsed="false">
      <c r="B10" s="18" t="n">
        <f aca="false">B9+1</f>
        <v>2</v>
      </c>
      <c r="C10" s="19" t="s">
        <v>20</v>
      </c>
      <c r="D10" s="11" t="n">
        <v>22298</v>
      </c>
      <c r="E10" s="21" t="n">
        <v>2747.533</v>
      </c>
      <c r="F10" s="22" t="s">
        <v>21</v>
      </c>
      <c r="G10" s="23" t="n">
        <v>1</v>
      </c>
      <c r="H10" s="24" t="n">
        <f aca="false">IF(G10=1,E10,0)</f>
        <v>2747.533</v>
      </c>
      <c r="I10" s="25"/>
      <c r="J10" s="25"/>
      <c r="K10" s="26"/>
      <c r="L10" s="26" t="n">
        <v>2640.2</v>
      </c>
      <c r="M10" s="32"/>
      <c r="N10" s="28" t="n">
        <f aca="false">L10/H10</f>
        <v>0.960934773121924</v>
      </c>
      <c r="O10" s="33"/>
      <c r="P10" s="34" t="s">
        <v>22</v>
      </c>
      <c r="Q10" s="35" t="s">
        <v>23</v>
      </c>
      <c r="R10" s="36"/>
      <c r="S10" s="37"/>
      <c r="T10" s="38"/>
      <c r="U10" s="39"/>
    </row>
    <row r="11" customFormat="false" ht="12.75" hidden="false" customHeight="true" outlineLevel="0" collapsed="false">
      <c r="B11" s="18" t="n">
        <f aca="false">B10+1</f>
        <v>3</v>
      </c>
      <c r="C11" s="40" t="s">
        <v>24</v>
      </c>
      <c r="D11" s="11" t="n">
        <v>23281</v>
      </c>
      <c r="E11" s="41" t="n">
        <v>1000</v>
      </c>
      <c r="F11" s="22" t="s">
        <v>25</v>
      </c>
      <c r="G11" s="23" t="n">
        <v>1</v>
      </c>
      <c r="H11" s="24" t="n">
        <f aca="false">IF(G11=1,E11,0)-700</f>
        <v>300</v>
      </c>
      <c r="I11" s="25"/>
      <c r="J11" s="25"/>
      <c r="L11" s="26" t="n">
        <v>259</v>
      </c>
      <c r="M11" s="32"/>
      <c r="N11" s="28" t="n">
        <f aca="false">L11/H11</f>
        <v>0.863333333333333</v>
      </c>
      <c r="O11" s="42"/>
      <c r="P11" s="43" t="s">
        <v>26</v>
      </c>
      <c r="Q11" s="44" t="s">
        <v>27</v>
      </c>
      <c r="R11" s="45"/>
      <c r="S11" s="45"/>
      <c r="T11" s="46"/>
      <c r="U11" s="39"/>
      <c r="V11" s="47" t="n">
        <f aca="false">100-(100-33.5)*(19/31)</f>
        <v>59.241935483871</v>
      </c>
      <c r="W11" s="0" t="s">
        <v>28</v>
      </c>
    </row>
    <row r="12" customFormat="false" ht="12.75" hidden="false" customHeight="true" outlineLevel="0" collapsed="false">
      <c r="A12" s="48" t="s">
        <v>29</v>
      </c>
      <c r="B12" s="18" t="n">
        <f aca="false">B11+1</f>
        <v>4</v>
      </c>
      <c r="C12" s="49" t="s">
        <v>30</v>
      </c>
      <c r="D12" s="50" t="n">
        <v>107827</v>
      </c>
      <c r="E12" s="51" t="n">
        <v>500</v>
      </c>
      <c r="F12" s="22" t="s">
        <v>21</v>
      </c>
      <c r="G12" s="23" t="n">
        <v>1</v>
      </c>
      <c r="H12" s="24" t="n">
        <f aca="false">IF(G12=1,E12,0)</f>
        <v>500</v>
      </c>
      <c r="I12" s="24"/>
      <c r="J12" s="25"/>
      <c r="K12" s="26"/>
      <c r="L12" s="26" t="n">
        <v>402</v>
      </c>
      <c r="M12" s="19"/>
      <c r="N12" s="28" t="n">
        <f aca="false">L12/H12</f>
        <v>0.804</v>
      </c>
      <c r="O12" s="52"/>
      <c r="P12" s="23" t="s">
        <v>31</v>
      </c>
      <c r="Q12" s="53" t="s">
        <v>32</v>
      </c>
      <c r="R12" s="53"/>
      <c r="S12" s="54"/>
      <c r="T12" s="39"/>
      <c r="U12" s="39"/>
    </row>
    <row r="13" customFormat="false" ht="12.75" hidden="false" customHeight="true" outlineLevel="0" collapsed="false">
      <c r="A13" s="48" t="s">
        <v>29</v>
      </c>
      <c r="B13" s="18" t="n">
        <f aca="false">B12+1</f>
        <v>5</v>
      </c>
      <c r="C13" s="49" t="s">
        <v>30</v>
      </c>
      <c r="D13" s="50" t="n">
        <v>107921</v>
      </c>
      <c r="E13" s="51" t="n">
        <v>200</v>
      </c>
      <c r="F13" s="22" t="s">
        <v>21</v>
      </c>
      <c r="G13" s="23" t="n">
        <v>1</v>
      </c>
      <c r="H13" s="24" t="n">
        <f aca="false">IF(G13=1,E13,0)</f>
        <v>200</v>
      </c>
      <c r="I13" s="24"/>
      <c r="J13" s="25"/>
      <c r="K13" s="26"/>
      <c r="L13" s="26" t="n">
        <v>168</v>
      </c>
      <c r="M13" s="55"/>
      <c r="N13" s="28" t="n">
        <f aca="false">L13/H13</f>
        <v>0.84</v>
      </c>
      <c r="O13" s="52"/>
      <c r="P13" s="56" t="s">
        <v>33</v>
      </c>
      <c r="Q13" s="57" t="s">
        <v>34</v>
      </c>
      <c r="R13" s="58"/>
      <c r="S13" s="39"/>
      <c r="T13" s="39"/>
      <c r="U13" s="39"/>
      <c r="V13" s="47" t="n">
        <f aca="false">100-(100-83.5)*(19/31)</f>
        <v>89.8870967741936</v>
      </c>
      <c r="W13" s="0" t="s">
        <v>35</v>
      </c>
    </row>
    <row r="14" customFormat="false" ht="12.75" hidden="false" customHeight="true" outlineLevel="0" collapsed="false">
      <c r="B14" s="18" t="n">
        <f aca="false">B13+1</f>
        <v>6</v>
      </c>
      <c r="C14" s="40" t="s">
        <v>24</v>
      </c>
      <c r="D14" s="11" t="n">
        <v>23282</v>
      </c>
      <c r="E14" s="41" t="n">
        <v>500</v>
      </c>
      <c r="F14" s="22" t="s">
        <v>25</v>
      </c>
      <c r="G14" s="23" t="n">
        <v>1</v>
      </c>
      <c r="H14" s="24" t="n">
        <f aca="false">IF(G14=1,E14,0)-125</f>
        <v>375</v>
      </c>
      <c r="I14" s="25"/>
      <c r="J14" s="25"/>
      <c r="K14" s="26"/>
      <c r="L14" s="59" t="n">
        <v>292.3</v>
      </c>
      <c r="M14" s="60"/>
      <c r="N14" s="28" t="n">
        <f aca="false">L14/H14</f>
        <v>0.779466666666667</v>
      </c>
      <c r="O14" s="42"/>
      <c r="P14" s="56" t="s">
        <v>36</v>
      </c>
      <c r="Q14" s="57" t="s">
        <v>37</v>
      </c>
      <c r="R14" s="58"/>
      <c r="S14" s="39"/>
      <c r="V14" s="61"/>
    </row>
    <row r="15" customFormat="false" ht="12.75" hidden="false" customHeight="true" outlineLevel="0" collapsed="false">
      <c r="A15" s="48" t="s">
        <v>29</v>
      </c>
      <c r="B15" s="18" t="n">
        <f aca="false">B14+1</f>
        <v>7</v>
      </c>
      <c r="C15" s="49" t="s">
        <v>30</v>
      </c>
      <c r="D15" s="50" t="n">
        <v>107922</v>
      </c>
      <c r="E15" s="51" t="n">
        <v>125</v>
      </c>
      <c r="F15" s="22" t="s">
        <v>21</v>
      </c>
      <c r="G15" s="23" t="n">
        <v>1</v>
      </c>
      <c r="H15" s="24" t="n">
        <f aca="false">IF(G15=1,E15,0)</f>
        <v>125</v>
      </c>
      <c r="I15" s="24"/>
      <c r="J15" s="25"/>
      <c r="K15" s="26"/>
      <c r="L15" s="26" t="n">
        <v>109</v>
      </c>
      <c r="M15" s="55"/>
      <c r="N15" s="28" t="n">
        <f aca="false">L15/H15</f>
        <v>0.872</v>
      </c>
      <c r="O15" s="52"/>
      <c r="P15" s="56" t="s">
        <v>38</v>
      </c>
      <c r="Q15" s="57" t="s">
        <v>39</v>
      </c>
      <c r="T15" s="38"/>
      <c r="U15" s="39"/>
      <c r="V15" s="47" t="n">
        <f aca="false">51-(51-33.5)*(19/31)</f>
        <v>40.2741935483871</v>
      </c>
      <c r="W15" s="0" t="s">
        <v>40</v>
      </c>
    </row>
    <row r="16" customFormat="false" ht="12.75" hidden="false" customHeight="true" outlineLevel="0" collapsed="false">
      <c r="B16" s="62" t="n">
        <f aca="false">B15+1</f>
        <v>8</v>
      </c>
      <c r="C16" s="19" t="s">
        <v>41</v>
      </c>
      <c r="D16" s="11" t="n">
        <v>22307</v>
      </c>
      <c r="E16" s="21" t="n">
        <v>267.547</v>
      </c>
      <c r="F16" s="22" t="s">
        <v>42</v>
      </c>
      <c r="G16" s="23" t="n">
        <v>1</v>
      </c>
      <c r="H16" s="24" t="n">
        <f aca="false">IF(G16=1,E16,0)</f>
        <v>267.547</v>
      </c>
      <c r="I16" s="25"/>
      <c r="J16" s="25"/>
      <c r="K16" s="26"/>
      <c r="L16" s="59" t="n">
        <v>245</v>
      </c>
      <c r="M16" s="60"/>
      <c r="N16" s="28" t="n">
        <f aca="false">L16/H16</f>
        <v>0.915726956385233</v>
      </c>
      <c r="O16" s="42"/>
      <c r="P16" s="34"/>
      <c r="Q16" s="35"/>
      <c r="R16" s="39"/>
      <c r="S16" s="39"/>
      <c r="T16" s="38"/>
      <c r="U16" s="39"/>
      <c r="V16" s="63"/>
    </row>
    <row r="17" customFormat="false" ht="12.75" hidden="false" customHeight="true" outlineLevel="0" collapsed="false">
      <c r="B17" s="62" t="n">
        <f aca="false">B16+1</f>
        <v>9</v>
      </c>
      <c r="C17" s="64" t="s">
        <v>43</v>
      </c>
      <c r="D17" s="11" t="n">
        <v>22305</v>
      </c>
      <c r="E17" s="21" t="n">
        <v>1000</v>
      </c>
      <c r="F17" s="22" t="s">
        <v>19</v>
      </c>
      <c r="G17" s="23" t="n">
        <v>1</v>
      </c>
      <c r="H17" s="24" t="n">
        <f aca="false">IF(G17=1,E17,0)</f>
        <v>1000</v>
      </c>
      <c r="J17" s="25"/>
      <c r="K17" s="26"/>
      <c r="L17" s="26" t="n">
        <v>987.3</v>
      </c>
      <c r="M17" s="32"/>
      <c r="N17" s="28" t="n">
        <f aca="false">L17/H17</f>
        <v>0.9873</v>
      </c>
      <c r="O17" s="52"/>
    </row>
    <row r="18" customFormat="false" ht="12.75" hidden="false" customHeight="true" outlineLevel="0" collapsed="false">
      <c r="B18" s="62" t="n">
        <f aca="false">B17+1</f>
        <v>10</v>
      </c>
      <c r="C18" s="40" t="s">
        <v>44</v>
      </c>
      <c r="D18" s="11" t="n">
        <v>105153</v>
      </c>
      <c r="E18" s="65" t="n">
        <v>3874.822</v>
      </c>
      <c r="F18" s="22" t="s">
        <v>25</v>
      </c>
      <c r="G18" s="23" t="n">
        <v>1</v>
      </c>
      <c r="H18" s="24" t="n">
        <f aca="false">IF(G18=1,E18,0)</f>
        <v>3874.822</v>
      </c>
      <c r="J18" s="24"/>
      <c r="K18" s="19"/>
      <c r="L18" s="26" t="n">
        <v>3874.1</v>
      </c>
      <c r="M18" s="60"/>
      <c r="N18" s="28" t="n">
        <f aca="false">L18/H18</f>
        <v>0.999813668860144</v>
      </c>
      <c r="O18" s="66"/>
      <c r="P18" s="34"/>
      <c r="Q18" s="35"/>
      <c r="R18" s="67"/>
      <c r="S18" s="39"/>
      <c r="T18" s="38"/>
      <c r="U18" s="39"/>
      <c r="V18" s="68"/>
    </row>
    <row r="19" customFormat="false" ht="12.75" hidden="false" customHeight="true" outlineLevel="0" collapsed="false">
      <c r="B19" s="62" t="n">
        <f aca="false">B18+1</f>
        <v>11</v>
      </c>
      <c r="C19" s="19" t="s">
        <v>45</v>
      </c>
      <c r="D19" s="11" t="n">
        <v>106323</v>
      </c>
      <c r="E19" s="21" t="n">
        <v>150</v>
      </c>
      <c r="F19" s="22" t="s">
        <v>21</v>
      </c>
      <c r="G19" s="23" t="n">
        <v>1</v>
      </c>
      <c r="H19" s="24" t="n">
        <f aca="false">IF(G19=1,E19,0)</f>
        <v>150</v>
      </c>
      <c r="J19" s="25"/>
      <c r="K19" s="19"/>
      <c r="L19" s="26" t="n">
        <v>147.4</v>
      </c>
      <c r="M19" s="69"/>
      <c r="N19" s="70" t="n">
        <f aca="false">L19/H19</f>
        <v>0.982666666666667</v>
      </c>
      <c r="O19" s="52"/>
      <c r="P19" s="34"/>
      <c r="Q19" s="35"/>
      <c r="R19" s="67"/>
      <c r="S19" s="39"/>
      <c r="T19" s="39"/>
      <c r="U19" s="39"/>
      <c r="V19" s="39"/>
    </row>
    <row r="20" customFormat="false" ht="12.75" hidden="false" customHeight="true" outlineLevel="0" collapsed="false">
      <c r="B20" s="62" t="n">
        <f aca="false">B19+1</f>
        <v>12</v>
      </c>
      <c r="C20" s="19" t="s">
        <v>46</v>
      </c>
      <c r="D20" s="11" t="n">
        <v>107465</v>
      </c>
      <c r="E20" s="21" t="n">
        <v>500</v>
      </c>
      <c r="F20" s="22" t="s">
        <v>21</v>
      </c>
      <c r="G20" s="23" t="n">
        <v>1</v>
      </c>
      <c r="H20" s="24" t="n">
        <f aca="false">IF(G20=1,E20,0)</f>
        <v>500</v>
      </c>
      <c r="J20" s="25"/>
      <c r="K20" s="19"/>
      <c r="L20" s="26" t="n">
        <v>489.2</v>
      </c>
      <c r="M20" s="69"/>
      <c r="N20" s="28" t="n">
        <f aca="false">L20/H20</f>
        <v>0.9784</v>
      </c>
      <c r="O20" s="52"/>
      <c r="P20" s="39"/>
      <c r="Q20" s="39"/>
      <c r="R20" s="39"/>
      <c r="S20" s="39"/>
      <c r="T20" s="39"/>
      <c r="U20" s="39"/>
      <c r="V20" s="68"/>
    </row>
    <row r="21" customFormat="false" ht="12.75" hidden="false" customHeight="true" outlineLevel="0" collapsed="false">
      <c r="B21" s="71" t="n">
        <f aca="false">B20+1</f>
        <v>13</v>
      </c>
      <c r="C21" s="72" t="s">
        <v>47</v>
      </c>
      <c r="D21" s="50" t="n">
        <v>102831</v>
      </c>
      <c r="E21" s="73" t="n">
        <v>2100.932</v>
      </c>
      <c r="F21" s="74" t="s">
        <v>21</v>
      </c>
      <c r="G21" s="23" t="n">
        <v>1</v>
      </c>
      <c r="H21" s="24" t="n">
        <f aca="false">IF(G21=1,E21,0)</f>
        <v>2100.932</v>
      </c>
      <c r="J21" s="75"/>
      <c r="K21" s="76"/>
      <c r="L21" s="26" t="n">
        <v>2125.4</v>
      </c>
      <c r="M21" s="76"/>
      <c r="N21" s="28" t="n">
        <f aca="false">L21/H21</f>
        <v>1.01164625985039</v>
      </c>
      <c r="O21" s="52"/>
      <c r="P21" s="39"/>
      <c r="Q21" s="39"/>
      <c r="R21" s="39"/>
      <c r="S21" s="39"/>
      <c r="T21" s="39"/>
      <c r="U21" s="39"/>
      <c r="V21" s="39"/>
    </row>
    <row r="22" customFormat="false" ht="12.75" hidden="false" customHeight="true" outlineLevel="0" collapsed="false">
      <c r="G22" s="77" t="s">
        <v>48</v>
      </c>
      <c r="H22" s="19"/>
      <c r="I22" s="19"/>
      <c r="J22" s="19"/>
      <c r="K22" s="19"/>
      <c r="L22" s="19"/>
      <c r="M22" s="19"/>
      <c r="N22" s="19"/>
      <c r="O22" s="66"/>
      <c r="U22" s="39"/>
      <c r="V22" s="39"/>
    </row>
    <row r="23" customFormat="false" ht="12.75" hidden="false" customHeight="false" outlineLevel="0" collapsed="false">
      <c r="E23" s="78"/>
      <c r="F23" s="22"/>
      <c r="G23" s="22"/>
      <c r="H23" s="79" t="n">
        <f aca="false">SUM(H9:H21)</f>
        <v>15640.834</v>
      </c>
      <c r="I23" s="80"/>
      <c r="J23" s="80"/>
      <c r="L23" s="81" t="n">
        <f aca="false">SUM(L9:L21)</f>
        <v>14859</v>
      </c>
      <c r="M23" s="58"/>
      <c r="N23" s="82" t="n">
        <f aca="false">L23/H68</f>
        <v>0.950013279343033</v>
      </c>
      <c r="O23" s="66"/>
      <c r="U23" s="39"/>
      <c r="V23" s="39"/>
    </row>
    <row r="24" customFormat="false" ht="12.75" hidden="false" customHeight="false" outlineLevel="0" collapsed="false">
      <c r="A24" s="6"/>
      <c r="B24" s="6"/>
      <c r="C24" s="6"/>
      <c r="D24" s="6"/>
      <c r="E24" s="83"/>
      <c r="F24" s="84"/>
      <c r="G24" s="84"/>
      <c r="H24" s="85"/>
      <c r="I24" s="85"/>
      <c r="J24" s="85"/>
      <c r="K24" s="6"/>
      <c r="L24" s="86"/>
      <c r="M24" s="86"/>
      <c r="N24" s="86"/>
      <c r="O24" s="6"/>
      <c r="U24" s="39"/>
      <c r="V24" s="39"/>
    </row>
    <row r="25" customFormat="false" ht="12.75" hidden="false" customHeight="true" outlineLevel="0" collapsed="false">
      <c r="E25" s="78"/>
      <c r="F25" s="22"/>
      <c r="G25" s="22"/>
      <c r="H25" s="80"/>
      <c r="I25" s="80"/>
      <c r="J25" s="80"/>
      <c r="L25" s="58"/>
      <c r="M25" s="58"/>
      <c r="N25" s="58"/>
    </row>
    <row r="27" customFormat="false" ht="12.75" hidden="false" customHeight="true" outlineLevel="0" collapsed="false">
      <c r="B27" s="23" t="n">
        <f aca="false">1</f>
        <v>1</v>
      </c>
      <c r="C27" s="19" t="s">
        <v>30</v>
      </c>
      <c r="D27" s="11" t="n">
        <v>23613</v>
      </c>
      <c r="E27" s="87" t="n">
        <f aca="false">7509.08</f>
        <v>7509.08</v>
      </c>
      <c r="F27" s="22" t="s">
        <v>21</v>
      </c>
      <c r="G27" s="23" t="n">
        <v>4</v>
      </c>
      <c r="H27" s="88"/>
      <c r="I27" s="24" t="n">
        <f aca="false">IF(G27=4,E27,0)</f>
        <v>7509.08</v>
      </c>
      <c r="J27" s="25"/>
      <c r="K27" s="19"/>
      <c r="L27" s="26" t="n">
        <v>6576.4</v>
      </c>
      <c r="M27" s="60"/>
      <c r="N27" s="70" t="n">
        <f aca="false">L27/I27</f>
        <v>0.875793039893036</v>
      </c>
      <c r="O27" s="66"/>
      <c r="R27" s="30" t="s">
        <v>13</v>
      </c>
      <c r="S27" s="39"/>
      <c r="T27" s="89"/>
    </row>
    <row r="28" customFormat="false" ht="12.75" hidden="false" customHeight="true" outlineLevel="0" collapsed="false">
      <c r="B28" s="23" t="n">
        <f aca="false">B27+1</f>
        <v>2</v>
      </c>
      <c r="C28" s="19" t="s">
        <v>49</v>
      </c>
      <c r="D28" s="11" t="n">
        <v>22337</v>
      </c>
      <c r="E28" s="21" t="n">
        <v>6475</v>
      </c>
      <c r="F28" s="22" t="s">
        <v>42</v>
      </c>
      <c r="G28" s="23" t="n">
        <v>4</v>
      </c>
      <c r="H28" s="88"/>
      <c r="I28" s="24" t="n">
        <f aca="false">IF(G28=4,E28,0)</f>
        <v>6475</v>
      </c>
      <c r="J28" s="25"/>
      <c r="K28" s="19"/>
      <c r="L28" s="26" t="n">
        <v>6391.26</v>
      </c>
      <c r="M28" s="60"/>
      <c r="N28" s="90" t="n">
        <f aca="false">L28/I28</f>
        <v>0.987067181467182</v>
      </c>
      <c r="O28" s="52"/>
      <c r="P28" s="34" t="s">
        <v>22</v>
      </c>
      <c r="Q28" s="91" t="s">
        <v>50</v>
      </c>
      <c r="R28" s="92"/>
      <c r="S28" s="39"/>
      <c r="T28" s="46"/>
    </row>
    <row r="29" customFormat="false" ht="12.75" hidden="false" customHeight="true" outlineLevel="0" collapsed="false">
      <c r="B29" s="23" t="n">
        <f aca="false">B28+1</f>
        <v>3</v>
      </c>
      <c r="C29" s="19" t="s">
        <v>51</v>
      </c>
      <c r="D29" s="11" t="n">
        <v>23544</v>
      </c>
      <c r="E29" s="21" t="n">
        <v>1250</v>
      </c>
      <c r="F29" s="22" t="s">
        <v>42</v>
      </c>
      <c r="G29" s="23" t="n">
        <v>4</v>
      </c>
      <c r="H29" s="88"/>
      <c r="I29" s="24" t="n">
        <f aca="false">IF(G29=4,E29,0)</f>
        <v>1250</v>
      </c>
      <c r="J29" s="25"/>
      <c r="K29" s="19"/>
      <c r="L29" s="26" t="n">
        <v>1147.8</v>
      </c>
      <c r="M29" s="93"/>
      <c r="N29" s="70" t="n">
        <f aca="false">L29/I29</f>
        <v>0.91824</v>
      </c>
      <c r="O29" s="52"/>
      <c r="P29" s="43" t="s">
        <v>26</v>
      </c>
      <c r="Q29" s="94" t="s">
        <v>50</v>
      </c>
      <c r="R29" s="95"/>
      <c r="S29" s="45"/>
      <c r="T29" s="38"/>
    </row>
    <row r="30" customFormat="false" ht="12.75" hidden="false" customHeight="true" outlineLevel="0" collapsed="false">
      <c r="B30" s="23" t="n">
        <f aca="false">B29+1</f>
        <v>4</v>
      </c>
      <c r="C30" s="72" t="s">
        <v>52</v>
      </c>
      <c r="D30" s="11" t="n">
        <v>102835</v>
      </c>
      <c r="E30" s="65" t="n">
        <v>1000</v>
      </c>
      <c r="F30" s="22" t="s">
        <v>25</v>
      </c>
      <c r="G30" s="23" t="n">
        <v>4</v>
      </c>
      <c r="H30" s="88"/>
      <c r="I30" s="24" t="n">
        <f aca="false">IF(G30=4,E30,0)</f>
        <v>1000</v>
      </c>
      <c r="J30" s="24"/>
      <c r="K30" s="19"/>
      <c r="L30" s="26" t="n">
        <v>1000</v>
      </c>
      <c r="M30" s="60"/>
      <c r="N30" s="96" t="n">
        <f aca="false">L30/I30</f>
        <v>1</v>
      </c>
      <c r="O30" s="66"/>
      <c r="P30" s="56" t="s">
        <v>31</v>
      </c>
      <c r="Q30" s="97" t="s">
        <v>53</v>
      </c>
      <c r="S30" s="39"/>
      <c r="T30" s="38"/>
    </row>
    <row r="31" customFormat="false" ht="12.75" hidden="false" customHeight="true" outlineLevel="0" collapsed="false">
      <c r="B31" s="23" t="n">
        <f aca="false">B30+1</f>
        <v>5</v>
      </c>
      <c r="C31" s="64" t="s">
        <v>54</v>
      </c>
      <c r="D31" s="11" t="n">
        <v>102817</v>
      </c>
      <c r="E31" s="98" t="n">
        <v>2000</v>
      </c>
      <c r="F31" s="22" t="s">
        <v>21</v>
      </c>
      <c r="G31" s="23" t="n">
        <v>1</v>
      </c>
      <c r="I31" s="24" t="n">
        <f aca="false">IF(G31=1,E31,0)</f>
        <v>2000</v>
      </c>
      <c r="J31" s="25"/>
      <c r="K31" s="26"/>
      <c r="L31" s="26" t="n">
        <v>1787</v>
      </c>
      <c r="M31" s="19"/>
      <c r="N31" s="28" t="n">
        <f aca="false">L31/I31</f>
        <v>0.8935</v>
      </c>
      <c r="O31" s="52"/>
      <c r="T31" s="39"/>
      <c r="U31" s="39"/>
      <c r="V31" s="39"/>
    </row>
    <row r="32" customFormat="false" ht="12.75" hidden="false" customHeight="true" outlineLevel="0" collapsed="false">
      <c r="B32" s="23" t="n">
        <f aca="false">B31+1</f>
        <v>6</v>
      </c>
      <c r="C32" s="0" t="s">
        <v>55</v>
      </c>
      <c r="D32" s="22" t="n">
        <v>103938</v>
      </c>
      <c r="E32" s="21" t="n">
        <v>1000</v>
      </c>
      <c r="F32" s="22" t="s">
        <v>56</v>
      </c>
      <c r="G32" s="23" t="n">
        <v>4</v>
      </c>
      <c r="I32" s="24" t="n">
        <f aca="false">IF(G32=4,E32,0)</f>
        <v>1000</v>
      </c>
      <c r="L32" s="99" t="n">
        <v>976.2</v>
      </c>
      <c r="N32" s="100" t="n">
        <f aca="false">L32/I32</f>
        <v>0.9762</v>
      </c>
      <c r="O32" s="66"/>
      <c r="P32" s="56" t="s">
        <v>33</v>
      </c>
      <c r="Q32" s="57" t="s">
        <v>57</v>
      </c>
      <c r="S32" s="39"/>
    </row>
    <row r="33" customFormat="false" ht="12.75" hidden="false" customHeight="true" outlineLevel="0" collapsed="false">
      <c r="B33" s="23" t="n">
        <f aca="false">B32+1</f>
        <v>7</v>
      </c>
      <c r="C33" s="19" t="s">
        <v>58</v>
      </c>
      <c r="D33" s="11" t="n">
        <v>22334</v>
      </c>
      <c r="E33" s="21" t="n">
        <v>750</v>
      </c>
      <c r="F33" s="22" t="s">
        <v>42</v>
      </c>
      <c r="G33" s="23" t="n">
        <v>4</v>
      </c>
      <c r="H33" s="88"/>
      <c r="I33" s="24" t="n">
        <f aca="false">IF(G33=4,E33,0)</f>
        <v>750</v>
      </c>
      <c r="J33" s="25"/>
      <c r="K33" s="19"/>
      <c r="L33" s="26" t="n">
        <v>700.6</v>
      </c>
      <c r="M33" s="60"/>
      <c r="N33" s="28" t="n">
        <f aca="false">L33/I33</f>
        <v>0.934133333333333</v>
      </c>
      <c r="O33" s="52"/>
      <c r="P33" s="56" t="s">
        <v>36</v>
      </c>
      <c r="Q33" s="57" t="s">
        <v>37</v>
      </c>
      <c r="S33" s="39"/>
    </row>
    <row r="34" customFormat="false" ht="12.75" hidden="false" customHeight="true" outlineLevel="0" collapsed="false">
      <c r="B34" s="101" t="n">
        <f aca="false">B33+1</f>
        <v>8</v>
      </c>
      <c r="C34" s="102" t="s">
        <v>59</v>
      </c>
      <c r="D34" s="103" t="n">
        <v>103665</v>
      </c>
      <c r="E34" s="104" t="n">
        <f aca="false">620.91-75-15</f>
        <v>530.91</v>
      </c>
      <c r="F34" s="105" t="s">
        <v>42</v>
      </c>
      <c r="G34" s="106" t="n">
        <v>4</v>
      </c>
      <c r="H34" s="107"/>
      <c r="I34" s="108" t="n">
        <f aca="false">IF(G34=4,E34,0)</f>
        <v>530.91</v>
      </c>
      <c r="J34" s="107"/>
      <c r="K34" s="102"/>
      <c r="L34" s="109" t="n">
        <v>512.3</v>
      </c>
      <c r="M34" s="110"/>
      <c r="N34" s="28" t="n">
        <f aca="false">L34/I34</f>
        <v>0.964946977830517</v>
      </c>
      <c r="O34" s="52"/>
      <c r="P34" s="56" t="s">
        <v>38</v>
      </c>
      <c r="Q34" s="57" t="s">
        <v>39</v>
      </c>
    </row>
    <row r="35" customFormat="false" ht="12.75" hidden="false" customHeight="true" outlineLevel="0" collapsed="false">
      <c r="B35" s="23" t="n">
        <f aca="false">B34+1</f>
        <v>9</v>
      </c>
      <c r="C35" s="19" t="s">
        <v>60</v>
      </c>
      <c r="D35" s="11" t="n">
        <v>22312</v>
      </c>
      <c r="E35" s="21" t="n">
        <f aca="false">136+114</f>
        <v>250</v>
      </c>
      <c r="F35" s="22" t="s">
        <v>21</v>
      </c>
      <c r="G35" s="23" t="n">
        <v>4</v>
      </c>
      <c r="H35" s="88"/>
      <c r="I35" s="24" t="n">
        <f aca="false">IF(G35=4,E35,0)</f>
        <v>250</v>
      </c>
      <c r="J35" s="25"/>
      <c r="K35" s="19"/>
      <c r="L35" s="26" t="n">
        <v>224.36</v>
      </c>
      <c r="M35" s="69"/>
      <c r="N35" s="28" t="n">
        <f aca="false">L35/I35</f>
        <v>0.89744</v>
      </c>
      <c r="O35" s="52"/>
      <c r="P35" s="56"/>
      <c r="Q35" s="57"/>
    </row>
    <row r="36" customFormat="false" ht="12.75" hidden="false" customHeight="true" outlineLevel="0" collapsed="false">
      <c r="B36" s="111" t="n">
        <f aca="false">1</f>
        <v>1</v>
      </c>
      <c r="C36" s="112" t="s">
        <v>61</v>
      </c>
      <c r="D36" s="113" t="n">
        <v>22309</v>
      </c>
      <c r="E36" s="114" t="n">
        <v>202.51</v>
      </c>
      <c r="F36" s="115" t="s">
        <v>42</v>
      </c>
      <c r="G36" s="116" t="n">
        <v>4</v>
      </c>
      <c r="H36" s="117"/>
      <c r="I36" s="118" t="n">
        <v>0</v>
      </c>
      <c r="J36" s="117"/>
      <c r="K36" s="112"/>
      <c r="L36" s="119" t="n">
        <v>0</v>
      </c>
      <c r="M36" s="120"/>
      <c r="N36" s="121" t="e">
        <f aca="false">L36/I36</f>
        <v>#DIV/0!</v>
      </c>
      <c r="O36" s="52"/>
    </row>
    <row r="37" customFormat="false" ht="12.75" hidden="false" customHeight="true" outlineLevel="0" collapsed="false">
      <c r="B37" s="111" t="n">
        <f aca="false">B36+1</f>
        <v>2</v>
      </c>
      <c r="C37" s="122" t="s">
        <v>62</v>
      </c>
      <c r="D37" s="113" t="n">
        <v>22315</v>
      </c>
      <c r="E37" s="114" t="n">
        <v>79.449</v>
      </c>
      <c r="F37" s="115" t="s">
        <v>42</v>
      </c>
      <c r="G37" s="116" t="n">
        <v>4</v>
      </c>
      <c r="H37" s="117"/>
      <c r="I37" s="118" t="n">
        <v>0</v>
      </c>
      <c r="J37" s="117"/>
      <c r="K37" s="112"/>
      <c r="L37" s="119" t="n">
        <v>0</v>
      </c>
      <c r="M37" s="123"/>
      <c r="N37" s="124" t="e">
        <f aca="false">L37/I37</f>
        <v>#DIV/0!</v>
      </c>
      <c r="O37" s="52"/>
      <c r="R37" s="125"/>
    </row>
    <row r="38" customFormat="false" ht="12.75" hidden="false" customHeight="true" outlineLevel="0" collapsed="false">
      <c r="B38" s="23" t="n">
        <f aca="false">B35+1</f>
        <v>10</v>
      </c>
      <c r="C38" s="19" t="s">
        <v>63</v>
      </c>
      <c r="D38" s="22" t="n">
        <v>22344</v>
      </c>
      <c r="E38" s="21" t="n">
        <v>50</v>
      </c>
      <c r="F38" s="22" t="s">
        <v>19</v>
      </c>
      <c r="G38" s="23" t="n">
        <v>4</v>
      </c>
      <c r="H38" s="88"/>
      <c r="I38" s="24" t="n">
        <f aca="false">IF(G38=4,E38,0)</f>
        <v>50</v>
      </c>
      <c r="J38" s="25"/>
      <c r="K38" s="126"/>
      <c r="L38" s="59" t="n">
        <v>40.4</v>
      </c>
      <c r="M38" s="19"/>
      <c r="N38" s="28" t="n">
        <f aca="false">L38/I38</f>
        <v>0.808</v>
      </c>
      <c r="O38" s="66"/>
    </row>
    <row r="39" customFormat="false" ht="12.75" hidden="false" customHeight="true" outlineLevel="0" collapsed="false">
      <c r="B39" s="111" t="n">
        <f aca="false">B37+1</f>
        <v>3</v>
      </c>
      <c r="C39" s="112" t="s">
        <v>64</v>
      </c>
      <c r="D39" s="113" t="n">
        <v>22311</v>
      </c>
      <c r="E39" s="114" t="n">
        <v>45</v>
      </c>
      <c r="F39" s="115" t="s">
        <v>19</v>
      </c>
      <c r="G39" s="116" t="n">
        <v>4</v>
      </c>
      <c r="H39" s="117"/>
      <c r="I39" s="118" t="n">
        <v>0</v>
      </c>
      <c r="J39" s="117"/>
      <c r="K39" s="112"/>
      <c r="L39" s="119" t="n">
        <v>0</v>
      </c>
      <c r="M39" s="112"/>
      <c r="N39" s="121" t="e">
        <f aca="false">L39/I39</f>
        <v>#DIV/0!</v>
      </c>
      <c r="O39" s="66"/>
      <c r="S39" s="39"/>
      <c r="T39" s="39"/>
      <c r="U39" s="39"/>
      <c r="V39" s="39"/>
      <c r="W39" s="39"/>
    </row>
    <row r="40" customFormat="false" ht="12.75" hidden="false" customHeight="true" outlineLevel="0" collapsed="false">
      <c r="B40" s="111" t="n">
        <f aca="false">B39+1</f>
        <v>4</v>
      </c>
      <c r="C40" s="112" t="s">
        <v>65</v>
      </c>
      <c r="D40" s="113" t="n">
        <v>22323</v>
      </c>
      <c r="E40" s="114" t="n">
        <v>45</v>
      </c>
      <c r="F40" s="115" t="s">
        <v>19</v>
      </c>
      <c r="G40" s="116" t="n">
        <v>4</v>
      </c>
      <c r="H40" s="117"/>
      <c r="I40" s="118" t="n">
        <v>0</v>
      </c>
      <c r="J40" s="117"/>
      <c r="K40" s="112"/>
      <c r="L40" s="119" t="n">
        <v>0</v>
      </c>
      <c r="M40" s="127"/>
      <c r="N40" s="121" t="e">
        <f aca="false">L40/I40</f>
        <v>#DIV/0!</v>
      </c>
      <c r="O40" s="66"/>
      <c r="Q40" s="58"/>
      <c r="R40" s="58"/>
      <c r="S40" s="34"/>
      <c r="T40" s="35"/>
      <c r="U40" s="36"/>
      <c r="V40" s="37"/>
      <c r="W40" s="46"/>
    </row>
    <row r="41" customFormat="false" ht="12.75" hidden="false" customHeight="true" outlineLevel="0" collapsed="false">
      <c r="B41" s="111" t="n">
        <f aca="false">B40+1</f>
        <v>5</v>
      </c>
      <c r="C41" s="112" t="s">
        <v>66</v>
      </c>
      <c r="D41" s="113" t="n">
        <v>105214</v>
      </c>
      <c r="E41" s="114" t="n">
        <v>35.551</v>
      </c>
      <c r="F41" s="115" t="s">
        <v>19</v>
      </c>
      <c r="G41" s="116" t="n">
        <v>4</v>
      </c>
      <c r="H41" s="117"/>
      <c r="I41" s="118" t="n">
        <v>0</v>
      </c>
      <c r="J41" s="117"/>
      <c r="K41" s="112"/>
      <c r="L41" s="119" t="n">
        <v>0</v>
      </c>
      <c r="M41" s="127"/>
      <c r="N41" s="121" t="e">
        <f aca="false">L41/I41</f>
        <v>#DIV/0!</v>
      </c>
      <c r="O41" s="66"/>
      <c r="Q41" s="58"/>
      <c r="R41" s="58"/>
      <c r="S41" s="34"/>
      <c r="T41" s="35"/>
      <c r="U41" s="36"/>
      <c r="V41" s="37"/>
      <c r="W41" s="46"/>
    </row>
    <row r="42" customFormat="false" ht="12.75" hidden="false" customHeight="true" outlineLevel="0" collapsed="false">
      <c r="B42" s="111" t="n">
        <f aca="false">B41+1</f>
        <v>6</v>
      </c>
      <c r="C42" s="112" t="s">
        <v>67</v>
      </c>
      <c r="D42" s="113" t="n">
        <v>22303</v>
      </c>
      <c r="E42" s="114" t="n">
        <v>32.4</v>
      </c>
      <c r="F42" s="115" t="s">
        <v>42</v>
      </c>
      <c r="G42" s="116" t="n">
        <v>4</v>
      </c>
      <c r="H42" s="117"/>
      <c r="I42" s="118" t="n">
        <v>0</v>
      </c>
      <c r="J42" s="117"/>
      <c r="K42" s="112"/>
      <c r="L42" s="119" t="n">
        <v>0</v>
      </c>
      <c r="M42" s="112"/>
      <c r="N42" s="121" t="e">
        <f aca="false">L42/I42</f>
        <v>#DIV/0!</v>
      </c>
      <c r="O42" s="52"/>
      <c r="S42" s="39"/>
      <c r="T42" s="39"/>
      <c r="U42" s="39"/>
      <c r="V42" s="39"/>
      <c r="W42" s="39"/>
    </row>
    <row r="43" customFormat="false" ht="12.75" hidden="false" customHeight="true" outlineLevel="0" collapsed="false">
      <c r="B43" s="111" t="n">
        <f aca="false">B42+1</f>
        <v>7</v>
      </c>
      <c r="C43" s="112" t="s">
        <v>68</v>
      </c>
      <c r="D43" s="113" t="n">
        <v>22328</v>
      </c>
      <c r="E43" s="114" t="n">
        <v>25</v>
      </c>
      <c r="F43" s="115" t="s">
        <v>19</v>
      </c>
      <c r="G43" s="116" t="n">
        <v>4</v>
      </c>
      <c r="H43" s="117"/>
      <c r="I43" s="118" t="n">
        <v>0</v>
      </c>
      <c r="J43" s="117"/>
      <c r="K43" s="112"/>
      <c r="L43" s="128" t="n">
        <v>0</v>
      </c>
      <c r="M43" s="112"/>
      <c r="N43" s="121" t="e">
        <f aca="false">L43/I43</f>
        <v>#DIV/0!</v>
      </c>
      <c r="O43" s="66"/>
      <c r="S43" s="34"/>
      <c r="T43" s="35"/>
      <c r="U43" s="39"/>
      <c r="V43" s="39"/>
      <c r="W43" s="38"/>
    </row>
    <row r="44" customFormat="false" ht="12.75" hidden="false" customHeight="true" outlineLevel="0" collapsed="false">
      <c r="B44" s="111" t="n">
        <f aca="false">B43+1</f>
        <v>8</v>
      </c>
      <c r="C44" s="112" t="s">
        <v>69</v>
      </c>
      <c r="D44" s="113" t="n">
        <v>22302</v>
      </c>
      <c r="E44" s="114" t="n">
        <v>18</v>
      </c>
      <c r="F44" s="115" t="s">
        <v>42</v>
      </c>
      <c r="G44" s="116" t="n">
        <v>4</v>
      </c>
      <c r="H44" s="117"/>
      <c r="I44" s="118" t="n">
        <v>0</v>
      </c>
      <c r="J44" s="117"/>
      <c r="K44" s="112"/>
      <c r="L44" s="119" t="n">
        <v>0</v>
      </c>
      <c r="M44" s="113"/>
      <c r="N44" s="121" t="e">
        <f aca="false">L44/I44</f>
        <v>#DIV/0!</v>
      </c>
      <c r="O44" s="66"/>
      <c r="S44" s="34"/>
      <c r="T44" s="35"/>
      <c r="U44" s="39"/>
      <c r="V44" s="39"/>
      <c r="W44" s="38"/>
    </row>
    <row r="45" customFormat="false" ht="12.75" hidden="false" customHeight="true" outlineLevel="0" collapsed="false">
      <c r="B45" s="111" t="n">
        <f aca="false">B63+1</f>
        <v>11</v>
      </c>
      <c r="C45" s="112" t="s">
        <v>70</v>
      </c>
      <c r="D45" s="113" t="n">
        <v>22368</v>
      </c>
      <c r="E45" s="114" t="n">
        <v>15</v>
      </c>
      <c r="F45" s="115" t="s">
        <v>21</v>
      </c>
      <c r="G45" s="116" t="n">
        <v>4</v>
      </c>
      <c r="H45" s="117"/>
      <c r="I45" s="118" t="n">
        <v>0</v>
      </c>
      <c r="J45" s="117"/>
      <c r="K45" s="112"/>
      <c r="L45" s="119" t="n">
        <v>0</v>
      </c>
      <c r="M45" s="129"/>
      <c r="N45" s="121" t="e">
        <f aca="false">L45/I45</f>
        <v>#DIV/0!</v>
      </c>
      <c r="O45" s="66"/>
      <c r="S45" s="39"/>
      <c r="T45" s="39"/>
      <c r="U45" s="39"/>
      <c r="V45" s="39"/>
      <c r="W45" s="39"/>
    </row>
    <row r="46" customFormat="false" ht="12.75" hidden="false" customHeight="true" outlineLevel="0" collapsed="false">
      <c r="B46" s="111" t="n">
        <f aca="false">B45+1</f>
        <v>12</v>
      </c>
      <c r="C46" s="112" t="s">
        <v>71</v>
      </c>
      <c r="D46" s="113" t="n">
        <v>22324</v>
      </c>
      <c r="E46" s="114" t="n">
        <v>15</v>
      </c>
      <c r="F46" s="115" t="s">
        <v>21</v>
      </c>
      <c r="G46" s="116" t="n">
        <v>4</v>
      </c>
      <c r="H46" s="117"/>
      <c r="I46" s="118" t="n">
        <v>0</v>
      </c>
      <c r="J46" s="117"/>
      <c r="K46" s="112"/>
      <c r="L46" s="119" t="n">
        <v>0</v>
      </c>
      <c r="M46" s="129"/>
      <c r="N46" s="124" t="e">
        <f aca="false">L46/I46</f>
        <v>#DIV/0!</v>
      </c>
      <c r="O46" s="52"/>
    </row>
    <row r="47" customFormat="false" ht="12.75" hidden="false" customHeight="true" outlineLevel="0" collapsed="false">
      <c r="B47" s="130" t="n">
        <f aca="false">B38+1</f>
        <v>11</v>
      </c>
      <c r="C47" s="19" t="s">
        <v>72</v>
      </c>
      <c r="D47" s="11" t="n">
        <v>22301</v>
      </c>
      <c r="E47" s="21" t="n">
        <v>13.777</v>
      </c>
      <c r="F47" s="22" t="s">
        <v>21</v>
      </c>
      <c r="G47" s="23" t="n">
        <v>4</v>
      </c>
      <c r="H47" s="88"/>
      <c r="I47" s="24" t="n">
        <f aca="false">IF(G47=4,E47,0)</f>
        <v>13.777</v>
      </c>
      <c r="J47" s="25"/>
      <c r="K47" s="19"/>
      <c r="L47" s="26" t="n">
        <v>11.8</v>
      </c>
      <c r="M47" s="93"/>
      <c r="N47" s="28" t="n">
        <f aca="false">L47/I47</f>
        <v>0.856499963707629</v>
      </c>
      <c r="O47" s="66"/>
    </row>
    <row r="48" customFormat="false" ht="12.75" hidden="false" customHeight="true" outlineLevel="0" collapsed="false">
      <c r="B48" s="111" t="n">
        <f aca="false">B46+1</f>
        <v>13</v>
      </c>
      <c r="C48" s="112" t="s">
        <v>73</v>
      </c>
      <c r="D48" s="113" t="n">
        <v>22304</v>
      </c>
      <c r="E48" s="114" t="n">
        <v>10</v>
      </c>
      <c r="F48" s="115" t="s">
        <v>42</v>
      </c>
      <c r="G48" s="116" t="n">
        <v>4</v>
      </c>
      <c r="H48" s="117"/>
      <c r="I48" s="118" t="n">
        <v>0</v>
      </c>
      <c r="J48" s="117"/>
      <c r="K48" s="112"/>
      <c r="L48" s="119" t="n">
        <v>0</v>
      </c>
      <c r="M48" s="112"/>
      <c r="N48" s="121" t="e">
        <f aca="false">L48/I48</f>
        <v>#DIV/0!</v>
      </c>
      <c r="O48" s="66"/>
    </row>
    <row r="49" customFormat="false" ht="12.75" hidden="false" customHeight="true" outlineLevel="0" collapsed="false">
      <c r="B49" s="111" t="n">
        <f aca="false">B48+1</f>
        <v>14</v>
      </c>
      <c r="C49" s="112" t="s">
        <v>74</v>
      </c>
      <c r="D49" s="113" t="n">
        <v>22327</v>
      </c>
      <c r="E49" s="131" t="n">
        <v>8</v>
      </c>
      <c r="F49" s="115" t="s">
        <v>19</v>
      </c>
      <c r="G49" s="116" t="n">
        <v>4</v>
      </c>
      <c r="H49" s="132"/>
      <c r="I49" s="133" t="n">
        <v>0</v>
      </c>
      <c r="J49" s="132"/>
      <c r="K49" s="112"/>
      <c r="L49" s="119" t="n">
        <v>0</v>
      </c>
      <c r="M49" s="112"/>
      <c r="N49" s="121" t="e">
        <f aca="false">L49/I49</f>
        <v>#DIV/0!</v>
      </c>
      <c r="O49" s="52"/>
    </row>
    <row r="50" customFormat="false" ht="12.75" hidden="false" customHeight="true" outlineLevel="0" collapsed="false">
      <c r="E50" s="78"/>
      <c r="F50" s="22"/>
      <c r="G50" s="77" t="s">
        <v>75</v>
      </c>
      <c r="H50" s="80"/>
      <c r="I50" s="79" t="n">
        <f aca="false">SUM(I27:I35,I38,I47)</f>
        <v>20828.767</v>
      </c>
      <c r="J50" s="80"/>
      <c r="L50" s="134" t="n">
        <f aca="false">SUM(L27:L35,L38,L47)</f>
        <v>19368.12</v>
      </c>
      <c r="N50" s="82" t="n">
        <f aca="false">L50/I68</f>
        <v>0.929873573409314</v>
      </c>
      <c r="O50" s="66"/>
    </row>
    <row r="51" customFormat="false" ht="12.75" hidden="false" customHeight="false" outlineLevel="0" collapsed="false">
      <c r="A51" s="6"/>
      <c r="B51" s="6"/>
      <c r="C51" s="6"/>
      <c r="D51" s="6"/>
      <c r="E51" s="83"/>
      <c r="F51" s="84"/>
      <c r="G51" s="84"/>
      <c r="H51" s="85"/>
      <c r="I51" s="85"/>
      <c r="J51" s="85"/>
      <c r="K51" s="6"/>
      <c r="L51" s="6"/>
      <c r="M51" s="6"/>
      <c r="N51" s="6"/>
      <c r="O51" s="6"/>
      <c r="P51" s="6"/>
      <c r="Q51" s="6"/>
      <c r="R51" s="6"/>
      <c r="S51" s="6"/>
    </row>
    <row r="52" customFormat="false" ht="12.75" hidden="false" customHeight="false" outlineLevel="0" collapsed="false">
      <c r="A52" s="92"/>
      <c r="B52" s="92"/>
      <c r="C52" s="92"/>
      <c r="D52" s="92"/>
      <c r="E52" s="135"/>
      <c r="F52" s="136"/>
      <c r="G52" s="136"/>
      <c r="H52" s="137"/>
      <c r="I52" s="137"/>
      <c r="J52" s="137"/>
      <c r="K52" s="92"/>
      <c r="L52" s="92"/>
      <c r="M52" s="92"/>
      <c r="N52" s="92"/>
      <c r="O52" s="92"/>
      <c r="P52" s="92"/>
      <c r="Q52" s="92"/>
      <c r="R52" s="92"/>
      <c r="S52" s="92"/>
    </row>
    <row r="53" customFormat="false" ht="12.75" hidden="false" customHeight="false" outlineLevel="0" collapsed="false">
      <c r="E53" s="78"/>
      <c r="F53" s="22"/>
      <c r="G53" s="22"/>
      <c r="H53" s="80"/>
      <c r="I53" s="80"/>
      <c r="J53" s="80"/>
    </row>
    <row r="54" customFormat="false" ht="12.75" hidden="false" customHeight="true" outlineLevel="0" collapsed="false">
      <c r="B54" s="138" t="n">
        <f aca="false">1</f>
        <v>1</v>
      </c>
      <c r="C54" s="19" t="s">
        <v>76</v>
      </c>
      <c r="D54" s="11" t="n">
        <v>22316</v>
      </c>
      <c r="E54" s="21" t="n">
        <v>6461.232</v>
      </c>
      <c r="F54" s="22" t="s">
        <v>19</v>
      </c>
      <c r="G54" s="23" t="n">
        <v>3</v>
      </c>
      <c r="H54" s="88"/>
      <c r="I54" s="88"/>
      <c r="J54" s="24" t="n">
        <f aca="false">IF(G54=3,E54,0)</f>
        <v>6461.232</v>
      </c>
      <c r="K54" s="19"/>
      <c r="L54" s="26" t="n">
        <v>6410</v>
      </c>
      <c r="M54" s="19"/>
      <c r="N54" s="139" t="n">
        <f aca="false">L54/J54</f>
        <v>0.992070862027552</v>
      </c>
      <c r="O54" s="66"/>
      <c r="R54" s="30" t="s">
        <v>14</v>
      </c>
      <c r="T54" s="89"/>
    </row>
    <row r="55" customFormat="false" ht="12.75" hidden="false" customHeight="true" outlineLevel="0" collapsed="false">
      <c r="B55" s="140" t="n">
        <f aca="false">B54+1</f>
        <v>2</v>
      </c>
      <c r="C55" s="19" t="s">
        <v>77</v>
      </c>
      <c r="D55" s="11" t="n">
        <v>22335</v>
      </c>
      <c r="E55" s="21" t="n">
        <v>864.828</v>
      </c>
      <c r="F55" s="22" t="s">
        <v>19</v>
      </c>
      <c r="G55" s="23" t="n">
        <v>3</v>
      </c>
      <c r="H55" s="88"/>
      <c r="I55" s="24"/>
      <c r="J55" s="24" t="n">
        <f aca="false">IF(G55=3,E55,0)</f>
        <v>864.828</v>
      </c>
      <c r="K55" s="19"/>
      <c r="L55" s="26" t="n">
        <v>761.5</v>
      </c>
      <c r="M55" s="93"/>
      <c r="N55" s="141" t="n">
        <f aca="false">L55/J55</f>
        <v>0.880521907246296</v>
      </c>
      <c r="O55" s="66"/>
      <c r="P55" s="34" t="s">
        <v>22</v>
      </c>
      <c r="Q55" s="91" t="s">
        <v>50</v>
      </c>
      <c r="R55" s="92"/>
      <c r="S55" s="92"/>
      <c r="T55" s="46"/>
    </row>
    <row r="56" customFormat="false" ht="12.75" hidden="false" customHeight="true" outlineLevel="0" collapsed="false">
      <c r="B56" s="138" t="n">
        <f aca="false">B55+1</f>
        <v>3</v>
      </c>
      <c r="C56" s="19" t="s">
        <v>78</v>
      </c>
      <c r="D56" s="11" t="n">
        <v>22342</v>
      </c>
      <c r="E56" s="87" t="n">
        <v>500</v>
      </c>
      <c r="F56" s="22" t="s">
        <v>19</v>
      </c>
      <c r="G56" s="23" t="n">
        <v>3</v>
      </c>
      <c r="H56" s="80"/>
      <c r="I56" s="80"/>
      <c r="J56" s="142" t="n">
        <f aca="false">IF(G56=3,E56,0)</f>
        <v>500</v>
      </c>
      <c r="K56" s="19"/>
      <c r="L56" s="26" t="n">
        <v>379.84</v>
      </c>
      <c r="M56" s="19"/>
      <c r="N56" s="139" t="n">
        <f aca="false">L56/J56</f>
        <v>0.75968</v>
      </c>
      <c r="O56" s="66"/>
      <c r="P56" s="43" t="s">
        <v>26</v>
      </c>
      <c r="Q56" s="94" t="s">
        <v>50</v>
      </c>
      <c r="R56" s="95"/>
      <c r="S56" s="95"/>
      <c r="T56" s="38"/>
    </row>
    <row r="57" customFormat="false" ht="12.75" hidden="false" customHeight="true" outlineLevel="0" collapsed="false">
      <c r="B57" s="138" t="n">
        <f aca="false">B56+1</f>
        <v>4</v>
      </c>
      <c r="C57" s="19" t="s">
        <v>79</v>
      </c>
      <c r="D57" s="11" t="n">
        <v>102950</v>
      </c>
      <c r="E57" s="21" t="n">
        <v>500</v>
      </c>
      <c r="F57" s="22" t="s">
        <v>21</v>
      </c>
      <c r="G57" s="23" t="n">
        <v>3</v>
      </c>
      <c r="H57" s="88"/>
      <c r="I57" s="88"/>
      <c r="J57" s="24" t="n">
        <f aca="false">IF(G57=3,E57,0)</f>
        <v>500</v>
      </c>
      <c r="K57" s="19"/>
      <c r="L57" s="26" t="n">
        <v>478.27</v>
      </c>
      <c r="M57" s="19"/>
      <c r="N57" s="96" t="n">
        <f aca="false">L57/J57</f>
        <v>0.95654</v>
      </c>
      <c r="O57" s="66"/>
      <c r="P57" s="56" t="s">
        <v>31</v>
      </c>
      <c r="Q57" s="97" t="s">
        <v>53</v>
      </c>
      <c r="T57" s="38"/>
    </row>
    <row r="58" customFormat="false" ht="12.75" hidden="false" customHeight="true" outlineLevel="0" collapsed="false">
      <c r="B58" s="138" t="n">
        <f aca="false">B57+1</f>
        <v>5</v>
      </c>
      <c r="C58" s="19" t="s">
        <v>79</v>
      </c>
      <c r="D58" s="11" t="n">
        <v>22321</v>
      </c>
      <c r="E58" s="98" t="n">
        <v>400</v>
      </c>
      <c r="F58" s="22" t="s">
        <v>21</v>
      </c>
      <c r="G58" s="23" t="n">
        <v>3</v>
      </c>
      <c r="H58" s="88"/>
      <c r="I58" s="88"/>
      <c r="J58" s="24" t="n">
        <f aca="false">IF(G58=3,E58,0)</f>
        <v>400</v>
      </c>
      <c r="K58" s="19"/>
      <c r="L58" s="26" t="n">
        <v>385.5</v>
      </c>
      <c r="M58" s="19"/>
      <c r="N58" s="96" t="n">
        <f aca="false">L58/J58</f>
        <v>0.96375</v>
      </c>
      <c r="O58" s="66"/>
      <c r="P58" s="56" t="s">
        <v>33</v>
      </c>
      <c r="Q58" s="57" t="s">
        <v>57</v>
      </c>
      <c r="T58" s="38"/>
    </row>
    <row r="59" customFormat="false" ht="12.75" hidden="false" customHeight="true" outlineLevel="0" collapsed="false">
      <c r="B59" s="138" t="n">
        <f aca="false">B58+1</f>
        <v>6</v>
      </c>
      <c r="C59" s="19" t="s">
        <v>80</v>
      </c>
      <c r="D59" s="11" t="n">
        <v>22326</v>
      </c>
      <c r="E59" s="21" t="n">
        <v>29</v>
      </c>
      <c r="F59" s="22" t="s">
        <v>42</v>
      </c>
      <c r="G59" s="23" t="n">
        <v>3</v>
      </c>
      <c r="H59" s="88"/>
      <c r="I59" s="88"/>
      <c r="J59" s="24" t="n">
        <f aca="false">IF(G59=3,E59,0)</f>
        <v>29</v>
      </c>
      <c r="K59" s="19"/>
      <c r="L59" s="26" t="n">
        <v>27.35</v>
      </c>
      <c r="M59" s="19"/>
      <c r="N59" s="70" t="n">
        <f aca="false">L59/J59</f>
        <v>0.943103448275862</v>
      </c>
      <c r="O59" s="52"/>
      <c r="P59" s="56" t="s">
        <v>36</v>
      </c>
      <c r="Q59" s="57" t="s">
        <v>37</v>
      </c>
      <c r="T59" s="39"/>
    </row>
    <row r="60" customFormat="false" ht="12.75" hidden="false" customHeight="true" outlineLevel="0" collapsed="false">
      <c r="B60" s="138" t="n">
        <f aca="false">B59+1</f>
        <v>7</v>
      </c>
      <c r="C60" s="19" t="s">
        <v>81</v>
      </c>
      <c r="D60" s="11" t="n">
        <v>22339</v>
      </c>
      <c r="E60" s="21" t="n">
        <v>18.125</v>
      </c>
      <c r="F60" s="22" t="s">
        <v>21</v>
      </c>
      <c r="G60" s="23" t="n">
        <v>3</v>
      </c>
      <c r="H60" s="88"/>
      <c r="I60" s="88"/>
      <c r="J60" s="24" t="n">
        <f aca="false">IF(G60=3,E60,0)</f>
        <v>18.125</v>
      </c>
      <c r="K60" s="19"/>
      <c r="L60" s="26" t="n">
        <v>18.03</v>
      </c>
      <c r="M60" s="19"/>
      <c r="N60" s="143" t="n">
        <f aca="false">L60/J60</f>
        <v>0.994758620689655</v>
      </c>
      <c r="O60" s="66"/>
      <c r="P60" s="56" t="s">
        <v>38</v>
      </c>
      <c r="Q60" s="57" t="s">
        <v>39</v>
      </c>
      <c r="T60" s="39"/>
    </row>
    <row r="61" customFormat="false" ht="12.75" hidden="false" customHeight="true" outlineLevel="0" collapsed="false">
      <c r="B61" s="138" t="n">
        <f aca="false">B60+1</f>
        <v>8</v>
      </c>
      <c r="C61" s="19" t="s">
        <v>82</v>
      </c>
      <c r="D61" s="11" t="n">
        <v>22308</v>
      </c>
      <c r="E61" s="21" t="n">
        <v>17.145</v>
      </c>
      <c r="F61" s="22" t="s">
        <v>42</v>
      </c>
      <c r="G61" s="23" t="n">
        <v>3</v>
      </c>
      <c r="H61" s="88"/>
      <c r="I61" s="88"/>
      <c r="J61" s="24" t="n">
        <f aca="false">IF(G61=3,E61,0)</f>
        <v>17.145</v>
      </c>
      <c r="K61" s="19"/>
      <c r="L61" s="26" t="n">
        <v>17.07</v>
      </c>
      <c r="M61" s="19"/>
      <c r="N61" s="143" t="n">
        <f aca="false">L61/J61</f>
        <v>0.995625546806649</v>
      </c>
      <c r="O61" s="66"/>
      <c r="P61" s="39"/>
      <c r="Q61" s="39"/>
      <c r="R61" s="39"/>
      <c r="S61" s="39"/>
      <c r="T61" s="39"/>
    </row>
    <row r="62" customFormat="false" ht="12.75" hidden="false" customHeight="true" outlineLevel="0" collapsed="false">
      <c r="B62" s="138" t="n">
        <f aca="false">B61+1</f>
        <v>9</v>
      </c>
      <c r="C62" s="19" t="s">
        <v>83</v>
      </c>
      <c r="D62" s="11" t="n">
        <v>22300</v>
      </c>
      <c r="E62" s="21" t="n">
        <v>16.655</v>
      </c>
      <c r="F62" s="22" t="s">
        <v>19</v>
      </c>
      <c r="G62" s="23" t="n">
        <v>3</v>
      </c>
      <c r="H62" s="88"/>
      <c r="I62" s="88"/>
      <c r="J62" s="24" t="n">
        <f aca="false">IF(G62=3,E62,0)</f>
        <v>16.655</v>
      </c>
      <c r="K62" s="19"/>
      <c r="L62" s="59" t="n">
        <v>16.38</v>
      </c>
      <c r="M62" s="19"/>
      <c r="N62" s="143" t="n">
        <f aca="false">L62/J62</f>
        <v>0.983488441909336</v>
      </c>
      <c r="O62" s="52"/>
    </row>
    <row r="63" customFormat="false" ht="12.75" hidden="false" customHeight="true" outlineLevel="0" collapsed="false">
      <c r="B63" s="138" t="n">
        <f aca="false">B62+1</f>
        <v>10</v>
      </c>
      <c r="C63" s="144" t="s">
        <v>84</v>
      </c>
      <c r="D63" s="145" t="n">
        <v>22332</v>
      </c>
      <c r="E63" s="146" t="n">
        <v>15</v>
      </c>
      <c r="F63" s="147" t="s">
        <v>42</v>
      </c>
      <c r="G63" s="23" t="n">
        <v>3</v>
      </c>
      <c r="H63" s="148"/>
      <c r="I63" s="149"/>
      <c r="J63" s="24" t="n">
        <f aca="false">IF(G63=3,E63,0)</f>
        <v>15</v>
      </c>
      <c r="K63" s="150"/>
      <c r="L63" s="151" t="n">
        <v>14.925</v>
      </c>
      <c r="M63" s="152"/>
      <c r="N63" s="143" t="n">
        <f aca="false">L63/J63</f>
        <v>0.995</v>
      </c>
      <c r="O63" s="66"/>
      <c r="S63" s="34"/>
      <c r="T63" s="35"/>
      <c r="U63" s="39"/>
      <c r="V63" s="39"/>
      <c r="W63" s="38"/>
    </row>
    <row r="64" customFormat="false" ht="12.75" hidden="false" customHeight="true" outlineLevel="0" collapsed="false">
      <c r="B64" s="138" t="n">
        <f aca="false">B63+1</f>
        <v>11</v>
      </c>
      <c r="C64" s="19" t="s">
        <v>85</v>
      </c>
      <c r="D64" s="11" t="n">
        <v>22336</v>
      </c>
      <c r="E64" s="21" t="n">
        <v>14.634</v>
      </c>
      <c r="F64" s="22" t="s">
        <v>21</v>
      </c>
      <c r="G64" s="23" t="n">
        <v>3</v>
      </c>
      <c r="H64" s="88"/>
      <c r="I64" s="88"/>
      <c r="J64" s="24" t="n">
        <f aca="false">IF(G64=3,E64,0)</f>
        <v>14.634</v>
      </c>
      <c r="K64" s="19"/>
      <c r="L64" s="26" t="n">
        <v>14.18</v>
      </c>
      <c r="M64" s="19"/>
      <c r="N64" s="143" t="n">
        <f aca="false">L64/J64</f>
        <v>0.968976356430231</v>
      </c>
      <c r="O64" s="66"/>
    </row>
    <row r="65" customFormat="false" ht="12.75" hidden="false" customHeight="true" outlineLevel="0" collapsed="false">
      <c r="B65" s="138" t="n">
        <f aca="false">B64+1</f>
        <v>12</v>
      </c>
      <c r="C65" s="40" t="s">
        <v>86</v>
      </c>
      <c r="D65" s="11" t="n">
        <v>103962</v>
      </c>
      <c r="E65" s="98" t="n">
        <v>10</v>
      </c>
      <c r="F65" s="22" t="s">
        <v>21</v>
      </c>
      <c r="G65" s="23" t="n">
        <v>3</v>
      </c>
      <c r="H65" s="88"/>
      <c r="I65" s="88"/>
      <c r="J65" s="24" t="n">
        <f aca="false">IF(G65=3,E65,0)</f>
        <v>10</v>
      </c>
      <c r="K65" s="19"/>
      <c r="L65" s="26" t="n">
        <v>9.9</v>
      </c>
      <c r="M65" s="19"/>
      <c r="N65" s="143" t="n">
        <f aca="false">L65/J65</f>
        <v>0.99</v>
      </c>
      <c r="O65" s="52"/>
    </row>
    <row r="66" customFormat="false" ht="12.75" hidden="false" customHeight="true" outlineLevel="0" collapsed="false">
      <c r="B66" s="138" t="n">
        <f aca="false">B65+1</f>
        <v>13</v>
      </c>
      <c r="C66" s="19" t="s">
        <v>87</v>
      </c>
      <c r="D66" s="11" t="n">
        <v>22341</v>
      </c>
      <c r="E66" s="153" t="n">
        <v>8.419</v>
      </c>
      <c r="F66" s="22" t="s">
        <v>21</v>
      </c>
      <c r="G66" s="23" t="n">
        <v>3</v>
      </c>
      <c r="H66" s="88"/>
      <c r="I66" s="88"/>
      <c r="J66" s="24" t="n">
        <f aca="false">IF(G66=3,E66,0)</f>
        <v>8.419</v>
      </c>
      <c r="K66" s="19"/>
      <c r="L66" s="26" t="n">
        <v>8.37</v>
      </c>
      <c r="M66" s="19"/>
      <c r="N66" s="154" t="n">
        <f aca="false">L66/J66</f>
        <v>0.994179831333887</v>
      </c>
      <c r="O66" s="66"/>
    </row>
    <row r="67" customFormat="false" ht="12.75" hidden="false" customHeight="true" outlineLevel="0" collapsed="false">
      <c r="B67" s="155" t="n">
        <f aca="false">B66+1</f>
        <v>14</v>
      </c>
      <c r="C67" s="19" t="s">
        <v>88</v>
      </c>
      <c r="D67" s="156" t="n">
        <v>22340</v>
      </c>
      <c r="E67" s="157" t="n">
        <v>4.975</v>
      </c>
      <c r="F67" s="22" t="s">
        <v>19</v>
      </c>
      <c r="G67" s="23" t="n">
        <v>3</v>
      </c>
      <c r="H67" s="158"/>
      <c r="I67" s="158"/>
      <c r="J67" s="159" t="n">
        <f aca="false">IF(G67=3,E67,0)</f>
        <v>4.975</v>
      </c>
      <c r="K67" s="19"/>
      <c r="L67" s="59" t="n">
        <v>4.975</v>
      </c>
      <c r="M67" s="19"/>
      <c r="N67" s="96" t="n">
        <f aca="false">L67/J67</f>
        <v>1</v>
      </c>
      <c r="O67" s="66"/>
    </row>
    <row r="68" customFormat="false" ht="12.75" hidden="false" customHeight="true" outlineLevel="0" collapsed="false">
      <c r="E68" s="160" t="n">
        <f aca="false">SUM(E9:E11)+E14+E16+SUM(E17:E21)+SUM(E27:E35)+E38+E47+SUM(E54:E67)</f>
        <v>45329.614</v>
      </c>
      <c r="F68" s="22"/>
      <c r="G68" s="22"/>
      <c r="H68" s="161" t="n">
        <f aca="false">SUM(H9:H21)</f>
        <v>15640.834</v>
      </c>
      <c r="I68" s="161" t="n">
        <f aca="false">I50</f>
        <v>20828.767</v>
      </c>
      <c r="J68" s="161" t="n">
        <f aca="false">SUM(J54:J55,J56:J57,J58:J67,)</f>
        <v>8860.013</v>
      </c>
      <c r="K68" s="162"/>
      <c r="L68" s="81" t="n">
        <f aca="false">SUM(L54:L67)</f>
        <v>8546.29</v>
      </c>
      <c r="N68" s="82" t="n">
        <f aca="false">L68/J68</f>
        <v>0.964591135475761</v>
      </c>
      <c r="O68" s="66"/>
    </row>
    <row r="69" customFormat="false" ht="12.75" hidden="false" customHeight="false" outlineLevel="0" collapsed="false">
      <c r="F69" s="22"/>
      <c r="G69" s="163" t="s">
        <v>89</v>
      </c>
      <c r="H69" s="164" t="n">
        <f aca="false">H68/I70</f>
        <v>0.345046706111374</v>
      </c>
      <c r="I69" s="164" t="n">
        <f aca="false">I68/I70</f>
        <v>0.459495794515259</v>
      </c>
      <c r="J69" s="164" t="n">
        <f aca="false">J68/I70</f>
        <v>0.195457499373368</v>
      </c>
      <c r="L69" s="165"/>
    </row>
    <row r="70" customFormat="false" ht="12.75" hidden="false" customHeight="false" outlineLevel="0" collapsed="false">
      <c r="B70" s="130" t="n">
        <f aca="false">B31+B47+B67</f>
        <v>30</v>
      </c>
      <c r="C70" s="138" t="s">
        <v>90</v>
      </c>
      <c r="D70" s="138"/>
      <c r="E70" s="166"/>
      <c r="F70" s="22"/>
      <c r="G70" s="167"/>
      <c r="I70" s="168" t="n">
        <f aca="false">H68+I68+J68</f>
        <v>45329.614</v>
      </c>
      <c r="L70" s="81" t="n">
        <f aca="false">L23+L50+L68</f>
        <v>42773.41</v>
      </c>
      <c r="N70" s="82" t="n">
        <f aca="false">L70/I70</f>
        <v>0.943608520469643</v>
      </c>
    </row>
    <row r="71" customFormat="false" ht="12.75" hidden="false" customHeight="false" outlineLevel="0" collapsed="false">
      <c r="B71" s="23"/>
      <c r="C71" s="138"/>
      <c r="D71" s="11"/>
      <c r="E71" s="166"/>
      <c r="F71" s="22"/>
      <c r="G71" s="22"/>
      <c r="I71" s="169"/>
      <c r="L71" s="170"/>
      <c r="M71" s="92"/>
      <c r="N71" s="171"/>
    </row>
    <row r="72" customFormat="false" ht="12.75" hidden="false" customHeight="false" outlineLevel="0" collapsed="false">
      <c r="B72" s="172"/>
      <c r="C72" s="172"/>
      <c r="D72" s="172"/>
      <c r="E72" s="173"/>
      <c r="F72" s="22"/>
      <c r="G72" s="174"/>
      <c r="I72" s="169"/>
    </row>
    <row r="73" customFormat="false" ht="12.75" hidden="false" customHeight="false" outlineLevel="0" collapsed="false">
      <c r="B73" s="175"/>
      <c r="C73" s="176"/>
      <c r="D73" s="176"/>
      <c r="E73" s="177"/>
      <c r="F73" s="22"/>
      <c r="G73" s="22"/>
      <c r="I73" s="169"/>
    </row>
    <row r="74" customFormat="false" ht="12.75" hidden="false" customHeight="false" outlineLevel="0" collapsed="false">
      <c r="B74" s="138"/>
      <c r="C74" s="178"/>
      <c r="I74" s="169"/>
      <c r="L74" s="179" t="n">
        <f aca="false">L23+L50+L68</f>
        <v>42773.41</v>
      </c>
      <c r="M74" s="180" t="s">
        <v>91</v>
      </c>
      <c r="N74" s="181"/>
    </row>
    <row r="75" customFormat="false" ht="15" hidden="false" customHeight="true" outlineLevel="0" collapsed="false">
      <c r="B75" s="34"/>
      <c r="C75" s="182"/>
      <c r="L75" s="179" t="n">
        <f aca="false">I70-L70</f>
        <v>2556.204</v>
      </c>
      <c r="M75" s="180" t="s">
        <v>92</v>
      </c>
      <c r="N75" s="181"/>
    </row>
    <row r="76" customFormat="false" ht="12.75" hidden="false" customHeight="false" outlineLevel="0" collapsed="false">
      <c r="L76" s="183" t="n">
        <f aca="false">L75/SUM(L75+L74)</f>
        <v>0.0563914795303573</v>
      </c>
      <c r="M76" s="180" t="s">
        <v>92</v>
      </c>
      <c r="N76" s="181"/>
    </row>
    <row r="77" customFormat="false" ht="12.75" hidden="false" customHeight="false" outlineLevel="0" collapsed="false">
      <c r="I77" s="170"/>
    </row>
  </sheetData>
  <mergeCells count="1">
    <mergeCell ref="P8:S8"/>
  </mergeCells>
  <printOptions headings="false" gridLines="true" gridLinesSet="true" horizontalCentered="true" verticalCentered="true"/>
  <pageMargins left="0.2" right="0.2" top="0.7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&amp;L&amp;F&amp;R&amp;T    &amp;D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X74"/>
  <sheetViews>
    <sheetView showFormulas="false" showGridLines="true" showRowColHeaders="true" showZeros="true" rightToLeft="false" tabSelected="false" showOutlineSymbols="true" defaultGridColor="true" view="normal" topLeftCell="H34" colorId="64" zoomScale="75" zoomScaleNormal="75" zoomScalePageLayoutView="100" workbookViewId="0">
      <selection pane="topLeft" activeCell="N69" activeCellId="0" sqref="N6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184" width="30.7"/>
    <col collapsed="false" customWidth="true" hidden="false" outlineLevel="0" max="11" min="4" style="0" width="13.7"/>
    <col collapsed="false" customWidth="true" hidden="false" outlineLevel="0" max="12" min="12" style="0" width="10.71"/>
    <col collapsed="false" customWidth="true" hidden="false" outlineLevel="0" max="14" min="14" style="0" width="9.41"/>
    <col collapsed="false" customWidth="true" hidden="false" outlineLevel="0" max="16" min="16" style="0" width="10.71"/>
  </cols>
  <sheetData>
    <row r="3" customFormat="false" ht="20.25" hidden="false" customHeight="false" outlineLevel="0" collapsed="false">
      <c r="B3" s="1"/>
      <c r="C3" s="185"/>
      <c r="D3" s="1"/>
      <c r="E3" s="2" t="s">
        <v>93</v>
      </c>
      <c r="F3" s="1"/>
      <c r="G3" s="1"/>
      <c r="H3" s="1"/>
      <c r="I3" s="1"/>
      <c r="K3" s="3"/>
      <c r="L3" s="4" t="s">
        <v>1</v>
      </c>
      <c r="M3" s="5"/>
      <c r="N3" s="4" t="s">
        <v>94</v>
      </c>
      <c r="O3" s="3"/>
    </row>
    <row r="5" customFormat="false" ht="12.75" hidden="false" customHeight="false" outlineLevel="0" collapsed="false">
      <c r="A5" s="6"/>
      <c r="B5" s="6"/>
      <c r="C5" s="18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customFormat="false" ht="12.75" hidden="false" customHeight="false" outlineLevel="0" collapsed="false">
      <c r="L6" s="7"/>
      <c r="M6" s="7"/>
      <c r="N6" s="8" t="s">
        <v>3</v>
      </c>
      <c r="O6" s="9"/>
      <c r="P6" s="9"/>
      <c r="Q6" s="9"/>
      <c r="R6" s="9"/>
      <c r="S6" s="9"/>
    </row>
    <row r="7" customFormat="false" ht="12.75" hidden="false" customHeight="false" outlineLevel="0" collapsed="false">
      <c r="K7" s="187"/>
      <c r="L7" s="8" t="s">
        <v>4</v>
      </c>
      <c r="M7" s="10"/>
      <c r="N7" s="8" t="s">
        <v>5</v>
      </c>
      <c r="O7" s="11"/>
      <c r="P7" s="12"/>
      <c r="Q7" s="13" t="s">
        <v>6</v>
      </c>
      <c r="R7" s="12"/>
      <c r="S7" s="12"/>
    </row>
    <row r="8" customFormat="false" ht="15.75" hidden="false" customHeight="false" outlineLevel="0" collapsed="false">
      <c r="C8" s="188" t="s">
        <v>7</v>
      </c>
      <c r="D8" s="15" t="s">
        <v>8</v>
      </c>
      <c r="E8" s="14" t="s">
        <v>9</v>
      </c>
      <c r="F8" s="14" t="s">
        <v>10</v>
      </c>
      <c r="G8" s="14" t="s">
        <v>11</v>
      </c>
      <c r="H8" s="14" t="s">
        <v>12</v>
      </c>
      <c r="I8" s="14" t="s">
        <v>13</v>
      </c>
      <c r="J8" s="14" t="s">
        <v>14</v>
      </c>
      <c r="K8" s="37"/>
      <c r="L8" s="16" t="s">
        <v>15</v>
      </c>
      <c r="M8" s="16"/>
      <c r="N8" s="16" t="s">
        <v>16</v>
      </c>
      <c r="O8" s="11"/>
      <c r="P8" s="17" t="s">
        <v>17</v>
      </c>
      <c r="Q8" s="17"/>
      <c r="R8" s="17"/>
      <c r="S8" s="17"/>
    </row>
    <row r="9" customFormat="false" ht="13.5" hidden="false" customHeight="true" outlineLevel="0" collapsed="false">
      <c r="B9" s="23" t="n">
        <f aca="false">1</f>
        <v>1</v>
      </c>
      <c r="C9" s="189" t="s">
        <v>30</v>
      </c>
      <c r="D9" s="11" t="n">
        <v>23613</v>
      </c>
      <c r="E9" s="87" t="n">
        <f aca="false">6009.08</f>
        <v>6009.08</v>
      </c>
      <c r="F9" s="22" t="s">
        <v>21</v>
      </c>
      <c r="G9" s="23" t="n">
        <v>1</v>
      </c>
      <c r="H9" s="190" t="n">
        <f aca="false">IF(G9=1,E9,0)</f>
        <v>6009.08</v>
      </c>
      <c r="I9" s="190"/>
      <c r="J9" s="25"/>
      <c r="K9" s="151"/>
      <c r="L9" s="191" t="n">
        <v>2914</v>
      </c>
      <c r="M9" s="60"/>
      <c r="N9" s="192" t="n">
        <f aca="false">L9/H9</f>
        <v>0.484932801693437</v>
      </c>
      <c r="O9" s="181"/>
      <c r="R9" s="30" t="s">
        <v>12</v>
      </c>
      <c r="T9" s="31"/>
      <c r="X9" s="39"/>
    </row>
    <row r="10" customFormat="false" ht="13.5" hidden="false" customHeight="true" outlineLevel="0" collapsed="false">
      <c r="B10" s="23" t="n">
        <f aca="false">B9+1</f>
        <v>2</v>
      </c>
      <c r="C10" s="189" t="s">
        <v>18</v>
      </c>
      <c r="D10" s="11" t="n">
        <v>22319</v>
      </c>
      <c r="E10" s="21" t="n">
        <v>3500</v>
      </c>
      <c r="F10" s="22" t="s">
        <v>19</v>
      </c>
      <c r="G10" s="23" t="n">
        <v>1</v>
      </c>
      <c r="H10" s="190" t="n">
        <f aca="false">IF(G10=1,E10,0)</f>
        <v>3500</v>
      </c>
      <c r="I10" s="25"/>
      <c r="J10" s="25"/>
      <c r="K10" s="151"/>
      <c r="L10" s="191" t="n">
        <v>2524</v>
      </c>
      <c r="M10" s="27"/>
      <c r="N10" s="28" t="n">
        <f aca="false">L10/H10</f>
        <v>0.721142857142857</v>
      </c>
      <c r="O10" s="193"/>
      <c r="P10" s="34" t="s">
        <v>22</v>
      </c>
      <c r="Q10" s="35" t="s">
        <v>95</v>
      </c>
      <c r="R10" s="36"/>
      <c r="S10" s="37"/>
      <c r="T10" s="38"/>
      <c r="U10" s="39"/>
    </row>
    <row r="11" customFormat="false" ht="13.5" hidden="false" customHeight="true" outlineLevel="0" collapsed="false">
      <c r="B11" s="23" t="n">
        <f aca="false">B10+1</f>
        <v>3</v>
      </c>
      <c r="C11" s="184" t="s">
        <v>44</v>
      </c>
      <c r="D11" s="11" t="n">
        <v>105153</v>
      </c>
      <c r="E11" s="65" t="n">
        <v>3874.822</v>
      </c>
      <c r="F11" s="22" t="s">
        <v>25</v>
      </c>
      <c r="G11" s="23" t="n">
        <v>1</v>
      </c>
      <c r="H11" s="190" t="n">
        <f aca="false">IF(G11=1,E11,0)</f>
        <v>3874.822</v>
      </c>
      <c r="I11" s="190"/>
      <c r="J11" s="24"/>
      <c r="K11" s="194"/>
      <c r="L11" s="191" t="n">
        <v>2066</v>
      </c>
      <c r="M11" s="60"/>
      <c r="N11" s="28" t="n">
        <f aca="false">L11/H11</f>
        <v>0.533185782469491</v>
      </c>
      <c r="O11" s="181"/>
      <c r="P11" s="43" t="s">
        <v>26</v>
      </c>
      <c r="Q11" s="44" t="s">
        <v>27</v>
      </c>
      <c r="R11" s="45"/>
      <c r="S11" s="45"/>
      <c r="T11" s="46"/>
      <c r="U11" s="39"/>
      <c r="V11" s="47" t="n">
        <f aca="false">83.5-(83.5-33.5)*(0.5)</f>
        <v>58.5</v>
      </c>
      <c r="X11" s="39"/>
    </row>
    <row r="12" customFormat="false" ht="13.5" hidden="false" customHeight="true" outlineLevel="0" collapsed="false">
      <c r="B12" s="23" t="n">
        <f aca="false">B11+1</f>
        <v>4</v>
      </c>
      <c r="C12" s="189" t="s">
        <v>20</v>
      </c>
      <c r="D12" s="11" t="n">
        <v>22298</v>
      </c>
      <c r="E12" s="21" t="n">
        <v>2747.533</v>
      </c>
      <c r="F12" s="22" t="s">
        <v>21</v>
      </c>
      <c r="G12" s="23" t="n">
        <v>1</v>
      </c>
      <c r="H12" s="190" t="n">
        <f aca="false">IF(G12=1,E12,0)</f>
        <v>2747.533</v>
      </c>
      <c r="I12" s="25"/>
      <c r="J12" s="25"/>
      <c r="K12" s="151"/>
      <c r="L12" s="191" t="n">
        <v>1705</v>
      </c>
      <c r="M12" s="32"/>
      <c r="N12" s="28" t="n">
        <f aca="false">L12/H12</f>
        <v>0.620556695770351</v>
      </c>
      <c r="O12" s="195"/>
      <c r="P12" s="23" t="s">
        <v>31</v>
      </c>
      <c r="Q12" s="53" t="s">
        <v>32</v>
      </c>
      <c r="R12" s="53"/>
      <c r="S12" s="54"/>
      <c r="T12" s="39"/>
      <c r="U12" s="39"/>
      <c r="X12" s="39"/>
    </row>
    <row r="13" customFormat="false" ht="13.5" hidden="false" customHeight="true" outlineLevel="0" collapsed="false">
      <c r="B13" s="196" t="n">
        <f aca="false">1</f>
        <v>1</v>
      </c>
      <c r="C13" s="197" t="s">
        <v>96</v>
      </c>
      <c r="D13" s="198" t="n">
        <v>102831</v>
      </c>
      <c r="E13" s="199" t="n">
        <v>2438.432</v>
      </c>
      <c r="F13" s="200" t="s">
        <v>21</v>
      </c>
      <c r="G13" s="201" t="n">
        <v>1</v>
      </c>
      <c r="H13" s="202" t="n">
        <f aca="false">IF(G13=1,E13,0)</f>
        <v>2438.432</v>
      </c>
      <c r="I13" s="203" t="s">
        <v>97</v>
      </c>
      <c r="J13" s="75"/>
      <c r="K13" s="204"/>
      <c r="L13" s="205" t="n">
        <v>0</v>
      </c>
      <c r="M13" s="76"/>
      <c r="N13" s="206" t="n">
        <f aca="false">L13/H13</f>
        <v>0</v>
      </c>
      <c r="O13" s="207"/>
      <c r="P13" s="56" t="s">
        <v>33</v>
      </c>
      <c r="Q13" s="57" t="s">
        <v>34</v>
      </c>
      <c r="R13" s="58"/>
      <c r="S13" s="39"/>
      <c r="T13" s="39"/>
      <c r="U13" s="39"/>
      <c r="V13" s="47" t="n">
        <f aca="false">100-(100-83.5)*(22/31)</f>
        <v>88.2903225806452</v>
      </c>
      <c r="X13" s="39"/>
    </row>
    <row r="14" customFormat="false" ht="13.5" hidden="false" customHeight="true" outlineLevel="0" collapsed="false">
      <c r="A14" s="48" t="s">
        <v>29</v>
      </c>
      <c r="B14" s="208" t="n">
        <f aca="false">B12+1</f>
        <v>5</v>
      </c>
      <c r="C14" s="209" t="s">
        <v>58</v>
      </c>
      <c r="D14" s="210" t="n">
        <v>106706</v>
      </c>
      <c r="E14" s="51" t="n">
        <v>2438.432</v>
      </c>
      <c r="F14" s="22" t="s">
        <v>42</v>
      </c>
      <c r="G14" s="23" t="n">
        <v>1</v>
      </c>
      <c r="H14" s="190" t="n">
        <f aca="false">IF(G14=1,E14,0)</f>
        <v>2438.432</v>
      </c>
      <c r="I14" s="190"/>
      <c r="J14" s="25"/>
      <c r="K14" s="151"/>
      <c r="L14" s="191" t="n">
        <v>1736</v>
      </c>
      <c r="M14" s="19"/>
      <c r="N14" s="211" t="n">
        <f aca="false">L14/H14</f>
        <v>0.711932914266217</v>
      </c>
      <c r="O14" s="207"/>
      <c r="P14" s="56" t="s">
        <v>36</v>
      </c>
      <c r="Q14" s="57" t="s">
        <v>37</v>
      </c>
      <c r="R14" s="58"/>
      <c r="S14" s="39"/>
      <c r="V14" s="61"/>
      <c r="X14" s="39"/>
    </row>
    <row r="15" customFormat="false" ht="13.5" hidden="false" customHeight="true" outlineLevel="0" collapsed="false">
      <c r="B15" s="208" t="n">
        <f aca="false">B14+1</f>
        <v>6</v>
      </c>
      <c r="C15" s="189" t="s">
        <v>98</v>
      </c>
      <c r="D15" s="11" t="n">
        <v>102817</v>
      </c>
      <c r="E15" s="98" t="n">
        <v>2000</v>
      </c>
      <c r="F15" s="22" t="s">
        <v>21</v>
      </c>
      <c r="G15" s="23" t="n">
        <v>1</v>
      </c>
      <c r="H15" s="190" t="n">
        <f aca="false">IF(G15=1,E15,0)</f>
        <v>2000</v>
      </c>
      <c r="I15" s="190"/>
      <c r="J15" s="25"/>
      <c r="K15" s="151"/>
      <c r="L15" s="191" t="n">
        <v>1430.5</v>
      </c>
      <c r="M15" s="19"/>
      <c r="N15" s="70" t="n">
        <f aca="false">L15/H15</f>
        <v>0.71525</v>
      </c>
      <c r="O15" s="207"/>
      <c r="P15" s="56" t="s">
        <v>38</v>
      </c>
      <c r="Q15" s="57" t="s">
        <v>39</v>
      </c>
      <c r="T15" s="38"/>
      <c r="U15" s="39"/>
      <c r="V15" s="47" t="n">
        <f aca="false">74-(74-33.5)*(22/31)</f>
        <v>45.258064516129</v>
      </c>
    </row>
    <row r="16" customFormat="false" ht="13.5" hidden="false" customHeight="true" outlineLevel="0" collapsed="false">
      <c r="B16" s="23" t="n">
        <f aca="false">B15+1</f>
        <v>7</v>
      </c>
      <c r="C16" s="184" t="s">
        <v>99</v>
      </c>
      <c r="D16" s="11" t="n">
        <v>23281</v>
      </c>
      <c r="E16" s="98" t="n">
        <v>1000</v>
      </c>
      <c r="F16" s="22" t="s">
        <v>25</v>
      </c>
      <c r="G16" s="23" t="n">
        <v>1</v>
      </c>
      <c r="H16" s="190" t="n">
        <f aca="false">IF(G16=1,E16,0)</f>
        <v>1000</v>
      </c>
      <c r="I16" s="25"/>
      <c r="J16" s="25"/>
      <c r="K16" s="194"/>
      <c r="L16" s="191" t="n">
        <v>184</v>
      </c>
      <c r="M16" s="32"/>
      <c r="N16" s="212" t="n">
        <f aca="false">L16/H16</f>
        <v>0.184</v>
      </c>
      <c r="O16" s="213"/>
      <c r="P16" s="34"/>
      <c r="Q16" s="35"/>
      <c r="R16" s="39"/>
      <c r="S16" s="39"/>
      <c r="T16" s="38"/>
      <c r="U16" s="39"/>
      <c r="V16" s="63"/>
      <c r="X16" s="39"/>
    </row>
    <row r="17" customFormat="false" ht="13.5" hidden="false" customHeight="true" outlineLevel="0" collapsed="false">
      <c r="B17" s="23" t="n">
        <f aca="false">B16+1</f>
        <v>8</v>
      </c>
      <c r="C17" s="214" t="s">
        <v>100</v>
      </c>
      <c r="D17" s="11" t="n">
        <v>22305</v>
      </c>
      <c r="E17" s="21" t="n">
        <v>1000</v>
      </c>
      <c r="F17" s="22" t="s">
        <v>19</v>
      </c>
      <c r="G17" s="23" t="n">
        <v>1</v>
      </c>
      <c r="H17" s="190" t="n">
        <f aca="false">IF(G17=1,E17,0)</f>
        <v>1000</v>
      </c>
      <c r="J17" s="25"/>
      <c r="K17" s="194"/>
      <c r="L17" s="191" t="n">
        <v>876.5</v>
      </c>
      <c r="M17" s="32"/>
      <c r="N17" s="215" t="n">
        <f aca="false">L17/H17</f>
        <v>0.8765</v>
      </c>
      <c r="O17" s="213"/>
      <c r="W17" s="39"/>
      <c r="X17" s="39"/>
    </row>
    <row r="18" customFormat="false" ht="13.5" hidden="false" customHeight="true" outlineLevel="0" collapsed="false">
      <c r="B18" s="23" t="n">
        <f aca="false">B17+1</f>
        <v>9</v>
      </c>
      <c r="C18" s="216" t="s">
        <v>101</v>
      </c>
      <c r="D18" s="11" t="n">
        <v>23282</v>
      </c>
      <c r="E18" s="98" t="n">
        <v>500</v>
      </c>
      <c r="F18" s="22" t="s">
        <v>25</v>
      </c>
      <c r="G18" s="23" t="n">
        <v>1</v>
      </c>
      <c r="H18" s="190" t="n">
        <f aca="false">IF(G18=1,E18,0)</f>
        <v>500</v>
      </c>
      <c r="I18" s="25"/>
      <c r="J18" s="25"/>
      <c r="K18" s="151"/>
      <c r="L18" s="217" t="n">
        <v>237.5</v>
      </c>
      <c r="M18" s="60"/>
      <c r="N18" s="192" t="n">
        <f aca="false">L18/H18</f>
        <v>0.475</v>
      </c>
      <c r="O18" s="213"/>
      <c r="P18" s="34"/>
      <c r="Q18" s="35"/>
      <c r="R18" s="67"/>
      <c r="S18" s="39"/>
      <c r="T18" s="38"/>
      <c r="U18" s="39"/>
      <c r="V18" s="68"/>
      <c r="W18" s="39"/>
      <c r="X18" s="39"/>
    </row>
    <row r="19" customFormat="false" ht="13.5" hidden="false" customHeight="true" outlineLevel="0" collapsed="false">
      <c r="B19" s="130" t="n">
        <f aca="false">B18+1</f>
        <v>10</v>
      </c>
      <c r="C19" s="189" t="s">
        <v>41</v>
      </c>
      <c r="D19" s="11" t="n">
        <v>22307</v>
      </c>
      <c r="E19" s="21" t="n">
        <v>267.547</v>
      </c>
      <c r="F19" s="22" t="s">
        <v>42</v>
      </c>
      <c r="G19" s="23" t="n">
        <v>1</v>
      </c>
      <c r="H19" s="190" t="n">
        <f aca="false">IF(G19=1,E19,0)</f>
        <v>267.547</v>
      </c>
      <c r="I19" s="25"/>
      <c r="J19" s="25"/>
      <c r="K19" s="151"/>
      <c r="L19" s="217" t="n">
        <v>199</v>
      </c>
      <c r="M19" s="60"/>
      <c r="N19" s="28" t="n">
        <f aca="false">L19/H19</f>
        <v>0.743794548247598</v>
      </c>
      <c r="O19" s="181"/>
      <c r="P19" s="34"/>
      <c r="Q19" s="35"/>
      <c r="R19" s="67"/>
      <c r="S19" s="39"/>
      <c r="T19" s="39"/>
      <c r="U19" s="39"/>
      <c r="V19" s="39"/>
      <c r="W19" s="39"/>
      <c r="X19" s="39"/>
    </row>
    <row r="20" customFormat="false" ht="13.5" hidden="false" customHeight="true" outlineLevel="0" collapsed="false">
      <c r="G20" s="77" t="s">
        <v>48</v>
      </c>
      <c r="H20" s="19"/>
      <c r="I20" s="19"/>
      <c r="J20" s="19"/>
      <c r="K20" s="145"/>
      <c r="L20" s="19"/>
      <c r="M20" s="19"/>
      <c r="N20" s="19"/>
      <c r="O20" s="181"/>
      <c r="P20" s="39"/>
      <c r="Q20" s="39"/>
      <c r="R20" s="39"/>
      <c r="S20" s="39"/>
      <c r="T20" s="39"/>
      <c r="U20" s="39"/>
      <c r="V20" s="68"/>
      <c r="W20" s="39"/>
      <c r="X20" s="39"/>
    </row>
    <row r="21" customFormat="false" ht="13.5" hidden="false" customHeight="true" outlineLevel="0" collapsed="false">
      <c r="E21" s="78"/>
      <c r="F21" s="22"/>
      <c r="G21" s="22"/>
      <c r="H21" s="79" t="n">
        <f aca="false">SUM(H9:H19)-H13</f>
        <v>23337.414</v>
      </c>
      <c r="I21" s="80"/>
      <c r="J21" s="80"/>
      <c r="K21" s="194"/>
      <c r="L21" s="134" t="n">
        <f aca="false">SUM(L9:L19)-L13</f>
        <v>13872.5</v>
      </c>
      <c r="M21" s="58"/>
      <c r="N21" s="82" t="n">
        <f aca="false">L21/H65</f>
        <v>0.594431756663356</v>
      </c>
      <c r="O21" s="66"/>
      <c r="P21" s="39"/>
      <c r="Q21" s="39"/>
      <c r="R21" s="39"/>
      <c r="S21" s="39"/>
      <c r="T21" s="39"/>
      <c r="U21" s="39"/>
      <c r="V21" s="39"/>
      <c r="W21" s="39"/>
      <c r="X21" s="39"/>
    </row>
    <row r="22" customFormat="false" ht="12.75" hidden="false" customHeight="false" outlineLevel="0" collapsed="false">
      <c r="A22" s="6"/>
      <c r="B22" s="6"/>
      <c r="C22" s="186"/>
      <c r="D22" s="6"/>
      <c r="E22" s="83"/>
      <c r="F22" s="84"/>
      <c r="G22" s="84"/>
      <c r="H22" s="85"/>
      <c r="I22" s="85"/>
      <c r="J22" s="85"/>
      <c r="K22" s="84"/>
      <c r="L22" s="86"/>
      <c r="M22" s="86"/>
      <c r="N22" s="86"/>
      <c r="O22" s="6"/>
      <c r="P22" s="218"/>
      <c r="Q22" s="218"/>
      <c r="R22" s="218"/>
      <c r="S22" s="218"/>
      <c r="T22" s="39"/>
      <c r="U22" s="39"/>
      <c r="V22" s="39"/>
      <c r="W22" s="39"/>
      <c r="X22" s="39"/>
    </row>
    <row r="23" customFormat="false" ht="13.5" hidden="false" customHeight="true" outlineLevel="0" collapsed="false">
      <c r="E23" s="78"/>
      <c r="F23" s="22"/>
      <c r="G23" s="22"/>
      <c r="H23" s="80"/>
      <c r="I23" s="80"/>
      <c r="J23" s="80"/>
      <c r="K23" s="22"/>
      <c r="L23" s="58"/>
      <c r="M23" s="58"/>
      <c r="N23" s="58"/>
      <c r="R23" s="30" t="s">
        <v>13</v>
      </c>
      <c r="S23" s="39"/>
      <c r="T23" s="89"/>
      <c r="U23" s="39"/>
      <c r="V23" s="39"/>
      <c r="W23" s="39"/>
      <c r="X23" s="39"/>
    </row>
    <row r="24" customFormat="false" ht="13.5" hidden="false" customHeight="true" outlineLevel="0" collapsed="false">
      <c r="B24" s="23" t="n">
        <f aca="false">1</f>
        <v>1</v>
      </c>
      <c r="C24" s="189" t="s">
        <v>102</v>
      </c>
      <c r="D24" s="11" t="n">
        <v>22337</v>
      </c>
      <c r="E24" s="21" t="n">
        <f aca="false">6400+75</f>
        <v>6475</v>
      </c>
      <c r="F24" s="22" t="s">
        <v>42</v>
      </c>
      <c r="G24" s="23" t="n">
        <v>4</v>
      </c>
      <c r="H24" s="88"/>
      <c r="I24" s="190" t="n">
        <f aca="false">IF(G24=4,E24,0)</f>
        <v>6475</v>
      </c>
      <c r="J24" s="25"/>
      <c r="K24" s="194"/>
      <c r="L24" s="191" t="n">
        <v>4210.6</v>
      </c>
      <c r="M24" s="60"/>
      <c r="N24" s="139" t="n">
        <f aca="false">L24/I24</f>
        <v>0.650285714285714</v>
      </c>
      <c r="O24" s="207"/>
      <c r="P24" s="34" t="s">
        <v>22</v>
      </c>
      <c r="Q24" s="91" t="s">
        <v>50</v>
      </c>
      <c r="R24" s="92"/>
      <c r="S24" s="39"/>
      <c r="T24" s="46"/>
      <c r="U24" s="39"/>
      <c r="V24" s="39"/>
      <c r="W24" s="39"/>
      <c r="X24" s="39"/>
    </row>
    <row r="25" customFormat="false" ht="13.5" hidden="false" customHeight="true" outlineLevel="0" collapsed="false">
      <c r="B25" s="23" t="n">
        <f aca="false">B24+1</f>
        <v>2</v>
      </c>
      <c r="C25" s="219" t="s">
        <v>103</v>
      </c>
      <c r="D25" s="11" t="n">
        <v>102835</v>
      </c>
      <c r="E25" s="65" t="n">
        <v>3000</v>
      </c>
      <c r="F25" s="22" t="s">
        <v>25</v>
      </c>
      <c r="G25" s="23" t="n">
        <v>4</v>
      </c>
      <c r="H25" s="88"/>
      <c r="I25" s="190" t="n">
        <f aca="false">IF(G25=4,E25,0)</f>
        <v>3000</v>
      </c>
      <c r="J25" s="24"/>
      <c r="K25" s="151"/>
      <c r="L25" s="191" t="n">
        <v>1915</v>
      </c>
      <c r="M25" s="60"/>
      <c r="N25" s="28" t="n">
        <f aca="false">L25/I25</f>
        <v>0.638333333333333</v>
      </c>
      <c r="O25" s="181"/>
      <c r="P25" s="43" t="s">
        <v>26</v>
      </c>
      <c r="Q25" s="94" t="s">
        <v>50</v>
      </c>
      <c r="R25" s="95"/>
      <c r="S25" s="45"/>
      <c r="T25" s="38"/>
      <c r="U25" s="39"/>
      <c r="V25" s="39"/>
      <c r="W25" s="39"/>
      <c r="X25" s="39"/>
    </row>
    <row r="26" customFormat="false" ht="13.5" hidden="false" customHeight="true" outlineLevel="0" collapsed="false">
      <c r="B26" s="23" t="n">
        <f aca="false">B25+1</f>
        <v>3</v>
      </c>
      <c r="C26" s="189" t="s">
        <v>104</v>
      </c>
      <c r="D26" s="11" t="n">
        <v>23544</v>
      </c>
      <c r="E26" s="21" t="n">
        <v>1250</v>
      </c>
      <c r="F26" s="22" t="s">
        <v>42</v>
      </c>
      <c r="G26" s="23" t="n">
        <v>4</v>
      </c>
      <c r="H26" s="88"/>
      <c r="I26" s="190" t="n">
        <f aca="false">IF(G26=4,E26,0)</f>
        <v>1250</v>
      </c>
      <c r="J26" s="25"/>
      <c r="K26" s="151"/>
      <c r="L26" s="191" t="n">
        <v>959.5</v>
      </c>
      <c r="M26" s="93"/>
      <c r="N26" s="192" t="n">
        <f aca="false">L26/I26</f>
        <v>0.7676</v>
      </c>
      <c r="O26" s="207"/>
      <c r="P26" s="56" t="s">
        <v>31</v>
      </c>
      <c r="Q26" s="97" t="s">
        <v>53</v>
      </c>
      <c r="S26" s="39"/>
      <c r="T26" s="38"/>
    </row>
    <row r="27" customFormat="false" ht="13.5" hidden="false" customHeight="true" outlineLevel="0" collapsed="false">
      <c r="B27" s="23" t="n">
        <f aca="false">B26+1</f>
        <v>4</v>
      </c>
      <c r="C27" s="184" t="s">
        <v>105</v>
      </c>
      <c r="D27" s="22" t="n">
        <v>103938</v>
      </c>
      <c r="E27" s="21" t="n">
        <v>1000</v>
      </c>
      <c r="F27" s="22" t="s">
        <v>56</v>
      </c>
      <c r="G27" s="23" t="n">
        <v>4</v>
      </c>
      <c r="I27" s="190" t="n">
        <f aca="false">IF(G27=4,E27,0)</f>
        <v>1000</v>
      </c>
      <c r="K27" s="194"/>
      <c r="L27" s="220" t="n">
        <v>748.9</v>
      </c>
      <c r="N27" s="28" t="n">
        <f aca="false">L27/I27</f>
        <v>0.7489</v>
      </c>
      <c r="O27" s="207"/>
      <c r="P27" s="56" t="s">
        <v>33</v>
      </c>
      <c r="Q27" s="57" t="s">
        <v>57</v>
      </c>
      <c r="S27" s="39"/>
    </row>
    <row r="28" customFormat="false" ht="13.5" hidden="false" customHeight="true" outlineLevel="0" collapsed="false">
      <c r="B28" s="23" t="n">
        <f aca="false">B27+1</f>
        <v>5</v>
      </c>
      <c r="C28" s="189" t="s">
        <v>58</v>
      </c>
      <c r="D28" s="11" t="n">
        <v>22334</v>
      </c>
      <c r="E28" s="21" t="n">
        <v>562.5</v>
      </c>
      <c r="F28" s="22" t="s">
        <v>42</v>
      </c>
      <c r="G28" s="23" t="n">
        <v>4</v>
      </c>
      <c r="H28" s="88"/>
      <c r="I28" s="190" t="n">
        <f aca="false">IF(G28=4,E28,0)</f>
        <v>562.5</v>
      </c>
      <c r="J28" s="25"/>
      <c r="K28" s="194"/>
      <c r="L28" s="191" t="n">
        <v>287</v>
      </c>
      <c r="M28" s="60"/>
      <c r="N28" s="28" t="n">
        <f aca="false">L28/I28</f>
        <v>0.510222222222222</v>
      </c>
      <c r="O28" s="181"/>
      <c r="P28" s="56" t="s">
        <v>36</v>
      </c>
      <c r="Q28" s="57" t="s">
        <v>37</v>
      </c>
      <c r="S28" s="39"/>
    </row>
    <row r="29" customFormat="false" ht="13.5" hidden="false" customHeight="true" outlineLevel="0" collapsed="false">
      <c r="B29" s="221" t="n">
        <f aca="false">B28+1</f>
        <v>6</v>
      </c>
      <c r="C29" s="222" t="s">
        <v>59</v>
      </c>
      <c r="D29" s="103" t="n">
        <v>103665</v>
      </c>
      <c r="E29" s="104" t="n">
        <f aca="false">620.91-75</f>
        <v>545.91</v>
      </c>
      <c r="F29" s="105" t="s">
        <v>42</v>
      </c>
      <c r="G29" s="106" t="n">
        <v>4</v>
      </c>
      <c r="H29" s="223"/>
      <c r="I29" s="224" t="n">
        <f aca="false">IF(G29=4,E29,0)</f>
        <v>545.91</v>
      </c>
      <c r="J29" s="223"/>
      <c r="K29" s="194"/>
      <c r="L29" s="225" t="n">
        <v>297.5</v>
      </c>
      <c r="M29" s="226"/>
      <c r="N29" s="28" t="n">
        <f aca="false">L29/I29</f>
        <v>0.544961623710868</v>
      </c>
      <c r="O29" s="207"/>
      <c r="P29" s="56" t="s">
        <v>38</v>
      </c>
      <c r="Q29" s="57" t="s">
        <v>39</v>
      </c>
    </row>
    <row r="30" customFormat="false" ht="13.5" hidden="false" customHeight="true" outlineLevel="0" collapsed="false">
      <c r="B30" s="23" t="n">
        <f aca="false">B29+1</f>
        <v>7</v>
      </c>
      <c r="C30" s="189" t="s">
        <v>60</v>
      </c>
      <c r="D30" s="11" t="n">
        <v>22312</v>
      </c>
      <c r="E30" s="21" t="n">
        <f aca="false">136+114</f>
        <v>250</v>
      </c>
      <c r="F30" s="22" t="s">
        <v>21</v>
      </c>
      <c r="G30" s="23" t="n">
        <v>4</v>
      </c>
      <c r="H30" s="88"/>
      <c r="I30" s="190" t="n">
        <f aca="false">IF(G30=4,E30,0)</f>
        <v>250</v>
      </c>
      <c r="J30" s="25"/>
      <c r="K30" s="151"/>
      <c r="L30" s="191" t="n">
        <v>186.2</v>
      </c>
      <c r="M30" s="69"/>
      <c r="N30" s="28" t="n">
        <f aca="false">L30/I30</f>
        <v>0.7448</v>
      </c>
      <c r="O30" s="207"/>
      <c r="P30" s="56"/>
      <c r="Q30" s="57"/>
    </row>
    <row r="31" customFormat="false" ht="13.5" hidden="false" customHeight="true" outlineLevel="0" collapsed="false">
      <c r="B31" s="111" t="n">
        <f aca="false">1</f>
        <v>1</v>
      </c>
      <c r="C31" s="227" t="s">
        <v>61</v>
      </c>
      <c r="D31" s="113" t="n">
        <v>22309</v>
      </c>
      <c r="E31" s="114" t="n">
        <v>202.51</v>
      </c>
      <c r="F31" s="115" t="s">
        <v>42</v>
      </c>
      <c r="G31" s="116" t="n">
        <v>4</v>
      </c>
      <c r="H31" s="117"/>
      <c r="I31" s="228" t="n">
        <v>0</v>
      </c>
      <c r="J31" s="117"/>
      <c r="K31" s="113"/>
      <c r="L31" s="229" t="n">
        <v>0</v>
      </c>
      <c r="M31" s="120"/>
      <c r="N31" s="121" t="e">
        <f aca="false">L31/I31</f>
        <v>#DIV/0!</v>
      </c>
      <c r="O31" s="207"/>
    </row>
    <row r="32" customFormat="false" ht="13.5" hidden="false" customHeight="true" outlineLevel="0" collapsed="false">
      <c r="B32" s="111" t="n">
        <f aca="false">B31+1</f>
        <v>2</v>
      </c>
      <c r="C32" s="230" t="s">
        <v>62</v>
      </c>
      <c r="D32" s="113" t="n">
        <v>22315</v>
      </c>
      <c r="E32" s="114" t="n">
        <v>79.449</v>
      </c>
      <c r="F32" s="115" t="s">
        <v>42</v>
      </c>
      <c r="G32" s="116" t="n">
        <v>4</v>
      </c>
      <c r="H32" s="117"/>
      <c r="I32" s="228" t="n">
        <v>0</v>
      </c>
      <c r="J32" s="117"/>
      <c r="K32" s="113"/>
      <c r="L32" s="229" t="n">
        <v>0</v>
      </c>
      <c r="M32" s="123"/>
      <c r="N32" s="124" t="e">
        <f aca="false">L32/I32</f>
        <v>#DIV/0!</v>
      </c>
      <c r="O32" s="207"/>
    </row>
    <row r="33" customFormat="false" ht="13.5" hidden="false" customHeight="true" outlineLevel="0" collapsed="false">
      <c r="B33" s="231" t="n">
        <f aca="false">B13+1</f>
        <v>2</v>
      </c>
      <c r="C33" s="232" t="s">
        <v>106</v>
      </c>
      <c r="D33" s="204" t="n">
        <v>22322</v>
      </c>
      <c r="E33" s="233" t="n">
        <v>75</v>
      </c>
      <c r="F33" s="234" t="s">
        <v>42</v>
      </c>
      <c r="G33" s="235" t="n">
        <v>4</v>
      </c>
      <c r="H33" s="236" t="s">
        <v>97</v>
      </c>
      <c r="I33" s="237" t="n">
        <f aca="false">IF(G33=4,E33,0)</f>
        <v>75</v>
      </c>
      <c r="J33" s="148"/>
      <c r="K33" s="145"/>
      <c r="L33" s="238" t="n">
        <v>0</v>
      </c>
      <c r="M33" s="239"/>
      <c r="N33" s="206" t="n">
        <f aca="false">L33/I33</f>
        <v>0</v>
      </c>
      <c r="O33" s="207"/>
    </row>
    <row r="34" customFormat="false" ht="13.5" hidden="false" customHeight="true" outlineLevel="0" collapsed="false">
      <c r="B34" s="23" t="n">
        <f aca="false">B30+1</f>
        <v>8</v>
      </c>
      <c r="C34" s="189" t="s">
        <v>63</v>
      </c>
      <c r="D34" s="22" t="n">
        <v>22344</v>
      </c>
      <c r="E34" s="21" t="n">
        <v>50</v>
      </c>
      <c r="F34" s="22" t="s">
        <v>19</v>
      </c>
      <c r="G34" s="23" t="n">
        <v>4</v>
      </c>
      <c r="H34" s="88"/>
      <c r="I34" s="190" t="n">
        <f aca="false">IF(G34=4,E34,0)</f>
        <v>50</v>
      </c>
      <c r="J34" s="25"/>
      <c r="K34" s="151"/>
      <c r="L34" s="217" t="n">
        <v>23.1</v>
      </c>
      <c r="M34" s="19"/>
      <c r="N34" s="240" t="n">
        <f aca="false">L34/I34</f>
        <v>0.462</v>
      </c>
      <c r="O34" s="181"/>
    </row>
    <row r="35" customFormat="false" ht="13.5" hidden="false" customHeight="true" outlineLevel="0" collapsed="false">
      <c r="B35" s="111" t="n">
        <f aca="false">B32+1</f>
        <v>3</v>
      </c>
      <c r="C35" s="227" t="s">
        <v>64</v>
      </c>
      <c r="D35" s="113" t="n">
        <v>22311</v>
      </c>
      <c r="E35" s="114" t="n">
        <v>45</v>
      </c>
      <c r="F35" s="115" t="s">
        <v>19</v>
      </c>
      <c r="G35" s="116" t="n">
        <v>4</v>
      </c>
      <c r="H35" s="117"/>
      <c r="I35" s="228" t="n">
        <v>0</v>
      </c>
      <c r="J35" s="117"/>
      <c r="K35" s="113"/>
      <c r="L35" s="229" t="n">
        <v>0</v>
      </c>
      <c r="M35" s="112"/>
      <c r="N35" s="121" t="e">
        <f aca="false">L35/I35</f>
        <v>#DIV/0!</v>
      </c>
      <c r="O35" s="207"/>
    </row>
    <row r="36" customFormat="false" ht="13.5" hidden="false" customHeight="true" outlineLevel="0" collapsed="false">
      <c r="B36" s="111" t="n">
        <f aca="false">B35+1</f>
        <v>4</v>
      </c>
      <c r="C36" s="227" t="s">
        <v>65</v>
      </c>
      <c r="D36" s="113" t="n">
        <v>22323</v>
      </c>
      <c r="E36" s="114" t="n">
        <v>45</v>
      </c>
      <c r="F36" s="115" t="s">
        <v>19</v>
      </c>
      <c r="G36" s="116" t="n">
        <v>4</v>
      </c>
      <c r="H36" s="117"/>
      <c r="I36" s="228" t="n">
        <v>0</v>
      </c>
      <c r="J36" s="117"/>
      <c r="K36" s="113"/>
      <c r="L36" s="229" t="n">
        <v>0</v>
      </c>
      <c r="M36" s="127"/>
      <c r="N36" s="121" t="e">
        <f aca="false">L36/I36</f>
        <v>#DIV/0!</v>
      </c>
      <c r="O36" s="207"/>
    </row>
    <row r="37" customFormat="false" ht="13.5" hidden="false" customHeight="true" outlineLevel="0" collapsed="false">
      <c r="B37" s="111" t="n">
        <f aca="false">B36+1</f>
        <v>5</v>
      </c>
      <c r="C37" s="227" t="s">
        <v>66</v>
      </c>
      <c r="D37" s="113" t="n">
        <v>105214</v>
      </c>
      <c r="E37" s="114" t="n">
        <v>35.551</v>
      </c>
      <c r="F37" s="115" t="s">
        <v>19</v>
      </c>
      <c r="G37" s="116" t="n">
        <v>4</v>
      </c>
      <c r="H37" s="117"/>
      <c r="I37" s="228" t="n">
        <v>0</v>
      </c>
      <c r="J37" s="117"/>
      <c r="K37" s="113"/>
      <c r="L37" s="229" t="n">
        <v>0</v>
      </c>
      <c r="M37" s="127"/>
      <c r="N37" s="121" t="e">
        <f aca="false">L37/I37</f>
        <v>#DIV/0!</v>
      </c>
      <c r="O37" s="181"/>
    </row>
    <row r="38" customFormat="false" ht="13.5" hidden="false" customHeight="true" outlineLevel="0" collapsed="false">
      <c r="B38" s="111" t="n">
        <f aca="false">B37+1</f>
        <v>6</v>
      </c>
      <c r="C38" s="227" t="s">
        <v>67</v>
      </c>
      <c r="D38" s="113" t="n">
        <v>22303</v>
      </c>
      <c r="E38" s="114" t="n">
        <v>32.4</v>
      </c>
      <c r="F38" s="115" t="s">
        <v>42</v>
      </c>
      <c r="G38" s="116" t="n">
        <v>4</v>
      </c>
      <c r="H38" s="117"/>
      <c r="I38" s="228" t="n">
        <v>0</v>
      </c>
      <c r="J38" s="117"/>
      <c r="K38" s="113"/>
      <c r="L38" s="229" t="n">
        <v>0</v>
      </c>
      <c r="M38" s="112"/>
      <c r="N38" s="121" t="e">
        <f aca="false">L38/I38</f>
        <v>#DIV/0!</v>
      </c>
      <c r="O38" s="181"/>
      <c r="U38" s="39"/>
    </row>
    <row r="39" customFormat="false" ht="13.5" hidden="false" customHeight="true" outlineLevel="0" collapsed="false">
      <c r="B39" s="111" t="n">
        <f aca="false">B38+1</f>
        <v>7</v>
      </c>
      <c r="C39" s="227" t="s">
        <v>68</v>
      </c>
      <c r="D39" s="113" t="n">
        <v>22328</v>
      </c>
      <c r="E39" s="114" t="n">
        <v>25</v>
      </c>
      <c r="F39" s="115" t="s">
        <v>19</v>
      </c>
      <c r="G39" s="116" t="n">
        <v>4</v>
      </c>
      <c r="H39" s="117"/>
      <c r="I39" s="228" t="n">
        <v>0</v>
      </c>
      <c r="J39" s="117"/>
      <c r="K39" s="113"/>
      <c r="L39" s="241" t="n">
        <v>0</v>
      </c>
      <c r="M39" s="112"/>
      <c r="N39" s="121" t="e">
        <f aca="false">L39/I39</f>
        <v>#DIV/0!</v>
      </c>
      <c r="O39" s="181"/>
      <c r="Q39" s="58"/>
      <c r="R39" s="58"/>
      <c r="S39" s="34"/>
      <c r="T39" s="35"/>
      <c r="U39" s="36"/>
    </row>
    <row r="40" customFormat="false" ht="13.5" hidden="false" customHeight="true" outlineLevel="0" collapsed="false">
      <c r="B40" s="111" t="n">
        <f aca="false">B39+1</f>
        <v>8</v>
      </c>
      <c r="C40" s="227" t="s">
        <v>69</v>
      </c>
      <c r="D40" s="113" t="n">
        <v>22302</v>
      </c>
      <c r="E40" s="114" t="n">
        <v>18</v>
      </c>
      <c r="F40" s="115" t="s">
        <v>42</v>
      </c>
      <c r="G40" s="116" t="n">
        <v>4</v>
      </c>
      <c r="H40" s="117"/>
      <c r="I40" s="228" t="n">
        <v>0</v>
      </c>
      <c r="J40" s="117"/>
      <c r="K40" s="113"/>
      <c r="L40" s="229" t="n">
        <v>0</v>
      </c>
      <c r="M40" s="113"/>
      <c r="N40" s="121" t="e">
        <f aca="false">L40/I40</f>
        <v>#DIV/0!</v>
      </c>
      <c r="O40" s="181"/>
      <c r="Q40" s="58"/>
      <c r="R40" s="58"/>
      <c r="S40" s="34"/>
      <c r="T40" s="35"/>
      <c r="U40" s="36"/>
      <c r="V40" s="37"/>
      <c r="W40" s="46"/>
    </row>
    <row r="41" customFormat="false" ht="13.5" hidden="false" customHeight="true" outlineLevel="0" collapsed="false">
      <c r="B41" s="111" t="n">
        <f aca="false">B40+1</f>
        <v>9</v>
      </c>
      <c r="C41" s="227" t="s">
        <v>84</v>
      </c>
      <c r="D41" s="113" t="n">
        <v>22332</v>
      </c>
      <c r="E41" s="114" t="n">
        <v>15</v>
      </c>
      <c r="F41" s="115" t="s">
        <v>42</v>
      </c>
      <c r="G41" s="116" t="n">
        <v>4</v>
      </c>
      <c r="H41" s="117"/>
      <c r="I41" s="228" t="n">
        <v>0</v>
      </c>
      <c r="J41" s="117"/>
      <c r="K41" s="113"/>
      <c r="L41" s="229" t="n">
        <v>0</v>
      </c>
      <c r="M41" s="129"/>
      <c r="N41" s="121" t="e">
        <f aca="false">L41/I41</f>
        <v>#DIV/0!</v>
      </c>
      <c r="O41" s="207"/>
      <c r="S41" s="39"/>
      <c r="T41" s="39"/>
      <c r="U41" s="39"/>
      <c r="V41" s="39"/>
      <c r="W41" s="39"/>
    </row>
    <row r="42" customFormat="false" ht="13.5" hidden="false" customHeight="true" outlineLevel="0" collapsed="false">
      <c r="B42" s="111" t="n">
        <f aca="false">B41+1</f>
        <v>10</v>
      </c>
      <c r="C42" s="227" t="s">
        <v>70</v>
      </c>
      <c r="D42" s="113" t="n">
        <v>22368</v>
      </c>
      <c r="E42" s="114" t="n">
        <v>15</v>
      </c>
      <c r="F42" s="115" t="s">
        <v>21</v>
      </c>
      <c r="G42" s="116" t="n">
        <v>4</v>
      </c>
      <c r="H42" s="117"/>
      <c r="I42" s="228" t="n">
        <v>0</v>
      </c>
      <c r="J42" s="117"/>
      <c r="K42" s="113"/>
      <c r="L42" s="229" t="n">
        <v>0</v>
      </c>
      <c r="M42" s="129"/>
      <c r="N42" s="121" t="e">
        <f aca="false">L42/I42</f>
        <v>#DIV/0!</v>
      </c>
      <c r="O42" s="181"/>
      <c r="S42" s="34"/>
      <c r="T42" s="35"/>
      <c r="U42" s="39"/>
      <c r="V42" s="39"/>
      <c r="W42" s="38"/>
    </row>
    <row r="43" customFormat="false" ht="13.5" hidden="false" customHeight="true" outlineLevel="0" collapsed="false">
      <c r="B43" s="111" t="n">
        <f aca="false">B42+1</f>
        <v>11</v>
      </c>
      <c r="C43" s="227" t="s">
        <v>71</v>
      </c>
      <c r="D43" s="113" t="n">
        <v>22324</v>
      </c>
      <c r="E43" s="114" t="n">
        <v>15</v>
      </c>
      <c r="F43" s="115" t="s">
        <v>21</v>
      </c>
      <c r="G43" s="116" t="n">
        <v>4</v>
      </c>
      <c r="H43" s="117"/>
      <c r="I43" s="228" t="n">
        <v>0</v>
      </c>
      <c r="J43" s="117"/>
      <c r="K43" s="113"/>
      <c r="L43" s="229" t="n">
        <v>0</v>
      </c>
      <c r="M43" s="129"/>
      <c r="N43" s="124" t="e">
        <f aca="false">L43/I43</f>
        <v>#DIV/0!</v>
      </c>
      <c r="O43" s="181"/>
      <c r="S43" s="34"/>
      <c r="T43" s="35"/>
      <c r="U43" s="39"/>
      <c r="V43" s="39"/>
      <c r="W43" s="38"/>
    </row>
    <row r="44" customFormat="false" ht="13.5" hidden="false" customHeight="true" outlineLevel="0" collapsed="false">
      <c r="B44" s="130" t="n">
        <f aca="false">B34+1</f>
        <v>9</v>
      </c>
      <c r="C44" s="189" t="s">
        <v>72</v>
      </c>
      <c r="D44" s="11" t="n">
        <v>22301</v>
      </c>
      <c r="E44" s="21" t="n">
        <v>13.777</v>
      </c>
      <c r="F44" s="22" t="s">
        <v>21</v>
      </c>
      <c r="G44" s="23" t="n">
        <v>4</v>
      </c>
      <c r="H44" s="88"/>
      <c r="I44" s="190" t="n">
        <f aca="false">IF(G44=4,E44,0)</f>
        <v>13.777</v>
      </c>
      <c r="J44" s="25"/>
      <c r="K44" s="151"/>
      <c r="L44" s="191" t="n">
        <v>7.9</v>
      </c>
      <c r="M44" s="93"/>
      <c r="N44" s="211" t="n">
        <f aca="false">L44/I44</f>
        <v>0.573419467227989</v>
      </c>
      <c r="O44" s="181"/>
      <c r="S44" s="34"/>
      <c r="T44" s="35"/>
      <c r="U44" s="39"/>
      <c r="V44" s="39"/>
      <c r="W44" s="38"/>
    </row>
    <row r="45" customFormat="false" ht="13.5" hidden="false" customHeight="true" outlineLevel="0" collapsed="false">
      <c r="B45" s="111" t="n">
        <f aca="false">B43+1</f>
        <v>12</v>
      </c>
      <c r="C45" s="227" t="s">
        <v>73</v>
      </c>
      <c r="D45" s="113" t="n">
        <v>22304</v>
      </c>
      <c r="E45" s="114" t="n">
        <v>10</v>
      </c>
      <c r="F45" s="115" t="s">
        <v>42</v>
      </c>
      <c r="G45" s="116" t="n">
        <v>4</v>
      </c>
      <c r="H45" s="117"/>
      <c r="I45" s="228" t="n">
        <v>0</v>
      </c>
      <c r="J45" s="117"/>
      <c r="K45" s="113"/>
      <c r="L45" s="229" t="n">
        <v>0</v>
      </c>
      <c r="M45" s="112"/>
      <c r="N45" s="121" t="e">
        <f aca="false">L45/I45</f>
        <v>#DIV/0!</v>
      </c>
      <c r="O45" s="181"/>
      <c r="S45" s="39"/>
      <c r="T45" s="39"/>
      <c r="U45" s="39"/>
      <c r="V45" s="39"/>
      <c r="W45" s="39"/>
    </row>
    <row r="46" customFormat="false" ht="13.5" hidden="false" customHeight="true" outlineLevel="0" collapsed="false">
      <c r="B46" s="111" t="n">
        <f aca="false">B45+1</f>
        <v>13</v>
      </c>
      <c r="C46" s="227" t="s">
        <v>74</v>
      </c>
      <c r="D46" s="113" t="n">
        <v>22327</v>
      </c>
      <c r="E46" s="131" t="n">
        <v>8</v>
      </c>
      <c r="F46" s="115" t="s">
        <v>19</v>
      </c>
      <c r="G46" s="116" t="n">
        <v>4</v>
      </c>
      <c r="H46" s="132"/>
      <c r="I46" s="242" t="n">
        <v>0</v>
      </c>
      <c r="J46" s="132"/>
      <c r="K46" s="113"/>
      <c r="L46" s="229" t="n">
        <v>0</v>
      </c>
      <c r="M46" s="112"/>
      <c r="N46" s="121" t="e">
        <f aca="false">L46/I46</f>
        <v>#DIV/0!</v>
      </c>
      <c r="O46" s="207"/>
    </row>
    <row r="47" customFormat="false" ht="13.5" hidden="false" customHeight="true" outlineLevel="0" collapsed="false">
      <c r="E47" s="78"/>
      <c r="F47" s="22"/>
      <c r="G47" s="77" t="s">
        <v>75</v>
      </c>
      <c r="H47" s="80"/>
      <c r="I47" s="79" t="n">
        <f aca="false">SUM(I24:I30)+I34+I44</f>
        <v>13147.187</v>
      </c>
      <c r="J47" s="80"/>
      <c r="K47" s="243"/>
      <c r="L47" s="134" t="n">
        <f aca="false">SUM(L24:L30)+L34+L44</f>
        <v>8635.7</v>
      </c>
      <c r="N47" s="82" t="n">
        <f aca="false">L47/I65</f>
        <v>0.656847734804411</v>
      </c>
      <c r="O47" s="181"/>
    </row>
    <row r="48" customFormat="false" ht="12.75" hidden="false" customHeight="false" outlineLevel="0" collapsed="false">
      <c r="A48" s="6"/>
      <c r="B48" s="6"/>
      <c r="C48" s="186"/>
      <c r="D48" s="6"/>
      <c r="E48" s="83"/>
      <c r="F48" s="84"/>
      <c r="G48" s="84"/>
      <c r="H48" s="85"/>
      <c r="I48" s="85"/>
      <c r="J48" s="85"/>
      <c r="K48" s="84"/>
      <c r="L48" s="6"/>
      <c r="M48" s="6"/>
      <c r="N48" s="6"/>
      <c r="O48" s="6"/>
      <c r="P48" s="6"/>
      <c r="Q48" s="6"/>
      <c r="R48" s="6"/>
      <c r="S48" s="6"/>
    </row>
    <row r="49" customFormat="false" ht="13.5" hidden="false" customHeight="true" outlineLevel="0" collapsed="false">
      <c r="E49" s="78"/>
      <c r="F49" s="22"/>
      <c r="G49" s="22"/>
      <c r="H49" s="80"/>
      <c r="I49" s="80"/>
      <c r="J49" s="80"/>
      <c r="K49" s="22"/>
      <c r="R49" s="30" t="s">
        <v>14</v>
      </c>
      <c r="T49" s="89"/>
      <c r="U49" s="39"/>
    </row>
    <row r="50" customFormat="false" ht="13.5" hidden="false" customHeight="true" outlineLevel="0" collapsed="false">
      <c r="B50" s="23" t="n">
        <f aca="false">1</f>
        <v>1</v>
      </c>
      <c r="C50" s="189" t="s">
        <v>76</v>
      </c>
      <c r="D50" s="11" t="n">
        <v>22316</v>
      </c>
      <c r="E50" s="21" t="n">
        <v>6461.232</v>
      </c>
      <c r="F50" s="22" t="s">
        <v>19</v>
      </c>
      <c r="G50" s="23" t="n">
        <v>3</v>
      </c>
      <c r="H50" s="88"/>
      <c r="I50" s="88"/>
      <c r="J50" s="190" t="n">
        <f aca="false">IF(G50=3,E50,0)</f>
        <v>6461.232</v>
      </c>
      <c r="K50" s="194"/>
      <c r="L50" s="191" t="n">
        <v>4794</v>
      </c>
      <c r="M50" s="19"/>
      <c r="N50" s="244" t="n">
        <f aca="false">L50/J50</f>
        <v>0.741963761709841</v>
      </c>
      <c r="O50" s="181"/>
      <c r="P50" s="34" t="s">
        <v>22</v>
      </c>
      <c r="Q50" s="91" t="s">
        <v>50</v>
      </c>
      <c r="R50" s="92"/>
      <c r="S50" s="92"/>
      <c r="T50" s="46"/>
      <c r="U50" s="39"/>
    </row>
    <row r="51" customFormat="false" ht="13.5" hidden="false" customHeight="true" outlineLevel="0" collapsed="false">
      <c r="B51" s="23" t="n">
        <f aca="false">B50+1</f>
        <v>2</v>
      </c>
      <c r="C51" s="189" t="s">
        <v>77</v>
      </c>
      <c r="D51" s="11" t="n">
        <v>22335</v>
      </c>
      <c r="E51" s="21" t="n">
        <v>864.828</v>
      </c>
      <c r="F51" s="22" t="s">
        <v>19</v>
      </c>
      <c r="G51" s="23" t="n">
        <v>3</v>
      </c>
      <c r="H51" s="88"/>
      <c r="I51" s="24"/>
      <c r="J51" s="190" t="n">
        <f aca="false">IF(G51=3,E51,0)</f>
        <v>864.828</v>
      </c>
      <c r="K51" s="151"/>
      <c r="L51" s="191" t="n">
        <v>574.2</v>
      </c>
      <c r="M51" s="93"/>
      <c r="N51" s="139" t="n">
        <f aca="false">L51/J51</f>
        <v>0.663947050743038</v>
      </c>
      <c r="O51" s="181"/>
      <c r="P51" s="43" t="s">
        <v>26</v>
      </c>
      <c r="Q51" s="94" t="s">
        <v>50</v>
      </c>
      <c r="R51" s="95"/>
      <c r="S51" s="95"/>
      <c r="T51" s="38"/>
      <c r="U51" s="39"/>
    </row>
    <row r="52" customFormat="false" ht="13.5" hidden="false" customHeight="true" outlineLevel="0" collapsed="false">
      <c r="B52" s="245" t="n">
        <f aca="false">B33+1</f>
        <v>3</v>
      </c>
      <c r="C52" s="246" t="s">
        <v>107</v>
      </c>
      <c r="D52" s="247" t="n">
        <v>22306</v>
      </c>
      <c r="E52" s="248" t="n">
        <v>0</v>
      </c>
      <c r="F52" s="249" t="s">
        <v>19</v>
      </c>
      <c r="G52" s="250" t="n">
        <v>3</v>
      </c>
      <c r="H52" s="236" t="s">
        <v>97</v>
      </c>
      <c r="I52" s="88"/>
      <c r="J52" s="251" t="n">
        <f aca="false">IF(G52=3,E52,0)</f>
        <v>0</v>
      </c>
      <c r="K52" s="145"/>
      <c r="L52" s="205" t="n">
        <v>0</v>
      </c>
      <c r="M52" s="19"/>
      <c r="N52" s="252" t="e">
        <f aca="false">L52/J52</f>
        <v>#DIV/0!</v>
      </c>
      <c r="O52" s="181"/>
      <c r="P52" s="56" t="s">
        <v>31</v>
      </c>
      <c r="Q52" s="97" t="s">
        <v>53</v>
      </c>
      <c r="T52" s="38"/>
      <c r="U52" s="39"/>
    </row>
    <row r="53" customFormat="false" ht="13.5" hidden="false" customHeight="true" outlineLevel="0" collapsed="false">
      <c r="B53" s="23" t="n">
        <f aca="false">B51+1</f>
        <v>3</v>
      </c>
      <c r="C53" s="189" t="s">
        <v>78</v>
      </c>
      <c r="D53" s="11" t="n">
        <v>22342</v>
      </c>
      <c r="E53" s="87" t="n">
        <v>500</v>
      </c>
      <c r="F53" s="22" t="s">
        <v>19</v>
      </c>
      <c r="G53" s="23" t="n">
        <v>3</v>
      </c>
      <c r="H53" s="80"/>
      <c r="I53" s="80"/>
      <c r="J53" s="253" t="n">
        <f aca="false">IF(G53=3,E53,0)</f>
        <v>500</v>
      </c>
      <c r="K53" s="194"/>
      <c r="L53" s="191" t="n">
        <v>328.5</v>
      </c>
      <c r="M53" s="19"/>
      <c r="N53" s="211" t="n">
        <f aca="false">L53/J53</f>
        <v>0.657</v>
      </c>
      <c r="O53" s="181"/>
      <c r="P53" s="56" t="s">
        <v>33</v>
      </c>
      <c r="Q53" s="57" t="s">
        <v>57</v>
      </c>
      <c r="T53" s="38"/>
      <c r="U53" s="39"/>
    </row>
    <row r="54" customFormat="false" ht="13.5" hidden="false" customHeight="true" outlineLevel="0" collapsed="false">
      <c r="B54" s="23" t="n">
        <f aca="false">B53+1</f>
        <v>4</v>
      </c>
      <c r="C54" s="184" t="s">
        <v>108</v>
      </c>
      <c r="D54" s="11" t="n">
        <v>102950</v>
      </c>
      <c r="E54" s="98" t="n">
        <f aca="false">300+200</f>
        <v>500</v>
      </c>
      <c r="F54" s="22" t="s">
        <v>21</v>
      </c>
      <c r="G54" s="23" t="n">
        <v>3</v>
      </c>
      <c r="H54" s="88"/>
      <c r="I54" s="88"/>
      <c r="J54" s="253" t="n">
        <f aca="false">IF(G54=3,E54,0)</f>
        <v>500</v>
      </c>
      <c r="K54" s="151"/>
      <c r="L54" s="191" t="n">
        <v>318.5</v>
      </c>
      <c r="M54" s="19"/>
      <c r="N54" s="28" t="n">
        <f aca="false">L54/J54</f>
        <v>0.637</v>
      </c>
      <c r="O54" s="181"/>
      <c r="P54" s="56" t="s">
        <v>36</v>
      </c>
      <c r="Q54" s="57" t="s">
        <v>37</v>
      </c>
      <c r="T54" s="39"/>
      <c r="U54" s="39"/>
    </row>
    <row r="55" customFormat="false" ht="13.5" hidden="false" customHeight="true" outlineLevel="0" collapsed="false">
      <c r="B55" s="23" t="n">
        <f aca="false">B54+1</f>
        <v>5</v>
      </c>
      <c r="C55" s="189" t="s">
        <v>79</v>
      </c>
      <c r="D55" s="11" t="n">
        <v>22321</v>
      </c>
      <c r="E55" s="254" t="n">
        <f aca="false">400</f>
        <v>400</v>
      </c>
      <c r="F55" s="22" t="s">
        <v>21</v>
      </c>
      <c r="G55" s="23" t="n">
        <v>3</v>
      </c>
      <c r="H55" s="88"/>
      <c r="I55" s="88"/>
      <c r="J55" s="253" t="n">
        <f aca="false">IF(G55=3,E55,0)</f>
        <v>400</v>
      </c>
      <c r="K55" s="151"/>
      <c r="L55" s="191" t="n">
        <v>252.8</v>
      </c>
      <c r="M55" s="19"/>
      <c r="N55" s="28" t="n">
        <f aca="false">L55/J55</f>
        <v>0.632</v>
      </c>
      <c r="O55" s="181"/>
      <c r="P55" s="56" t="s">
        <v>38</v>
      </c>
      <c r="Q55" s="57" t="s">
        <v>39</v>
      </c>
      <c r="T55" s="39"/>
      <c r="U55" s="39"/>
    </row>
    <row r="56" customFormat="false" ht="13.5" hidden="false" customHeight="true" outlineLevel="0" collapsed="false">
      <c r="B56" s="255" t="n">
        <f aca="false">B52+1</f>
        <v>4</v>
      </c>
      <c r="C56" s="256" t="s">
        <v>79</v>
      </c>
      <c r="D56" s="257" t="n">
        <v>102949</v>
      </c>
      <c r="E56" s="258" t="n">
        <v>200</v>
      </c>
      <c r="F56" s="259" t="s">
        <v>21</v>
      </c>
      <c r="G56" s="201" t="n">
        <v>3</v>
      </c>
      <c r="H56" s="236" t="s">
        <v>97</v>
      </c>
      <c r="I56" s="88"/>
      <c r="J56" s="237" t="n">
        <f aca="false">IF(G56=3,E56,0)</f>
        <v>200</v>
      </c>
      <c r="K56" s="151"/>
      <c r="L56" s="205" t="n">
        <v>0</v>
      </c>
      <c r="M56" s="19"/>
      <c r="N56" s="260" t="n">
        <f aca="false">L56/J56</f>
        <v>0</v>
      </c>
      <c r="O56" s="181"/>
      <c r="P56" s="39"/>
      <c r="Q56" s="39"/>
      <c r="R56" s="39"/>
      <c r="S56" s="39"/>
      <c r="T56" s="39"/>
      <c r="U56" s="39"/>
    </row>
    <row r="57" customFormat="false" ht="13.5" hidden="false" customHeight="true" outlineLevel="0" collapsed="false">
      <c r="B57" s="23" t="n">
        <f aca="false">B55+1</f>
        <v>6</v>
      </c>
      <c r="C57" s="189" t="s">
        <v>80</v>
      </c>
      <c r="D57" s="11" t="n">
        <v>22326</v>
      </c>
      <c r="E57" s="21" t="n">
        <v>29</v>
      </c>
      <c r="F57" s="22" t="s">
        <v>42</v>
      </c>
      <c r="G57" s="23" t="n">
        <v>3</v>
      </c>
      <c r="H57" s="88"/>
      <c r="I57" s="88"/>
      <c r="J57" s="190" t="n">
        <f aca="false">IF(G57=3,E57,0)</f>
        <v>29</v>
      </c>
      <c r="K57" s="151"/>
      <c r="L57" s="191" t="n">
        <v>17.4</v>
      </c>
      <c r="M57" s="19"/>
      <c r="N57" s="215" t="n">
        <f aca="false">L57/J57</f>
        <v>0.6</v>
      </c>
      <c r="O57" s="181"/>
    </row>
    <row r="58" customFormat="false" ht="13.5" hidden="false" customHeight="true" outlineLevel="0" collapsed="false">
      <c r="B58" s="23" t="n">
        <f aca="false">B57+1</f>
        <v>7</v>
      </c>
      <c r="C58" s="189" t="s">
        <v>81</v>
      </c>
      <c r="D58" s="11" t="n">
        <v>22339</v>
      </c>
      <c r="E58" s="21" t="n">
        <v>18.125</v>
      </c>
      <c r="F58" s="22" t="s">
        <v>21</v>
      </c>
      <c r="G58" s="23" t="n">
        <v>3</v>
      </c>
      <c r="H58" s="88"/>
      <c r="I58" s="88"/>
      <c r="J58" s="190" t="n">
        <f aca="false">IF(G58=3,E58,0)</f>
        <v>18.125</v>
      </c>
      <c r="K58" s="151"/>
      <c r="L58" s="191" t="n">
        <v>12.6</v>
      </c>
      <c r="M58" s="19"/>
      <c r="N58" s="28" t="n">
        <f aca="false">L58/J58</f>
        <v>0.695172413793104</v>
      </c>
      <c r="O58" s="181"/>
    </row>
    <row r="59" customFormat="false" ht="13.5" hidden="false" customHeight="true" outlineLevel="0" collapsed="false">
      <c r="B59" s="23" t="n">
        <f aca="false">B58+1</f>
        <v>8</v>
      </c>
      <c r="C59" s="189" t="s">
        <v>82</v>
      </c>
      <c r="D59" s="11" t="n">
        <v>22308</v>
      </c>
      <c r="E59" s="21" t="n">
        <v>17.145</v>
      </c>
      <c r="F59" s="22" t="s">
        <v>42</v>
      </c>
      <c r="G59" s="23" t="n">
        <v>3</v>
      </c>
      <c r="H59" s="88"/>
      <c r="I59" s="88"/>
      <c r="J59" s="190" t="n">
        <f aca="false">IF(G59=3,E59,0)</f>
        <v>17.145</v>
      </c>
      <c r="K59" s="151"/>
      <c r="L59" s="191" t="n">
        <v>12.7</v>
      </c>
      <c r="M59" s="19"/>
      <c r="N59" s="28" t="n">
        <f aca="false">L59/J59</f>
        <v>0.740740740740741</v>
      </c>
      <c r="O59" s="181"/>
      <c r="P59" s="56"/>
      <c r="Q59" s="57"/>
    </row>
    <row r="60" customFormat="false" ht="13.5" hidden="false" customHeight="true" outlineLevel="0" collapsed="false">
      <c r="B60" s="23" t="n">
        <f aca="false">B59+1</f>
        <v>9</v>
      </c>
      <c r="C60" s="189" t="s">
        <v>83</v>
      </c>
      <c r="D60" s="11" t="n">
        <v>22300</v>
      </c>
      <c r="E60" s="21" t="n">
        <v>16.655</v>
      </c>
      <c r="F60" s="22" t="s">
        <v>19</v>
      </c>
      <c r="G60" s="23" t="n">
        <v>3</v>
      </c>
      <c r="H60" s="88"/>
      <c r="I60" s="88"/>
      <c r="J60" s="190" t="n">
        <f aca="false">IF(G60=3,E60,0)</f>
        <v>16.655</v>
      </c>
      <c r="K60" s="151"/>
      <c r="L60" s="217" t="n">
        <v>12.2</v>
      </c>
      <c r="M60" s="19"/>
      <c r="N60" s="70" t="n">
        <f aca="false">L60/J60</f>
        <v>0.732512758931252</v>
      </c>
      <c r="O60" s="181"/>
      <c r="P60" s="56"/>
      <c r="Q60" s="57"/>
    </row>
    <row r="61" customFormat="false" ht="13.5" hidden="false" customHeight="true" outlineLevel="0" collapsed="false">
      <c r="B61" s="23" t="n">
        <f aca="false">B60+1</f>
        <v>10</v>
      </c>
      <c r="C61" s="189" t="s">
        <v>85</v>
      </c>
      <c r="D61" s="11" t="n">
        <v>22336</v>
      </c>
      <c r="E61" s="21" t="n">
        <v>14.634</v>
      </c>
      <c r="F61" s="22" t="s">
        <v>21</v>
      </c>
      <c r="G61" s="23" t="n">
        <v>3</v>
      </c>
      <c r="H61" s="88"/>
      <c r="I61" s="88"/>
      <c r="J61" s="190" t="n">
        <f aca="false">IF(G61=3,E61,0)</f>
        <v>14.634</v>
      </c>
      <c r="K61" s="151"/>
      <c r="L61" s="191" t="n">
        <v>10.2</v>
      </c>
      <c r="M61" s="19"/>
      <c r="N61" s="70" t="n">
        <f aca="false">L61/J61</f>
        <v>0.697006970069701</v>
      </c>
      <c r="O61" s="207"/>
    </row>
    <row r="62" customFormat="false" ht="13.5" hidden="false" customHeight="true" outlineLevel="0" collapsed="false">
      <c r="B62" s="23" t="n">
        <f aca="false">B61+1</f>
        <v>11</v>
      </c>
      <c r="C62" s="184" t="s">
        <v>109</v>
      </c>
      <c r="D62" s="11" t="n">
        <v>103962</v>
      </c>
      <c r="E62" s="98" t="n">
        <v>10</v>
      </c>
      <c r="F62" s="22" t="s">
        <v>21</v>
      </c>
      <c r="G62" s="23" t="n">
        <v>3</v>
      </c>
      <c r="H62" s="88"/>
      <c r="I62" s="88"/>
      <c r="J62" s="190" t="n">
        <f aca="false">IF(G62=3,E62,0)</f>
        <v>10</v>
      </c>
      <c r="K62" s="151"/>
      <c r="L62" s="191" t="n">
        <v>7.2</v>
      </c>
      <c r="M62" s="19"/>
      <c r="N62" s="28" t="n">
        <f aca="false">L62/J62</f>
        <v>0.72</v>
      </c>
      <c r="O62" s="181"/>
    </row>
    <row r="63" customFormat="false" ht="13.5" hidden="false" customHeight="true" outlineLevel="0" collapsed="false">
      <c r="B63" s="23" t="n">
        <f aca="false">B62+1</f>
        <v>12</v>
      </c>
      <c r="C63" s="189" t="s">
        <v>87</v>
      </c>
      <c r="D63" s="11" t="n">
        <v>22341</v>
      </c>
      <c r="E63" s="153" t="n">
        <v>8.419</v>
      </c>
      <c r="F63" s="22" t="s">
        <v>21</v>
      </c>
      <c r="G63" s="23" t="n">
        <v>3</v>
      </c>
      <c r="H63" s="88"/>
      <c r="I63" s="88"/>
      <c r="J63" s="190" t="n">
        <f aca="false">IF(G63=3,E63,0)</f>
        <v>8.419</v>
      </c>
      <c r="K63" s="151"/>
      <c r="L63" s="191" t="n">
        <v>6.2</v>
      </c>
      <c r="M63" s="19"/>
      <c r="N63" s="90" t="n">
        <f aca="false">L63/J63</f>
        <v>0.736429504691769</v>
      </c>
      <c r="O63" s="181"/>
    </row>
    <row r="64" customFormat="false" ht="13.5" hidden="false" customHeight="true" outlineLevel="0" collapsed="false">
      <c r="B64" s="130" t="n">
        <f aca="false">B63+1</f>
        <v>13</v>
      </c>
      <c r="C64" s="189" t="s">
        <v>88</v>
      </c>
      <c r="D64" s="156" t="n">
        <v>22340</v>
      </c>
      <c r="E64" s="157" t="n">
        <v>4.975</v>
      </c>
      <c r="F64" s="22" t="s">
        <v>19</v>
      </c>
      <c r="G64" s="23" t="n">
        <v>3</v>
      </c>
      <c r="H64" s="158"/>
      <c r="I64" s="158"/>
      <c r="J64" s="261" t="n">
        <f aca="false">IF(G64=3,E64,0)</f>
        <v>4.975</v>
      </c>
      <c r="K64" s="151"/>
      <c r="L64" s="217" t="n">
        <v>3</v>
      </c>
      <c r="M64" s="19"/>
      <c r="N64" s="28" t="n">
        <f aca="false">L64/J64</f>
        <v>0.603015075376885</v>
      </c>
      <c r="O64" s="207"/>
    </row>
    <row r="65" customFormat="false" ht="12.75" hidden="false" customHeight="false" outlineLevel="0" collapsed="false">
      <c r="E65" s="160" t="n">
        <f aca="false">SUM(E10:E12,E14:E19,E24:E30,E34,E44,E50:E51,E53:E55,E57:E64,)</f>
        <v>39320.534</v>
      </c>
      <c r="F65" s="22"/>
      <c r="G65" s="22"/>
      <c r="H65" s="161" t="n">
        <f aca="false">H21</f>
        <v>23337.414</v>
      </c>
      <c r="I65" s="161" t="n">
        <f aca="false">I47</f>
        <v>13147.187</v>
      </c>
      <c r="J65" s="161" t="n">
        <f aca="false">SUM(J50:J51,J53:J54,J55:J64,)-J56</f>
        <v>8845.013</v>
      </c>
      <c r="K65" s="262"/>
      <c r="L65" s="81" t="n">
        <f aca="false">SUM(L50:L64)</f>
        <v>6349.5</v>
      </c>
      <c r="N65" s="82" t="n">
        <f aca="false">L65/J65</f>
        <v>0.717862144464909</v>
      </c>
      <c r="O65" s="181"/>
    </row>
    <row r="66" customFormat="false" ht="13.5" hidden="false" customHeight="true" outlineLevel="0" collapsed="false">
      <c r="F66" s="22"/>
      <c r="G66" s="163" t="s">
        <v>89</v>
      </c>
      <c r="H66" s="164" t="n">
        <f aca="false">H65/I67</f>
        <v>0.514838136499464</v>
      </c>
      <c r="I66" s="164" t="n">
        <f aca="false">I65/I67</f>
        <v>0.290035273629288</v>
      </c>
      <c r="J66" s="164" t="n">
        <f aca="false">J65/I67</f>
        <v>0.195126589871248</v>
      </c>
      <c r="K66" s="39"/>
      <c r="L66" s="165"/>
      <c r="O66" s="263"/>
    </row>
    <row r="67" customFormat="false" ht="12.75" hidden="false" customHeight="false" outlineLevel="0" collapsed="false">
      <c r="B67" s="130" t="n">
        <f aca="false">B19+B44+B64</f>
        <v>32</v>
      </c>
      <c r="C67" s="264" t="s">
        <v>90</v>
      </c>
      <c r="D67" s="138"/>
      <c r="E67" s="166"/>
      <c r="F67" s="22"/>
      <c r="G67" s="167"/>
      <c r="I67" s="168" t="n">
        <f aca="false">H65+I65+J65</f>
        <v>45329.614</v>
      </c>
      <c r="K67" s="39"/>
      <c r="L67" s="81" t="n">
        <f aca="false">L21+L47+L65</f>
        <v>28857.7</v>
      </c>
      <c r="N67" s="265" t="n">
        <f aca="false">L67/I67</f>
        <v>0.63661914262054</v>
      </c>
      <c r="O67" s="92"/>
    </row>
    <row r="68" customFormat="false" ht="12.75" hidden="false" customHeight="false" outlineLevel="0" collapsed="false">
      <c r="B68" s="23"/>
      <c r="C68" s="264"/>
      <c r="D68" s="138"/>
      <c r="E68" s="166"/>
      <c r="F68" s="22"/>
      <c r="G68" s="22"/>
      <c r="H68" s="140" t="s">
        <v>110</v>
      </c>
      <c r="I68" s="266" t="n">
        <v>-1774</v>
      </c>
      <c r="J68" s="187"/>
      <c r="K68" s="262"/>
      <c r="L68" s="170"/>
      <c r="M68" s="92"/>
      <c r="N68" s="171"/>
      <c r="O68" s="92"/>
    </row>
    <row r="69" customFormat="false" ht="12.75" hidden="false" customHeight="false" outlineLevel="0" collapsed="false">
      <c r="B69" s="172"/>
      <c r="C69" s="267"/>
      <c r="D69" s="172"/>
      <c r="E69" s="173"/>
      <c r="F69" s="22"/>
      <c r="G69" s="174"/>
      <c r="I69" s="23" t="s">
        <v>111</v>
      </c>
      <c r="K69" s="268" t="s">
        <v>112</v>
      </c>
      <c r="P69" s="6"/>
      <c r="Q69" s="269" t="s">
        <v>113</v>
      </c>
      <c r="R69" s="6"/>
    </row>
    <row r="70" customFormat="false" ht="12.75" hidden="false" customHeight="false" outlineLevel="0" collapsed="false">
      <c r="B70" s="175"/>
      <c r="C70" s="267"/>
      <c r="D70" s="176"/>
      <c r="E70" s="177"/>
      <c r="F70" s="22"/>
      <c r="G70" s="22"/>
      <c r="I70" s="270" t="n">
        <f aca="false">I67+I68</f>
        <v>43555.614</v>
      </c>
      <c r="K70" s="271" t="s">
        <v>114</v>
      </c>
      <c r="L70" s="179" t="n">
        <f aca="false">I70-L67-5908</f>
        <v>8789.91399999999</v>
      </c>
      <c r="M70" s="180" t="s">
        <v>115</v>
      </c>
      <c r="N70" s="181"/>
      <c r="P70" s="272" t="s">
        <v>116</v>
      </c>
      <c r="Q70" s="179" t="n">
        <v>9169.114</v>
      </c>
    </row>
    <row r="71" customFormat="false" ht="12.75" hidden="false" customHeight="false" outlineLevel="0" collapsed="false">
      <c r="B71" s="138"/>
      <c r="C71" s="216"/>
      <c r="D71" s="178"/>
      <c r="E71" s="273"/>
      <c r="F71" s="22"/>
      <c r="G71" s="22"/>
      <c r="I71" s="169"/>
      <c r="L71" s="179" t="n">
        <f aca="false">I70-L67</f>
        <v>14697.914</v>
      </c>
      <c r="M71" s="180" t="s">
        <v>117</v>
      </c>
      <c r="N71" s="181"/>
      <c r="Q71" s="179" t="n">
        <v>9798.114</v>
      </c>
    </row>
    <row r="72" customFormat="false" ht="18" hidden="false" customHeight="false" outlineLevel="0" collapsed="false">
      <c r="B72" s="34"/>
      <c r="C72" s="274"/>
      <c r="D72" s="275" t="s">
        <v>118</v>
      </c>
      <c r="E72" s="276" t="s">
        <v>119</v>
      </c>
      <c r="F72" s="276"/>
      <c r="G72" s="277"/>
      <c r="L72" s="179" t="n">
        <f aca="false">L67</f>
        <v>28857.7</v>
      </c>
      <c r="M72" s="180" t="s">
        <v>92</v>
      </c>
      <c r="N72" s="181"/>
      <c r="Q72" s="179" t="n">
        <v>34813.5</v>
      </c>
      <c r="R72" s="278" t="s">
        <v>120</v>
      </c>
      <c r="S72" s="6"/>
    </row>
    <row r="73" customFormat="false" ht="12.75" hidden="false" customHeight="false" outlineLevel="0" collapsed="false">
      <c r="D73" s="277"/>
      <c r="E73" s="276" t="s">
        <v>121</v>
      </c>
      <c r="F73" s="276"/>
      <c r="G73" s="277"/>
      <c r="L73" s="183" t="n">
        <f aca="false">L72/SUM(L72+L71+1774)</f>
        <v>0.63661914262054</v>
      </c>
      <c r="M73" s="180" t="s">
        <v>92</v>
      </c>
      <c r="N73" s="181"/>
      <c r="Q73" s="279" t="n">
        <v>0.768007863468681</v>
      </c>
      <c r="R73" s="278" t="s">
        <v>120</v>
      </c>
      <c r="S73" s="6"/>
    </row>
    <row r="74" customFormat="false" ht="12.75" hidden="false" customHeight="false" outlineLevel="0" collapsed="false">
      <c r="F74" s="39"/>
      <c r="G74" s="39"/>
      <c r="H74" s="280"/>
      <c r="I74" s="170"/>
    </row>
  </sheetData>
  <mergeCells count="1">
    <mergeCell ref="P8:S8"/>
  </mergeCells>
  <printOptions headings="false" gridLines="true" gridLinesSet="true" horizontalCentered="true" verticalCentered="true"/>
  <pageMargins left="0.747916666666667" right="0.747916666666667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&amp;L&amp;F&amp;C&amp;P&amp;R&amp;T    &amp;D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V76"/>
  <sheetViews>
    <sheetView showFormulas="false" showGridLines="true" showRowColHeaders="true" showZeros="true" rightToLeft="false" tabSelected="false" showOutlineSymbols="true" defaultGridColor="true" view="normal" topLeftCell="F1" colorId="64" zoomScale="75" zoomScaleNormal="75" zoomScalePageLayoutView="116" workbookViewId="0">
      <selection pane="topLeft" activeCell="V13" activeCellId="0" sqref="V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0.7"/>
    <col collapsed="false" customWidth="true" hidden="false" outlineLevel="0" max="5" min="5" style="0" width="12.85"/>
    <col collapsed="false" customWidth="true" hidden="false" outlineLevel="0" max="8" min="8" style="0" width="12.56"/>
    <col collapsed="false" customWidth="true" hidden="false" outlineLevel="0" max="9" min="9" style="0" width="12.7"/>
    <col collapsed="false" customWidth="true" hidden="false" outlineLevel="0" max="10" min="10" style="0" width="12.28"/>
  </cols>
  <sheetData>
    <row r="3" customFormat="false" ht="20.25" hidden="false" customHeight="false" outlineLevel="0" collapsed="false">
      <c r="E3" s="2" t="s">
        <v>122</v>
      </c>
      <c r="K3" s="3"/>
      <c r="L3" s="4" t="s">
        <v>1</v>
      </c>
      <c r="M3" s="5"/>
      <c r="N3" s="4" t="s">
        <v>123</v>
      </c>
      <c r="O3" s="3"/>
    </row>
    <row r="6" customFormat="false" ht="12.75" hidden="false" customHeight="false" outlineLevel="0" collapsed="false">
      <c r="N6" s="8" t="s">
        <v>3</v>
      </c>
      <c r="Q6" s="13" t="s">
        <v>6</v>
      </c>
      <c r="V6" s="57"/>
    </row>
    <row r="7" customFormat="false" ht="12.75" hidden="false" customHeight="false" outlineLevel="0" collapsed="false">
      <c r="L7" s="8" t="s">
        <v>4</v>
      </c>
      <c r="M7" s="10"/>
      <c r="N7" s="8" t="s">
        <v>5</v>
      </c>
      <c r="O7" s="11"/>
      <c r="P7" s="17" t="s">
        <v>124</v>
      </c>
    </row>
    <row r="8" customFormat="false" ht="12.75" hidden="false" customHeight="false" outlineLevel="0" collapsed="false">
      <c r="C8" s="14" t="s">
        <v>7</v>
      </c>
      <c r="D8" s="15" t="s">
        <v>8</v>
      </c>
      <c r="E8" s="14" t="s">
        <v>9</v>
      </c>
      <c r="F8" s="14" t="s">
        <v>10</v>
      </c>
      <c r="G8" s="14" t="s">
        <v>11</v>
      </c>
      <c r="H8" s="14" t="s">
        <v>12</v>
      </c>
      <c r="I8" s="14" t="s">
        <v>13</v>
      </c>
      <c r="J8" s="14" t="s">
        <v>14</v>
      </c>
      <c r="L8" s="16" t="s">
        <v>15</v>
      </c>
      <c r="M8" s="16"/>
      <c r="N8" s="16" t="s">
        <v>16</v>
      </c>
      <c r="O8" s="11"/>
      <c r="R8" s="30" t="s">
        <v>12</v>
      </c>
    </row>
    <row r="9" customFormat="false" ht="12.75" hidden="false" customHeight="false" outlineLevel="0" collapsed="false">
      <c r="B9" s="18" t="n">
        <f aca="false">1</f>
        <v>1</v>
      </c>
      <c r="C9" s="40" t="s">
        <v>44</v>
      </c>
      <c r="D9" s="11" t="n">
        <v>105153</v>
      </c>
      <c r="E9" s="65" t="n">
        <v>3874.822</v>
      </c>
      <c r="F9" s="22" t="s">
        <v>25</v>
      </c>
      <c r="G9" s="23" t="n">
        <v>1</v>
      </c>
      <c r="H9" s="24" t="n">
        <f aca="false">IF(G9=1,E9,0)</f>
        <v>3874.822</v>
      </c>
      <c r="L9" s="26" t="n">
        <v>3277.2</v>
      </c>
      <c r="M9" s="60"/>
      <c r="N9" s="28" t="n">
        <f aca="false">L9/H9</f>
        <v>0.845767883015013</v>
      </c>
      <c r="O9" s="29"/>
      <c r="P9" s="56" t="s">
        <v>22</v>
      </c>
      <c r="Q9" s="57" t="s">
        <v>95</v>
      </c>
      <c r="V9" s="47" t="n">
        <f aca="false">83.5-(83.5-33.5)*(22/31)</f>
        <v>48.0161290322581</v>
      </c>
    </row>
    <row r="10" customFormat="false" ht="12.75" hidden="false" customHeight="false" outlineLevel="0" collapsed="false">
      <c r="B10" s="18" t="n">
        <f aca="false">B9+1</f>
        <v>2</v>
      </c>
      <c r="C10" s="19" t="s">
        <v>18</v>
      </c>
      <c r="D10" s="11" t="n">
        <v>22319</v>
      </c>
      <c r="E10" s="21" t="n">
        <v>3500</v>
      </c>
      <c r="F10" s="22" t="s">
        <v>19</v>
      </c>
      <c r="G10" s="23" t="n">
        <v>1</v>
      </c>
      <c r="H10" s="24" t="n">
        <f aca="false">IF(G10=1,E10,0)</f>
        <v>3500</v>
      </c>
      <c r="L10" s="26" t="n">
        <v>2617.5</v>
      </c>
      <c r="M10" s="27"/>
      <c r="N10" s="28" t="n">
        <f aca="false">L10/H10</f>
        <v>0.747857142857143</v>
      </c>
      <c r="O10" s="33"/>
      <c r="P10" s="56" t="s">
        <v>26</v>
      </c>
      <c r="Q10" s="57" t="s">
        <v>27</v>
      </c>
    </row>
    <row r="11" customFormat="false" ht="12.75" hidden="false" customHeight="false" outlineLevel="0" collapsed="false">
      <c r="B11" s="18" t="n">
        <f aca="false">B10+1</f>
        <v>3</v>
      </c>
      <c r="C11" s="19" t="s">
        <v>20</v>
      </c>
      <c r="D11" s="11" t="n">
        <v>22298</v>
      </c>
      <c r="E11" s="21" t="n">
        <v>2747.533</v>
      </c>
      <c r="F11" s="22" t="s">
        <v>21</v>
      </c>
      <c r="G11" s="23" t="n">
        <v>1</v>
      </c>
      <c r="H11" s="24" t="n">
        <f aca="false">IF(G11=1,E11,0)</f>
        <v>2747.533</v>
      </c>
      <c r="L11" s="26" t="n">
        <v>2128.8</v>
      </c>
      <c r="M11" s="32"/>
      <c r="N11" s="28" t="n">
        <f aca="false">L11/H11</f>
        <v>0.774804160677961</v>
      </c>
      <c r="O11" s="42"/>
      <c r="P11" s="23" t="s">
        <v>31</v>
      </c>
      <c r="Q11" s="53" t="s">
        <v>32</v>
      </c>
      <c r="V11" s="47" t="n">
        <f aca="false">100-(100-83.5)*(22/31)</f>
        <v>88.2903225806452</v>
      </c>
    </row>
    <row r="12" customFormat="false" ht="12.75" hidden="false" customHeight="false" outlineLevel="0" collapsed="false">
      <c r="B12" s="18" t="n">
        <f aca="false">B11+1</f>
        <v>4</v>
      </c>
      <c r="C12" s="19" t="s">
        <v>98</v>
      </c>
      <c r="D12" s="11" t="n">
        <v>102817</v>
      </c>
      <c r="E12" s="98" t="n">
        <v>2000</v>
      </c>
      <c r="F12" s="22" t="s">
        <v>21</v>
      </c>
      <c r="G12" s="23" t="n">
        <v>1</v>
      </c>
      <c r="H12" s="24" t="n">
        <f aca="false">IF(G12=1,E12,0)</f>
        <v>2000</v>
      </c>
      <c r="L12" s="26" t="n">
        <f aca="false">996.9+652.5</f>
        <v>1649.4</v>
      </c>
      <c r="M12" s="19"/>
      <c r="N12" s="28" t="n">
        <f aca="false">L12/H12</f>
        <v>0.8247</v>
      </c>
      <c r="O12" s="42"/>
      <c r="P12" s="56" t="s">
        <v>33</v>
      </c>
      <c r="Q12" s="57" t="s">
        <v>34</v>
      </c>
      <c r="V12" s="61"/>
    </row>
    <row r="13" customFormat="false" ht="12.75" hidden="false" customHeight="false" outlineLevel="0" collapsed="false">
      <c r="B13" s="18" t="n">
        <f aca="false">B12+1</f>
        <v>5</v>
      </c>
      <c r="C13" s="40" t="s">
        <v>99</v>
      </c>
      <c r="D13" s="11" t="n">
        <v>23281</v>
      </c>
      <c r="E13" s="98" t="n">
        <v>1000</v>
      </c>
      <c r="F13" s="22" t="s">
        <v>25</v>
      </c>
      <c r="G13" s="23" t="n">
        <v>1</v>
      </c>
      <c r="H13" s="24" t="n">
        <f aca="false">IF(G13=1,E13,0)</f>
        <v>1000</v>
      </c>
      <c r="L13" s="26" t="n">
        <v>626.4</v>
      </c>
      <c r="M13" s="32"/>
      <c r="N13" s="28" t="n">
        <f aca="false">L13/H13</f>
        <v>0.6264</v>
      </c>
      <c r="O13" s="42"/>
      <c r="P13" s="56" t="s">
        <v>36</v>
      </c>
      <c r="Q13" s="57" t="s">
        <v>37</v>
      </c>
      <c r="V13" s="47" t="n">
        <f aca="false">74-(74-33.5)*(22/31)</f>
        <v>45.258064516129</v>
      </c>
    </row>
    <row r="14" customFormat="false" ht="12.75" hidden="false" customHeight="false" outlineLevel="0" collapsed="false">
      <c r="B14" s="18" t="n">
        <f aca="false">B13+1</f>
        <v>6</v>
      </c>
      <c r="C14" s="40" t="s">
        <v>99</v>
      </c>
      <c r="D14" s="11" t="n">
        <v>23282</v>
      </c>
      <c r="E14" s="98" t="n">
        <v>500</v>
      </c>
      <c r="F14" s="22" t="s">
        <v>25</v>
      </c>
      <c r="G14" s="23" t="n">
        <v>1</v>
      </c>
      <c r="H14" s="24" t="n">
        <f aca="false">IF(G14=1,E14,0)</f>
        <v>500</v>
      </c>
      <c r="L14" s="59" t="n">
        <v>162.7</v>
      </c>
      <c r="M14" s="60"/>
      <c r="N14" s="281" t="n">
        <f aca="false">L14/H14</f>
        <v>0.3254</v>
      </c>
      <c r="O14" s="42"/>
      <c r="P14" s="56" t="s">
        <v>38</v>
      </c>
      <c r="Q14" s="57" t="s">
        <v>39</v>
      </c>
      <c r="T14" s="38"/>
      <c r="V14" s="282"/>
    </row>
    <row r="15" customFormat="false" ht="12.75" hidden="false" customHeight="false" outlineLevel="0" collapsed="false">
      <c r="B15" s="18" t="n">
        <f aca="false">B14+1</f>
        <v>7</v>
      </c>
      <c r="C15" s="19" t="s">
        <v>41</v>
      </c>
      <c r="D15" s="11" t="n">
        <v>22307</v>
      </c>
      <c r="E15" s="21" t="n">
        <v>267.547</v>
      </c>
      <c r="F15" s="22" t="s">
        <v>42</v>
      </c>
      <c r="G15" s="23" t="n">
        <v>1</v>
      </c>
      <c r="H15" s="24" t="n">
        <f aca="false">IF(G15=1,E15,0)</f>
        <v>267.547</v>
      </c>
      <c r="L15" s="59" t="n">
        <v>217.4</v>
      </c>
      <c r="M15" s="60"/>
      <c r="N15" s="28" t="n">
        <f aca="false">L15/H15</f>
        <v>0.812567511502652</v>
      </c>
      <c r="V15" s="282"/>
    </row>
    <row r="16" customFormat="false" ht="12.75" hidden="false" customHeight="false" outlineLevel="0" collapsed="false">
      <c r="A16" s="48" t="s">
        <v>29</v>
      </c>
      <c r="B16" s="18" t="n">
        <f aca="false">B15+1</f>
        <v>8</v>
      </c>
      <c r="C16" s="48" t="s">
        <v>58</v>
      </c>
      <c r="D16" s="210" t="n">
        <v>105542</v>
      </c>
      <c r="E16" s="51" t="n">
        <v>1300</v>
      </c>
      <c r="F16" s="22" t="s">
        <v>42</v>
      </c>
      <c r="G16" s="23" t="n">
        <v>1</v>
      </c>
      <c r="H16" s="24" t="n">
        <f aca="false">IF(G16=1,E16,0)</f>
        <v>1300</v>
      </c>
      <c r="L16" s="26" t="n">
        <v>1052.8</v>
      </c>
      <c r="M16" s="19"/>
      <c r="N16" s="28" t="n">
        <f aca="false">L16/H16</f>
        <v>0.809846153846154</v>
      </c>
      <c r="V16" s="282"/>
    </row>
    <row r="17" customFormat="false" ht="12.75" hidden="false" customHeight="false" outlineLevel="0" collapsed="false">
      <c r="A17" s="48" t="s">
        <v>29</v>
      </c>
      <c r="B17" s="18" t="n">
        <f aca="false">B16+1</f>
        <v>9</v>
      </c>
      <c r="C17" s="48" t="s">
        <v>125</v>
      </c>
      <c r="D17" s="210" t="n">
        <v>105543</v>
      </c>
      <c r="E17" s="51" t="n">
        <v>1038.432</v>
      </c>
      <c r="F17" s="22" t="s">
        <v>19</v>
      </c>
      <c r="G17" s="23" t="n">
        <v>1</v>
      </c>
      <c r="H17" s="24" t="n">
        <f aca="false">IF(G17=1,E17,0)</f>
        <v>1038.432</v>
      </c>
      <c r="L17" s="151" t="n">
        <v>930.3</v>
      </c>
      <c r="M17" s="19"/>
      <c r="N17" s="281" t="n">
        <f aca="false">L17/H17</f>
        <v>0.895869926966811</v>
      </c>
      <c r="V17" s="282"/>
    </row>
    <row r="18" customFormat="false" ht="12.75" hidden="false" customHeight="false" outlineLevel="0" collapsed="false">
      <c r="B18" s="18" t="n">
        <f aca="false">B17+1</f>
        <v>10</v>
      </c>
      <c r="C18" s="283" t="s">
        <v>125</v>
      </c>
      <c r="D18" s="11" t="n">
        <v>22305</v>
      </c>
      <c r="E18" s="21" t="n">
        <v>1000</v>
      </c>
      <c r="F18" s="22" t="s">
        <v>19</v>
      </c>
      <c r="G18" s="23" t="n">
        <v>1</v>
      </c>
      <c r="H18" s="24" t="n">
        <f aca="false">IF(G18=1,E18,0)</f>
        <v>1000</v>
      </c>
      <c r="L18" s="151" t="n">
        <v>934.6</v>
      </c>
      <c r="M18" s="32"/>
      <c r="N18" s="281" t="n">
        <f aca="false">L18/H18</f>
        <v>0.9346</v>
      </c>
      <c r="V18" s="282"/>
    </row>
    <row r="19" customFormat="false" ht="12.75" hidden="false" customHeight="false" outlineLevel="0" collapsed="false">
      <c r="G19" s="77" t="s">
        <v>48</v>
      </c>
      <c r="H19" s="79" t="n">
        <f aca="false">SUM(H9:H18)</f>
        <v>17228.334</v>
      </c>
      <c r="L19" s="81" t="n">
        <f aca="false">SUM(L9:L18)</f>
        <v>13597.1</v>
      </c>
      <c r="M19" s="58"/>
      <c r="N19" s="82" t="n">
        <f aca="false">L19/H68</f>
        <v>0.789228952724042</v>
      </c>
      <c r="O19" s="66"/>
      <c r="V19" s="282"/>
    </row>
    <row r="21" customFormat="false" ht="12.75" hidden="false" customHeight="false" outlineLevel="0" collapsed="false">
      <c r="R21" s="30" t="s">
        <v>13</v>
      </c>
    </row>
    <row r="22" customFormat="false" ht="20.25" hidden="false" customHeight="false" outlineLevel="0" collapsed="false">
      <c r="B22" s="23" t="n">
        <f aca="false">1</f>
        <v>1</v>
      </c>
      <c r="C22" s="19" t="s">
        <v>102</v>
      </c>
      <c r="D22" s="11" t="n">
        <v>22337</v>
      </c>
      <c r="E22" s="21" t="n">
        <v>6400</v>
      </c>
      <c r="F22" s="22" t="s">
        <v>42</v>
      </c>
      <c r="G22" s="23" t="n">
        <v>4</v>
      </c>
      <c r="H22" s="88"/>
      <c r="I22" s="24" t="n">
        <f aca="false">IF(G22=4,E22,0)</f>
        <v>6400</v>
      </c>
      <c r="L22" s="26" t="n">
        <f aca="false">2889.5+1625.5</f>
        <v>4515</v>
      </c>
      <c r="M22" s="60"/>
      <c r="N22" s="284" t="n">
        <f aca="false">L22/I22</f>
        <v>0.70546875</v>
      </c>
      <c r="O22" s="52"/>
      <c r="P22" s="56" t="s">
        <v>22</v>
      </c>
      <c r="Q22" s="97" t="s">
        <v>50</v>
      </c>
    </row>
    <row r="23" customFormat="false" ht="12.75" hidden="false" customHeight="false" outlineLevel="0" collapsed="false">
      <c r="B23" s="23" t="n">
        <f aca="false">B22+1</f>
        <v>2</v>
      </c>
      <c r="C23" s="19" t="s">
        <v>30</v>
      </c>
      <c r="D23" s="11" t="n">
        <v>23613</v>
      </c>
      <c r="E23" s="87" t="n">
        <f aca="false">6009.08</f>
        <v>6009.08</v>
      </c>
      <c r="F23" s="22" t="s">
        <v>21</v>
      </c>
      <c r="G23" s="23" t="n">
        <v>4</v>
      </c>
      <c r="H23" s="88"/>
      <c r="I23" s="24" t="n">
        <f aca="false">IF(G23=4,E23,0)</f>
        <v>6009.08</v>
      </c>
      <c r="L23" s="26" t="n">
        <f aca="false">3936.3+323.8</f>
        <v>4260.1</v>
      </c>
      <c r="M23" s="60"/>
      <c r="N23" s="28" t="n">
        <f aca="false">L23/I23</f>
        <v>0.708943798385111</v>
      </c>
      <c r="O23" s="66"/>
      <c r="P23" s="56" t="s">
        <v>26</v>
      </c>
      <c r="Q23" s="97" t="s">
        <v>50</v>
      </c>
    </row>
    <row r="24" customFormat="false" ht="12.75" hidden="false" customHeight="false" outlineLevel="0" collapsed="false">
      <c r="B24" s="23" t="n">
        <f aca="false">B23+1</f>
        <v>3</v>
      </c>
      <c r="C24" s="40" t="s">
        <v>126</v>
      </c>
      <c r="D24" s="11" t="n">
        <v>102835</v>
      </c>
      <c r="E24" s="65" t="n">
        <v>3000</v>
      </c>
      <c r="F24" s="22" t="s">
        <v>25</v>
      </c>
      <c r="G24" s="23" t="n">
        <v>4</v>
      </c>
      <c r="H24" s="88"/>
      <c r="I24" s="24" t="n">
        <f aca="false">IF(G24=4,E24,0)</f>
        <v>3000</v>
      </c>
      <c r="L24" s="26" t="n">
        <v>2942.7</v>
      </c>
      <c r="M24" s="60"/>
      <c r="N24" s="281" t="n">
        <f aca="false">L24/I24</f>
        <v>0.9809</v>
      </c>
      <c r="O24" s="66"/>
      <c r="P24" s="56" t="s">
        <v>31</v>
      </c>
      <c r="Q24" s="97" t="s">
        <v>53</v>
      </c>
    </row>
    <row r="25" customFormat="false" ht="20.25" hidden="false" customHeight="false" outlineLevel="0" collapsed="false">
      <c r="B25" s="285" t="n">
        <f aca="false">1</f>
        <v>1</v>
      </c>
      <c r="C25" s="286" t="s">
        <v>127</v>
      </c>
      <c r="D25" s="198" t="n">
        <v>102831</v>
      </c>
      <c r="E25" s="199" t="n">
        <v>2438.432</v>
      </c>
      <c r="F25" s="200" t="s">
        <v>21</v>
      </c>
      <c r="G25" s="201" t="n">
        <v>4</v>
      </c>
      <c r="H25" s="203" t="s">
        <v>97</v>
      </c>
      <c r="I25" s="287" t="n">
        <f aca="false">IF(G25=4,E25,0)</f>
        <v>2438.432</v>
      </c>
      <c r="L25" s="288" t="n">
        <v>0</v>
      </c>
      <c r="M25" s="76"/>
      <c r="N25" s="206" t="n">
        <f aca="false">L25/I25</f>
        <v>0</v>
      </c>
      <c r="O25" s="52"/>
      <c r="P25" s="56" t="s">
        <v>33</v>
      </c>
      <c r="Q25" s="57" t="s">
        <v>57</v>
      </c>
    </row>
    <row r="26" customFormat="false" ht="20.25" hidden="false" customHeight="false" outlineLevel="0" collapsed="false">
      <c r="A26" s="48" t="s">
        <v>29</v>
      </c>
      <c r="B26" s="208" t="n">
        <f aca="false">B24+1</f>
        <v>4</v>
      </c>
      <c r="C26" s="48" t="s">
        <v>128</v>
      </c>
      <c r="D26" s="210" t="n">
        <v>105525</v>
      </c>
      <c r="E26" s="51" t="n">
        <v>100</v>
      </c>
      <c r="F26" s="22" t="s">
        <v>42</v>
      </c>
      <c r="G26" s="23" t="n">
        <v>4</v>
      </c>
      <c r="I26" s="24" t="n">
        <f aca="false">IF(G26=4,E26,0)</f>
        <v>100</v>
      </c>
      <c r="L26" s="26" t="n">
        <v>83.3</v>
      </c>
      <c r="M26" s="19"/>
      <c r="N26" s="28" t="n">
        <f aca="false">L26/I26</f>
        <v>0.833</v>
      </c>
      <c r="O26" s="52"/>
      <c r="P26" s="56" t="s">
        <v>36</v>
      </c>
      <c r="Q26" s="57" t="s">
        <v>37</v>
      </c>
      <c r="S26" s="39"/>
    </row>
    <row r="27" customFormat="false" ht="20.25" hidden="false" customHeight="false" outlineLevel="0" collapsed="false">
      <c r="B27" s="23" t="n">
        <f aca="false">B12+1</f>
        <v>5</v>
      </c>
      <c r="C27" s="19" t="s">
        <v>104</v>
      </c>
      <c r="D27" s="11" t="n">
        <v>23544</v>
      </c>
      <c r="E27" s="21" t="n">
        <v>1250</v>
      </c>
      <c r="F27" s="22" t="s">
        <v>42</v>
      </c>
      <c r="G27" s="23" t="n">
        <v>4</v>
      </c>
      <c r="H27" s="88"/>
      <c r="I27" s="24" t="n">
        <f aca="false">IF(G27=4,E27,0)</f>
        <v>1250</v>
      </c>
      <c r="L27" s="26" t="n">
        <v>1010.7</v>
      </c>
      <c r="M27" s="93"/>
      <c r="N27" s="70" t="n">
        <f aca="false">L27/I27</f>
        <v>0.80856</v>
      </c>
      <c r="O27" s="52"/>
      <c r="P27" s="56" t="s">
        <v>38</v>
      </c>
      <c r="Q27" s="57" t="s">
        <v>39</v>
      </c>
    </row>
    <row r="28" customFormat="false" ht="12.75" hidden="false" customHeight="false" outlineLevel="0" collapsed="false">
      <c r="B28" s="23" t="n">
        <f aca="false">B27+1</f>
        <v>6</v>
      </c>
      <c r="C28" s="0" t="s">
        <v>129</v>
      </c>
      <c r="D28" s="22" t="n">
        <v>103938</v>
      </c>
      <c r="E28" s="21" t="n">
        <v>1000</v>
      </c>
      <c r="F28" s="22" t="s">
        <v>56</v>
      </c>
      <c r="G28" s="23" t="n">
        <v>4</v>
      </c>
      <c r="I28" s="24" t="n">
        <f aca="false">IF(G28=4,E28,0)</f>
        <v>1000</v>
      </c>
      <c r="K28" s="151"/>
      <c r="L28" s="99" t="n">
        <v>973.4</v>
      </c>
      <c r="N28" s="281" t="n">
        <f aca="false">L28/I28</f>
        <v>0.9734</v>
      </c>
      <c r="O28" s="66"/>
    </row>
    <row r="29" customFormat="false" ht="12.75" hidden="false" customHeight="false" outlineLevel="0" collapsed="false">
      <c r="B29" s="23" t="n">
        <f aca="false">B28+1</f>
        <v>7</v>
      </c>
      <c r="C29" s="19" t="s">
        <v>58</v>
      </c>
      <c r="D29" s="11" t="n">
        <v>22334</v>
      </c>
      <c r="E29" s="21" t="n">
        <v>562.5</v>
      </c>
      <c r="F29" s="22" t="s">
        <v>42</v>
      </c>
      <c r="G29" s="23" t="n">
        <v>4</v>
      </c>
      <c r="H29" s="88"/>
      <c r="I29" s="24" t="n">
        <f aca="false">IF(G29=4,E29,0)</f>
        <v>562.5</v>
      </c>
      <c r="L29" s="26" t="n">
        <v>464.5</v>
      </c>
      <c r="M29" s="60"/>
      <c r="N29" s="28" t="n">
        <f aca="false">L29/I29</f>
        <v>0.825777777777778</v>
      </c>
    </row>
    <row r="30" customFormat="false" ht="12.75" hidden="false" customHeight="false" outlineLevel="0" collapsed="false">
      <c r="B30" s="221" t="n">
        <f aca="false">B29+1</f>
        <v>8</v>
      </c>
      <c r="C30" s="102" t="s">
        <v>59</v>
      </c>
      <c r="D30" s="289" t="n">
        <v>103665</v>
      </c>
      <c r="E30" s="290" t="n">
        <v>620.91</v>
      </c>
      <c r="F30" s="291" t="s">
        <v>42</v>
      </c>
      <c r="G30" s="106" t="n">
        <v>4</v>
      </c>
      <c r="H30" s="223"/>
      <c r="I30" s="292" t="n">
        <f aca="false">IF(G30=4,E30,0)</f>
        <v>620.91</v>
      </c>
      <c r="L30" s="293" t="n">
        <v>486</v>
      </c>
      <c r="M30" s="226"/>
      <c r="N30" s="28" t="n">
        <f aca="false">L30/I30</f>
        <v>0.782722133642557</v>
      </c>
    </row>
    <row r="31" customFormat="false" ht="12.75" hidden="false" customHeight="false" outlineLevel="0" collapsed="false">
      <c r="B31" s="23" t="n">
        <f aca="false">B30+1</f>
        <v>9</v>
      </c>
      <c r="C31" s="19" t="s">
        <v>60</v>
      </c>
      <c r="D31" s="11" t="n">
        <v>22312</v>
      </c>
      <c r="E31" s="21" t="n">
        <f aca="false">136+114</f>
        <v>250</v>
      </c>
      <c r="F31" s="22" t="s">
        <v>21</v>
      </c>
      <c r="G31" s="23" t="n">
        <v>4</v>
      </c>
      <c r="H31" s="88"/>
      <c r="I31" s="24" t="n">
        <f aca="false">IF(G31=4,E31,0)</f>
        <v>250</v>
      </c>
      <c r="L31" s="26" t="n">
        <v>188.8</v>
      </c>
      <c r="M31" s="69"/>
      <c r="N31" s="28" t="n">
        <f aca="false">L31/I31</f>
        <v>0.7552</v>
      </c>
    </row>
    <row r="32" customFormat="false" ht="12.75" hidden="false" customHeight="false" outlineLevel="0" collapsed="false">
      <c r="B32" s="111" t="n">
        <f aca="false">1</f>
        <v>1</v>
      </c>
      <c r="C32" s="112" t="s">
        <v>61</v>
      </c>
      <c r="D32" s="113" t="n">
        <v>22309</v>
      </c>
      <c r="E32" s="114" t="n">
        <v>202.51</v>
      </c>
      <c r="F32" s="115" t="s">
        <v>42</v>
      </c>
      <c r="G32" s="116" t="n">
        <v>4</v>
      </c>
      <c r="H32" s="117"/>
      <c r="I32" s="118" t="n">
        <v>0</v>
      </c>
      <c r="L32" s="119" t="n">
        <v>0</v>
      </c>
      <c r="M32" s="120"/>
    </row>
    <row r="33" customFormat="false" ht="12.75" hidden="false" customHeight="false" outlineLevel="0" collapsed="false">
      <c r="B33" s="255" t="n">
        <f aca="false">B31+1</f>
        <v>10</v>
      </c>
      <c r="C33" s="294" t="s">
        <v>130</v>
      </c>
      <c r="D33" s="247" t="n">
        <v>103139</v>
      </c>
      <c r="E33" s="248" t="n">
        <v>0</v>
      </c>
      <c r="F33" s="249" t="s">
        <v>21</v>
      </c>
      <c r="G33" s="250" t="n">
        <v>4</v>
      </c>
      <c r="H33" s="88"/>
      <c r="I33" s="295" t="n">
        <v>0</v>
      </c>
      <c r="L33" s="296" t="n">
        <v>0</v>
      </c>
      <c r="M33" s="19"/>
      <c r="O33" s="66"/>
      <c r="R33" s="297"/>
    </row>
    <row r="34" customFormat="false" ht="20.25" hidden="false" customHeight="false" outlineLevel="0" collapsed="false">
      <c r="B34" s="111" t="n">
        <f aca="false">B32+1</f>
        <v>2</v>
      </c>
      <c r="C34" s="122" t="s">
        <v>62</v>
      </c>
      <c r="D34" s="113" t="n">
        <v>22315</v>
      </c>
      <c r="E34" s="114" t="n">
        <v>79.449</v>
      </c>
      <c r="F34" s="115" t="s">
        <v>42</v>
      </c>
      <c r="G34" s="116" t="n">
        <v>4</v>
      </c>
      <c r="H34" s="117"/>
      <c r="I34" s="118" t="n">
        <v>0</v>
      </c>
      <c r="L34" s="119" t="n">
        <v>0</v>
      </c>
      <c r="M34" s="123"/>
      <c r="O34" s="52"/>
      <c r="R34" s="125"/>
    </row>
    <row r="35" customFormat="false" ht="20.25" hidden="false" customHeight="false" outlineLevel="0" collapsed="false">
      <c r="B35" s="111" t="n">
        <f aca="false">B34+1</f>
        <v>3</v>
      </c>
      <c r="C35" s="112" t="s">
        <v>131</v>
      </c>
      <c r="D35" s="113" t="n">
        <v>22322</v>
      </c>
      <c r="E35" s="298" t="n">
        <v>75</v>
      </c>
      <c r="F35" s="115" t="s">
        <v>42</v>
      </c>
      <c r="G35" s="116" t="n">
        <v>4</v>
      </c>
      <c r="H35" s="117"/>
      <c r="I35" s="118" t="n">
        <v>0</v>
      </c>
      <c r="L35" s="119" t="n">
        <v>0</v>
      </c>
      <c r="M35" s="127"/>
      <c r="O35" s="52"/>
    </row>
    <row r="36" customFormat="false" ht="12.75" hidden="false" customHeight="false" outlineLevel="0" collapsed="false">
      <c r="B36" s="23" t="n">
        <f aca="false">B31+1</f>
        <v>10</v>
      </c>
      <c r="C36" s="19" t="s">
        <v>63</v>
      </c>
      <c r="D36" s="22" t="n">
        <v>22344</v>
      </c>
      <c r="E36" s="21" t="n">
        <v>50</v>
      </c>
      <c r="F36" s="22" t="s">
        <v>19</v>
      </c>
      <c r="G36" s="23" t="n">
        <v>4</v>
      </c>
      <c r="H36" s="88"/>
      <c r="I36" s="24" t="n">
        <f aca="false">IF(G36=4,E36,0)</f>
        <v>50</v>
      </c>
      <c r="L36" s="59" t="n">
        <v>36.4</v>
      </c>
      <c r="M36" s="19"/>
      <c r="N36" s="28" t="n">
        <f aca="false">L36/I36</f>
        <v>0.728</v>
      </c>
      <c r="O36" s="66"/>
    </row>
    <row r="37" customFormat="false" ht="12.75" hidden="false" customHeight="false" outlineLevel="0" collapsed="false">
      <c r="B37" s="111" t="n">
        <f aca="false">B35+1</f>
        <v>4</v>
      </c>
      <c r="C37" s="112" t="s">
        <v>64</v>
      </c>
      <c r="D37" s="113" t="n">
        <v>22311</v>
      </c>
      <c r="E37" s="114" t="n">
        <v>45</v>
      </c>
      <c r="F37" s="115" t="s">
        <v>19</v>
      </c>
      <c r="G37" s="116" t="n">
        <v>4</v>
      </c>
      <c r="H37" s="117"/>
      <c r="I37" s="118" t="n">
        <v>0</v>
      </c>
      <c r="L37" s="119" t="n">
        <v>0</v>
      </c>
      <c r="M37" s="112"/>
      <c r="O37" s="66"/>
    </row>
    <row r="38" customFormat="false" ht="12.75" hidden="false" customHeight="false" outlineLevel="0" collapsed="false">
      <c r="B38" s="111" t="n">
        <f aca="false">B37+1</f>
        <v>5</v>
      </c>
      <c r="C38" s="112" t="s">
        <v>65</v>
      </c>
      <c r="D38" s="113" t="n">
        <v>22323</v>
      </c>
      <c r="E38" s="114" t="n">
        <v>45</v>
      </c>
      <c r="F38" s="115" t="s">
        <v>19</v>
      </c>
      <c r="G38" s="116" t="n">
        <v>4</v>
      </c>
      <c r="H38" s="117"/>
      <c r="I38" s="118" t="n">
        <v>0</v>
      </c>
      <c r="L38" s="119" t="n">
        <v>0</v>
      </c>
      <c r="M38" s="127"/>
      <c r="O38" s="66"/>
    </row>
    <row r="39" customFormat="false" ht="12.75" hidden="false" customHeight="false" outlineLevel="0" collapsed="false">
      <c r="B39" s="111" t="n">
        <f aca="false">B38+1</f>
        <v>6</v>
      </c>
      <c r="C39" s="112" t="s">
        <v>66</v>
      </c>
      <c r="D39" s="113" t="n">
        <v>105214</v>
      </c>
      <c r="E39" s="114" t="n">
        <v>35.551</v>
      </c>
      <c r="F39" s="115" t="s">
        <v>19</v>
      </c>
      <c r="G39" s="116" t="n">
        <v>4</v>
      </c>
      <c r="H39" s="117"/>
      <c r="I39" s="118" t="n">
        <v>0</v>
      </c>
      <c r="L39" s="119" t="n">
        <v>0</v>
      </c>
      <c r="M39" s="127"/>
      <c r="O39" s="66"/>
    </row>
    <row r="40" customFormat="false" ht="20.25" hidden="false" customHeight="false" outlineLevel="0" collapsed="false">
      <c r="B40" s="111" t="n">
        <f aca="false">B39+1</f>
        <v>7</v>
      </c>
      <c r="C40" s="112" t="s">
        <v>67</v>
      </c>
      <c r="D40" s="113" t="n">
        <v>22303</v>
      </c>
      <c r="E40" s="114" t="n">
        <v>32.4</v>
      </c>
      <c r="F40" s="115" t="s">
        <v>42</v>
      </c>
      <c r="G40" s="116" t="n">
        <v>4</v>
      </c>
      <c r="H40" s="117"/>
      <c r="I40" s="118" t="n">
        <v>0</v>
      </c>
      <c r="L40" s="119" t="n">
        <v>0</v>
      </c>
      <c r="M40" s="112"/>
      <c r="O40" s="52"/>
    </row>
    <row r="41" customFormat="false" ht="12.75" hidden="false" customHeight="false" outlineLevel="0" collapsed="false">
      <c r="B41" s="111" t="n">
        <f aca="false">B40+1</f>
        <v>8</v>
      </c>
      <c r="C41" s="112" t="s">
        <v>68</v>
      </c>
      <c r="D41" s="113" t="n">
        <v>22328</v>
      </c>
      <c r="E41" s="114" t="n">
        <v>25</v>
      </c>
      <c r="F41" s="115" t="s">
        <v>19</v>
      </c>
      <c r="G41" s="116" t="n">
        <v>4</v>
      </c>
      <c r="H41" s="117"/>
      <c r="I41" s="118" t="n">
        <v>0</v>
      </c>
      <c r="L41" s="128" t="n">
        <v>0</v>
      </c>
      <c r="M41" s="112"/>
      <c r="O41" s="66"/>
    </row>
    <row r="42" customFormat="false" ht="12.75" hidden="false" customHeight="false" outlineLevel="0" collapsed="false">
      <c r="B42" s="111" t="n">
        <f aca="false">B41+1</f>
        <v>9</v>
      </c>
      <c r="C42" s="112" t="s">
        <v>69</v>
      </c>
      <c r="D42" s="113" t="n">
        <v>22302</v>
      </c>
      <c r="E42" s="114" t="n">
        <v>18</v>
      </c>
      <c r="F42" s="115" t="s">
        <v>42</v>
      </c>
      <c r="G42" s="116" t="n">
        <v>4</v>
      </c>
      <c r="H42" s="117"/>
      <c r="I42" s="118" t="n">
        <v>0</v>
      </c>
      <c r="L42" s="119" t="n">
        <v>0</v>
      </c>
      <c r="M42" s="113"/>
      <c r="O42" s="66"/>
    </row>
    <row r="43" customFormat="false" ht="12.75" hidden="false" customHeight="false" outlineLevel="0" collapsed="false">
      <c r="B43" s="111" t="n">
        <f aca="false">B42+1</f>
        <v>10</v>
      </c>
      <c r="C43" s="112" t="s">
        <v>84</v>
      </c>
      <c r="D43" s="113" t="n">
        <v>22332</v>
      </c>
      <c r="E43" s="114" t="n">
        <v>15</v>
      </c>
      <c r="F43" s="115" t="s">
        <v>42</v>
      </c>
      <c r="G43" s="116" t="n">
        <v>4</v>
      </c>
      <c r="H43" s="117"/>
      <c r="I43" s="118" t="n">
        <v>0</v>
      </c>
      <c r="L43" s="119" t="n">
        <v>0</v>
      </c>
      <c r="M43" s="129"/>
      <c r="O43" s="66"/>
    </row>
    <row r="44" customFormat="false" ht="12.75" hidden="false" customHeight="false" outlineLevel="0" collapsed="false">
      <c r="B44" s="111" t="n">
        <f aca="false">B43+1</f>
        <v>11</v>
      </c>
      <c r="C44" s="112" t="s">
        <v>70</v>
      </c>
      <c r="D44" s="113" t="n">
        <v>22368</v>
      </c>
      <c r="E44" s="114" t="n">
        <v>15</v>
      </c>
      <c r="F44" s="115" t="s">
        <v>21</v>
      </c>
      <c r="G44" s="116" t="n">
        <v>4</v>
      </c>
      <c r="H44" s="117"/>
      <c r="I44" s="118" t="n">
        <v>0</v>
      </c>
      <c r="L44" s="119" t="n">
        <v>0</v>
      </c>
      <c r="M44" s="129"/>
      <c r="O44" s="66"/>
    </row>
    <row r="45" customFormat="false" ht="20.25" hidden="false" customHeight="false" outlineLevel="0" collapsed="false">
      <c r="B45" s="111" t="n">
        <f aca="false">B44+1</f>
        <v>12</v>
      </c>
      <c r="C45" s="112" t="s">
        <v>71</v>
      </c>
      <c r="D45" s="113" t="n">
        <v>22324</v>
      </c>
      <c r="E45" s="114" t="n">
        <v>15</v>
      </c>
      <c r="F45" s="115" t="s">
        <v>21</v>
      </c>
      <c r="G45" s="116" t="n">
        <v>4</v>
      </c>
      <c r="H45" s="117"/>
      <c r="I45" s="118" t="n">
        <v>0</v>
      </c>
      <c r="L45" s="119" t="n">
        <v>0</v>
      </c>
      <c r="M45" s="129"/>
      <c r="O45" s="52"/>
    </row>
    <row r="46" customFormat="false" ht="12.75" hidden="false" customHeight="false" outlineLevel="0" collapsed="false">
      <c r="B46" s="23" t="n">
        <f aca="false">B36+1</f>
        <v>11</v>
      </c>
      <c r="C46" s="19" t="s">
        <v>72</v>
      </c>
      <c r="D46" s="11" t="n">
        <v>22301</v>
      </c>
      <c r="E46" s="21" t="n">
        <v>13.777</v>
      </c>
      <c r="F46" s="22" t="s">
        <v>21</v>
      </c>
      <c r="G46" s="23" t="n">
        <v>4</v>
      </c>
      <c r="H46" s="88"/>
      <c r="I46" s="24" t="n">
        <f aca="false">IF(G46=4,E46,0)</f>
        <v>13.777</v>
      </c>
      <c r="L46" s="26" t="n">
        <v>11.1</v>
      </c>
      <c r="M46" s="93"/>
      <c r="N46" s="28" t="n">
        <f aca="false">L46/I46</f>
        <v>0.805690643826668</v>
      </c>
      <c r="O46" s="66"/>
    </row>
    <row r="47" customFormat="false" ht="12.75" hidden="false" customHeight="false" outlineLevel="0" collapsed="false">
      <c r="B47" s="111" t="n">
        <f aca="false">B45+1</f>
        <v>13</v>
      </c>
      <c r="C47" s="112" t="s">
        <v>73</v>
      </c>
      <c r="D47" s="113" t="n">
        <v>22304</v>
      </c>
      <c r="E47" s="114" t="n">
        <v>10</v>
      </c>
      <c r="F47" s="115" t="s">
        <v>42</v>
      </c>
      <c r="G47" s="116" t="n">
        <v>4</v>
      </c>
      <c r="H47" s="117"/>
      <c r="I47" s="118" t="n">
        <v>0</v>
      </c>
      <c r="L47" s="119" t="n">
        <v>0</v>
      </c>
      <c r="M47" s="112"/>
      <c r="O47" s="66"/>
    </row>
    <row r="48" customFormat="false" ht="20.25" hidden="false" customHeight="false" outlineLevel="0" collapsed="false">
      <c r="B48" s="111" t="n">
        <f aca="false">B47+1</f>
        <v>14</v>
      </c>
      <c r="C48" s="112" t="s">
        <v>74</v>
      </c>
      <c r="D48" s="113" t="n">
        <v>22327</v>
      </c>
      <c r="E48" s="131" t="n">
        <v>8</v>
      </c>
      <c r="F48" s="115" t="s">
        <v>19</v>
      </c>
      <c r="G48" s="116" t="n">
        <v>4</v>
      </c>
      <c r="H48" s="132"/>
      <c r="I48" s="133" t="n">
        <v>0</v>
      </c>
      <c r="L48" s="119" t="n">
        <v>0</v>
      </c>
      <c r="M48" s="112"/>
      <c r="O48" s="52"/>
    </row>
    <row r="49" customFormat="false" ht="12.75" hidden="false" customHeight="false" outlineLevel="0" collapsed="false">
      <c r="G49" s="77" t="s">
        <v>75</v>
      </c>
      <c r="H49" s="80"/>
      <c r="I49" s="79" t="n">
        <f aca="false">SUM(I22:I24,I26:I31,I36,I46)</f>
        <v>19256.267</v>
      </c>
      <c r="L49" s="134" t="n">
        <f aca="false">SUM(L22:L24,L26:L31,L36,L46)</f>
        <v>14972</v>
      </c>
      <c r="N49" s="82" t="n">
        <f aca="false">L49/I68</f>
        <v>0.777513107810564</v>
      </c>
      <c r="O49" s="66"/>
    </row>
    <row r="51" customFormat="false" ht="12.75" hidden="false" customHeight="false" outlineLevel="0" collapsed="false">
      <c r="R51" s="30" t="s">
        <v>14</v>
      </c>
      <c r="T51" s="89"/>
    </row>
    <row r="52" customFormat="false" ht="12.75" hidden="false" customHeight="false" outlineLevel="0" collapsed="false">
      <c r="B52" s="138" t="n">
        <f aca="false">1</f>
        <v>1</v>
      </c>
      <c r="C52" s="19" t="s">
        <v>76</v>
      </c>
      <c r="D52" s="11" t="n">
        <v>22316</v>
      </c>
      <c r="E52" s="21" t="n">
        <v>6461.232</v>
      </c>
      <c r="F52" s="22" t="s">
        <v>19</v>
      </c>
      <c r="G52" s="23" t="n">
        <v>3</v>
      </c>
      <c r="J52" s="24" t="n">
        <f aca="false">IF(G52=3,E52,0)</f>
        <v>6461.232</v>
      </c>
      <c r="K52" s="151"/>
      <c r="L52" s="26" t="n">
        <v>5559.1</v>
      </c>
      <c r="M52" s="19"/>
      <c r="N52" s="90" t="n">
        <f aca="false">L52/J52</f>
        <v>0.860377711247638</v>
      </c>
      <c r="O52" s="66"/>
      <c r="P52" s="56" t="s">
        <v>22</v>
      </c>
      <c r="Q52" s="97" t="s">
        <v>50</v>
      </c>
      <c r="T52" s="46"/>
    </row>
    <row r="53" customFormat="false" ht="12.75" hidden="false" customHeight="false" outlineLevel="0" collapsed="false">
      <c r="B53" s="140" t="n">
        <f aca="false">B52+1</f>
        <v>2</v>
      </c>
      <c r="C53" s="19" t="s">
        <v>77</v>
      </c>
      <c r="D53" s="11" t="n">
        <v>22335</v>
      </c>
      <c r="E53" s="21" t="n">
        <v>864.828</v>
      </c>
      <c r="F53" s="22" t="s">
        <v>19</v>
      </c>
      <c r="G53" s="23" t="n">
        <v>3</v>
      </c>
      <c r="J53" s="24" t="n">
        <f aca="false">IF(G53=3,E53,0)</f>
        <v>864.828</v>
      </c>
      <c r="K53" s="151"/>
      <c r="L53" s="26" t="n">
        <v>598.6</v>
      </c>
      <c r="M53" s="93"/>
      <c r="N53" s="139" t="n">
        <f aca="false">L53/J53</f>
        <v>0.692160753352112</v>
      </c>
      <c r="O53" s="66"/>
      <c r="P53" s="56" t="s">
        <v>26</v>
      </c>
      <c r="Q53" s="97" t="s">
        <v>50</v>
      </c>
      <c r="T53" s="38"/>
    </row>
    <row r="54" customFormat="false" ht="12.75" hidden="false" customHeight="false" outlineLevel="0" collapsed="false">
      <c r="B54" s="245" t="n">
        <f aca="false">B53+1</f>
        <v>3</v>
      </c>
      <c r="C54" s="294" t="s">
        <v>107</v>
      </c>
      <c r="D54" s="247" t="n">
        <v>22306</v>
      </c>
      <c r="E54" s="248" t="n">
        <v>0</v>
      </c>
      <c r="F54" s="249" t="s">
        <v>19</v>
      </c>
      <c r="G54" s="250" t="n">
        <v>3</v>
      </c>
      <c r="J54" s="295" t="n">
        <f aca="false">IF(G54=3,E54,0)</f>
        <v>0</v>
      </c>
      <c r="K54" s="19"/>
      <c r="L54" s="288" t="n">
        <v>0</v>
      </c>
      <c r="M54" s="19"/>
      <c r="O54" s="66"/>
      <c r="P54" s="56" t="s">
        <v>31</v>
      </c>
      <c r="Q54" s="97" t="s">
        <v>53</v>
      </c>
      <c r="T54" s="38"/>
    </row>
    <row r="55" customFormat="false" ht="12.75" hidden="false" customHeight="false" outlineLevel="0" collapsed="false">
      <c r="B55" s="138" t="n">
        <f aca="false">B53+1</f>
        <v>3</v>
      </c>
      <c r="C55" s="19" t="s">
        <v>78</v>
      </c>
      <c r="D55" s="11" t="n">
        <v>22342</v>
      </c>
      <c r="E55" s="87" t="n">
        <v>500</v>
      </c>
      <c r="F55" s="22" t="s">
        <v>19</v>
      </c>
      <c r="G55" s="23" t="n">
        <v>3</v>
      </c>
      <c r="J55" s="142" t="n">
        <f aca="false">IF(G55=3,E55,0)</f>
        <v>500</v>
      </c>
      <c r="K55" s="151"/>
      <c r="L55" s="26" t="n">
        <v>337.5</v>
      </c>
      <c r="M55" s="19"/>
      <c r="N55" s="284" t="n">
        <v>0.675</v>
      </c>
      <c r="O55" s="66"/>
      <c r="P55" s="56" t="s">
        <v>33</v>
      </c>
      <c r="Q55" s="57" t="s">
        <v>57</v>
      </c>
      <c r="T55" s="38"/>
    </row>
    <row r="56" customFormat="false" ht="12.75" hidden="false" customHeight="false" outlineLevel="0" collapsed="false">
      <c r="B56" s="138" t="n">
        <f aca="false">B55+1</f>
        <v>4</v>
      </c>
      <c r="C56" s="19" t="s">
        <v>79</v>
      </c>
      <c r="D56" s="11" t="n">
        <v>22321</v>
      </c>
      <c r="E56" s="21" t="n">
        <v>400</v>
      </c>
      <c r="F56" s="22" t="s">
        <v>21</v>
      </c>
      <c r="G56" s="23" t="n">
        <v>3</v>
      </c>
      <c r="J56" s="24" t="n">
        <f aca="false">IF(G56=3,E56,0)</f>
        <v>400</v>
      </c>
      <c r="K56" s="151"/>
      <c r="L56" s="26" t="n">
        <v>372.2</v>
      </c>
      <c r="M56" s="19"/>
      <c r="N56" s="281" t="n">
        <v>0.9305</v>
      </c>
      <c r="O56" s="66"/>
      <c r="P56" s="56" t="s">
        <v>36</v>
      </c>
      <c r="Q56" s="57" t="s">
        <v>37</v>
      </c>
      <c r="T56" s="39"/>
    </row>
    <row r="57" customFormat="false" ht="12.75" hidden="false" customHeight="false" outlineLevel="0" collapsed="false">
      <c r="B57" s="245" t="n">
        <f aca="false">B56+1</f>
        <v>5</v>
      </c>
      <c r="C57" s="299" t="s">
        <v>132</v>
      </c>
      <c r="D57" s="247" t="n">
        <v>102821</v>
      </c>
      <c r="E57" s="300" t="n">
        <v>0</v>
      </c>
      <c r="F57" s="249" t="s">
        <v>21</v>
      </c>
      <c r="G57" s="301" t="n">
        <v>3</v>
      </c>
      <c r="J57" s="295" t="n">
        <f aca="false">IF(G57=3,E57,0)</f>
        <v>0</v>
      </c>
      <c r="K57" s="19"/>
      <c r="L57" s="288" t="n">
        <v>0</v>
      </c>
      <c r="M57" s="19"/>
      <c r="O57" s="66"/>
      <c r="P57" s="56" t="s">
        <v>38</v>
      </c>
      <c r="Q57" s="57" t="s">
        <v>39</v>
      </c>
      <c r="T57" s="39"/>
    </row>
    <row r="58" customFormat="false" ht="12.75" hidden="false" customHeight="false" outlineLevel="0" collapsed="false">
      <c r="B58" s="138" t="n">
        <f aca="false">B56+1</f>
        <v>5</v>
      </c>
      <c r="C58" s="40" t="s">
        <v>133</v>
      </c>
      <c r="D58" s="11" t="n">
        <v>102950</v>
      </c>
      <c r="E58" s="98" t="n">
        <v>300</v>
      </c>
      <c r="F58" s="22" t="s">
        <v>21</v>
      </c>
      <c r="G58" s="23" t="n">
        <v>3</v>
      </c>
      <c r="J58" s="24" t="n">
        <f aca="false">IF(G58=3,E58,0)</f>
        <v>300</v>
      </c>
      <c r="K58" s="151"/>
      <c r="L58" s="26" t="n">
        <v>264.5</v>
      </c>
      <c r="M58" s="19"/>
      <c r="N58" s="28" t="n">
        <v>0.881666666666667</v>
      </c>
    </row>
    <row r="59" customFormat="false" ht="12.75" hidden="false" customHeight="false" outlineLevel="0" collapsed="false">
      <c r="B59" s="138" t="n">
        <f aca="false">B57+1</f>
        <v>6</v>
      </c>
      <c r="C59" s="19" t="s">
        <v>79</v>
      </c>
      <c r="D59" s="11" t="n">
        <v>102949</v>
      </c>
      <c r="E59" s="21" t="n">
        <v>200</v>
      </c>
      <c r="F59" s="22" t="s">
        <v>21</v>
      </c>
      <c r="G59" s="23" t="n">
        <v>3</v>
      </c>
      <c r="J59" s="24" t="n">
        <f aca="false">IF(G59=3,E59,0)</f>
        <v>200</v>
      </c>
      <c r="K59" s="151"/>
      <c r="L59" s="26" t="n">
        <v>183</v>
      </c>
      <c r="M59" s="19"/>
      <c r="N59" s="302" t="n">
        <v>0.915</v>
      </c>
    </row>
    <row r="60" customFormat="false" ht="20.25" hidden="false" customHeight="false" outlineLevel="0" collapsed="false">
      <c r="B60" s="138" t="n">
        <f aca="false">B59+1</f>
        <v>7</v>
      </c>
      <c r="C60" s="19" t="s">
        <v>80</v>
      </c>
      <c r="D60" s="11" t="n">
        <v>22326</v>
      </c>
      <c r="E60" s="21" t="n">
        <v>29</v>
      </c>
      <c r="F60" s="22" t="s">
        <v>42</v>
      </c>
      <c r="G60" s="23" t="n">
        <v>3</v>
      </c>
      <c r="J60" s="24" t="n">
        <f aca="false">IF(G60=3,E60,0)</f>
        <v>29</v>
      </c>
      <c r="K60" s="151"/>
      <c r="L60" s="26" t="n">
        <v>25.9</v>
      </c>
      <c r="M60" s="19"/>
      <c r="N60" s="28" t="n">
        <v>0.893103448275862</v>
      </c>
      <c r="O60" s="52"/>
    </row>
    <row r="61" customFormat="false" ht="12.75" hidden="false" customHeight="false" outlineLevel="0" collapsed="false">
      <c r="B61" s="138" t="n">
        <f aca="false">B60+1</f>
        <v>8</v>
      </c>
      <c r="C61" s="19" t="s">
        <v>81</v>
      </c>
      <c r="D61" s="11" t="n">
        <v>22339</v>
      </c>
      <c r="E61" s="21" t="n">
        <v>18.125</v>
      </c>
      <c r="F61" s="22" t="s">
        <v>21</v>
      </c>
      <c r="G61" s="23" t="n">
        <v>3</v>
      </c>
      <c r="J61" s="24" t="n">
        <f aca="false">IF(G61=3,E61,0)</f>
        <v>18.125</v>
      </c>
      <c r="K61" s="151"/>
      <c r="L61" s="26" t="n">
        <v>16.4</v>
      </c>
      <c r="M61" s="19"/>
      <c r="N61" s="302" t="n">
        <v>0.904827586206897</v>
      </c>
      <c r="O61" s="66"/>
    </row>
    <row r="62" customFormat="false" ht="12.75" hidden="false" customHeight="false" outlineLevel="0" collapsed="false">
      <c r="B62" s="138" t="n">
        <f aca="false">B61+1</f>
        <v>9</v>
      </c>
      <c r="C62" s="19" t="s">
        <v>82</v>
      </c>
      <c r="D62" s="11" t="n">
        <v>22308</v>
      </c>
      <c r="E62" s="21" t="n">
        <v>17.145</v>
      </c>
      <c r="F62" s="22" t="s">
        <v>42</v>
      </c>
      <c r="G62" s="23" t="n">
        <v>3</v>
      </c>
      <c r="J62" s="24" t="n">
        <f aca="false">IF(G62=3,E62,0)</f>
        <v>17.145</v>
      </c>
      <c r="K62" s="151"/>
      <c r="L62" s="26" t="n">
        <v>15.3</v>
      </c>
      <c r="M62" s="19"/>
      <c r="N62" s="70" t="n">
        <v>0.89238845144357</v>
      </c>
      <c r="O62" s="66"/>
    </row>
    <row r="63" customFormat="false" ht="20.25" hidden="false" customHeight="false" outlineLevel="0" collapsed="false">
      <c r="B63" s="138" t="n">
        <f aca="false">B62+1</f>
        <v>10</v>
      </c>
      <c r="C63" s="19" t="s">
        <v>83</v>
      </c>
      <c r="D63" s="11" t="n">
        <v>22300</v>
      </c>
      <c r="E63" s="21" t="n">
        <v>16.655</v>
      </c>
      <c r="F63" s="22" t="s">
        <v>19</v>
      </c>
      <c r="G63" s="23" t="n">
        <v>3</v>
      </c>
      <c r="J63" s="24" t="n">
        <f aca="false">IF(G63=3,E63,0)</f>
        <v>16.655</v>
      </c>
      <c r="K63" s="151"/>
      <c r="L63" s="59" t="n">
        <v>15.1</v>
      </c>
      <c r="M63" s="19"/>
      <c r="N63" s="281" t="n">
        <v>0.906634644250976</v>
      </c>
      <c r="O63" s="52"/>
    </row>
    <row r="64" customFormat="false" ht="12.75" hidden="false" customHeight="false" outlineLevel="0" collapsed="false">
      <c r="B64" s="138" t="n">
        <f aca="false">B63+1</f>
        <v>11</v>
      </c>
      <c r="C64" s="19" t="s">
        <v>85</v>
      </c>
      <c r="D64" s="11" t="n">
        <v>22336</v>
      </c>
      <c r="E64" s="21" t="n">
        <v>14.634</v>
      </c>
      <c r="F64" s="22" t="s">
        <v>21</v>
      </c>
      <c r="G64" s="23" t="n">
        <v>3</v>
      </c>
      <c r="J64" s="24" t="n">
        <f aca="false">IF(G64=3,E64,0)</f>
        <v>14.634</v>
      </c>
      <c r="K64" s="151"/>
      <c r="L64" s="26" t="n">
        <v>13.2</v>
      </c>
      <c r="M64" s="19"/>
      <c r="N64" s="302" t="n">
        <v>0.902009020090201</v>
      </c>
      <c r="O64" s="66"/>
    </row>
    <row r="65" customFormat="false" ht="20.25" hidden="false" customHeight="false" outlineLevel="0" collapsed="false">
      <c r="B65" s="138" t="n">
        <f aca="false">B64+1</f>
        <v>12</v>
      </c>
      <c r="C65" s="40" t="s">
        <v>134</v>
      </c>
      <c r="D65" s="11" t="n">
        <v>103962</v>
      </c>
      <c r="E65" s="98" t="n">
        <v>10</v>
      </c>
      <c r="F65" s="22" t="s">
        <v>21</v>
      </c>
      <c r="G65" s="23" t="n">
        <v>3</v>
      </c>
      <c r="J65" s="24" t="n">
        <f aca="false">IF(G65=3,E65,0)</f>
        <v>10</v>
      </c>
      <c r="K65" s="151"/>
      <c r="L65" s="26" t="n">
        <v>9</v>
      </c>
      <c r="M65" s="19"/>
      <c r="N65" s="281" t="n">
        <v>0.9</v>
      </c>
      <c r="O65" s="52"/>
    </row>
    <row r="66" customFormat="false" ht="12.75" hidden="false" customHeight="false" outlineLevel="0" collapsed="false">
      <c r="B66" s="138" t="n">
        <f aca="false">B65+1</f>
        <v>13</v>
      </c>
      <c r="C66" s="19" t="s">
        <v>87</v>
      </c>
      <c r="D66" s="11" t="n">
        <v>22341</v>
      </c>
      <c r="E66" s="153" t="n">
        <v>8.419</v>
      </c>
      <c r="F66" s="22" t="s">
        <v>21</v>
      </c>
      <c r="G66" s="23" t="n">
        <v>3</v>
      </c>
      <c r="J66" s="24" t="n">
        <f aca="false">IF(G66=3,E66,0)</f>
        <v>8.419</v>
      </c>
      <c r="K66" s="151"/>
      <c r="L66" s="26" t="n">
        <v>7.6</v>
      </c>
      <c r="M66" s="19"/>
      <c r="N66" s="303" t="n">
        <v>0.902720038009265</v>
      </c>
      <c r="O66" s="66"/>
    </row>
    <row r="67" customFormat="false" ht="12.75" hidden="false" customHeight="false" outlineLevel="0" collapsed="false">
      <c r="B67" s="138" t="n">
        <f aca="false">B66+1</f>
        <v>14</v>
      </c>
      <c r="C67" s="19" t="s">
        <v>88</v>
      </c>
      <c r="D67" s="156" t="n">
        <v>22340</v>
      </c>
      <c r="E67" s="157" t="n">
        <v>4.975</v>
      </c>
      <c r="F67" s="22" t="s">
        <v>19</v>
      </c>
      <c r="G67" s="23" t="n">
        <v>3</v>
      </c>
      <c r="J67" s="159" t="n">
        <f aca="false">IF(G67=3,E67,0)</f>
        <v>4.975</v>
      </c>
      <c r="K67" s="151"/>
      <c r="L67" s="59" t="n">
        <v>4.5</v>
      </c>
      <c r="M67" s="19"/>
      <c r="N67" s="281" t="n">
        <v>0.904522613065327</v>
      </c>
      <c r="O67" s="66"/>
    </row>
    <row r="68" customFormat="false" ht="12.75" hidden="false" customHeight="false" outlineLevel="0" collapsed="false">
      <c r="E68" s="160" t="n">
        <f aca="false">SUM(E10:E15,E22:E31,E36,E46,E52:E53,E55:E56,E58:E67,)</f>
        <v>40554.792</v>
      </c>
      <c r="F68" s="22"/>
      <c r="G68" s="163" t="s">
        <v>89</v>
      </c>
      <c r="H68" s="161" t="n">
        <f aca="false">SUM(H9:H18)</f>
        <v>17228.334</v>
      </c>
      <c r="I68" s="304" t="n">
        <f aca="false">I49</f>
        <v>19256.267</v>
      </c>
      <c r="J68" s="161" t="n">
        <f aca="false">SUM(J52:J53,J55:J56,J58:J67,)</f>
        <v>8845.013</v>
      </c>
      <c r="K68" s="262"/>
      <c r="L68" s="81" t="n">
        <f aca="false">SUM(L52:L67)</f>
        <v>7421.9</v>
      </c>
      <c r="N68" s="82" t="n">
        <v>0.839105606741336</v>
      </c>
      <c r="O68" s="66"/>
    </row>
    <row r="69" customFormat="false" ht="12.75" hidden="false" customHeight="false" outlineLevel="0" collapsed="false">
      <c r="F69" s="22"/>
      <c r="H69" s="164" t="n">
        <f aca="false">H68/I70</f>
        <v>0.380067961752333</v>
      </c>
      <c r="I69" s="164" t="n">
        <f aca="false">I68/I70</f>
        <v>0.424805448376419</v>
      </c>
      <c r="J69" s="164" t="n">
        <f aca="false">J68/I70</f>
        <v>0.195126589871248</v>
      </c>
      <c r="L69" s="165"/>
    </row>
    <row r="70" customFormat="false" ht="12.75" hidden="false" customHeight="false" outlineLevel="0" collapsed="false">
      <c r="B70" s="23" t="n">
        <f aca="false">B18+B46+B67</f>
        <v>35</v>
      </c>
      <c r="C70" s="138" t="s">
        <v>135</v>
      </c>
      <c r="I70" s="168" t="n">
        <f aca="false">H68+I68+J68</f>
        <v>45329.614</v>
      </c>
      <c r="L70" s="81" t="n">
        <f aca="false">L19+L49+L68</f>
        <v>35991</v>
      </c>
      <c r="N70" s="82" t="n">
        <f aca="false">L70/I70</f>
        <v>0.793984259385046</v>
      </c>
    </row>
    <row r="71" customFormat="false" ht="12.75" hidden="false" customHeight="false" outlineLevel="0" collapsed="false">
      <c r="H71" s="140" t="s">
        <v>110</v>
      </c>
      <c r="I71" s="266" t="n">
        <v>-718</v>
      </c>
    </row>
    <row r="72" customFormat="false" ht="12.75" hidden="false" customHeight="false" outlineLevel="0" collapsed="false">
      <c r="I72" s="23" t="s">
        <v>136</v>
      </c>
      <c r="K72" s="305" t="s">
        <v>112</v>
      </c>
      <c r="P72" s="6"/>
      <c r="Q72" s="269" t="s">
        <v>137</v>
      </c>
      <c r="R72" s="6"/>
    </row>
    <row r="73" customFormat="false" ht="12.75" hidden="false" customHeight="false" outlineLevel="0" collapsed="false">
      <c r="I73" s="270" t="n">
        <f aca="false">I70+I71</f>
        <v>44611.614</v>
      </c>
      <c r="K73" s="272" t="s">
        <v>138</v>
      </c>
      <c r="L73" s="179" t="n">
        <f aca="false">I73-L70-629</f>
        <v>7991.614</v>
      </c>
      <c r="M73" s="180" t="s">
        <v>115</v>
      </c>
      <c r="N73" s="181"/>
      <c r="P73" s="272" t="s">
        <v>139</v>
      </c>
      <c r="Q73" s="179" t="n">
        <v>7117</v>
      </c>
    </row>
    <row r="74" customFormat="false" ht="12.75" hidden="false" customHeight="false" outlineLevel="0" collapsed="false">
      <c r="I74" s="169"/>
      <c r="K74" s="306"/>
      <c r="L74" s="179" t="n">
        <f aca="false">I73-L70</f>
        <v>8620.614</v>
      </c>
      <c r="M74" s="180" t="s">
        <v>117</v>
      </c>
      <c r="N74" s="181"/>
      <c r="Q74" s="179" t="n">
        <v>8712</v>
      </c>
    </row>
    <row r="75" customFormat="false" ht="12.75" hidden="false" customHeight="false" outlineLevel="0" collapsed="false">
      <c r="D75" s="275" t="s">
        <v>118</v>
      </c>
      <c r="E75" s="276" t="s">
        <v>140</v>
      </c>
      <c r="L75" s="179" t="n">
        <f aca="false">L70</f>
        <v>35991</v>
      </c>
      <c r="M75" s="180" t="s">
        <v>92</v>
      </c>
      <c r="N75" s="181"/>
      <c r="Q75" s="179" t="n">
        <v>36396</v>
      </c>
      <c r="R75" s="278" t="s">
        <v>141</v>
      </c>
    </row>
    <row r="76" customFormat="false" ht="12.75" hidden="false" customHeight="false" outlineLevel="0" collapsed="false">
      <c r="D76" s="277"/>
      <c r="E76" s="276" t="s">
        <v>121</v>
      </c>
      <c r="L76" s="183" t="n">
        <f aca="false">L75/SUM(L75+L74+718)</f>
        <v>0.793984259385046</v>
      </c>
      <c r="M76" s="180" t="s">
        <v>92</v>
      </c>
      <c r="N76" s="181"/>
      <c r="Q76" s="279" t="n">
        <f aca="false">Q75/SUM(Q75+Q74+222)</f>
        <v>0.802911978821972</v>
      </c>
      <c r="R76" s="278" t="s">
        <v>141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3:U89"/>
  <sheetViews>
    <sheetView showFormulas="false" showGridLines="true" showRowColHeaders="true" showZeros="true" rightToLeft="false" tabSelected="false" showOutlineSymbols="true" defaultGridColor="true" view="normal" topLeftCell="D53" colorId="64" zoomScale="75" zoomScaleNormal="75" zoomScalePageLayoutView="63" workbookViewId="0">
      <selection pane="topLeft" activeCell="N83" activeCellId="0" sqref="N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0.7"/>
    <col collapsed="false" customWidth="true" hidden="false" outlineLevel="0" max="5" min="5" style="0" width="12.85"/>
    <col collapsed="false" customWidth="true" hidden="false" outlineLevel="0" max="8" min="8" style="0" width="12.56"/>
    <col collapsed="false" customWidth="true" hidden="false" outlineLevel="0" max="9" min="9" style="0" width="12.7"/>
    <col collapsed="false" customWidth="true" hidden="false" outlineLevel="0" max="10" min="10" style="0" width="12.28"/>
  </cols>
  <sheetData>
    <row r="3" customFormat="false" ht="18" hidden="false" customHeight="false" outlineLevel="0" collapsed="false">
      <c r="K3" s="3"/>
      <c r="L3" s="4" t="s">
        <v>1</v>
      </c>
      <c r="M3" s="5"/>
      <c r="N3" s="4" t="s">
        <v>142</v>
      </c>
      <c r="O3" s="3"/>
    </row>
    <row r="6" customFormat="false" ht="12.75" hidden="false" customHeight="false" outlineLevel="0" collapsed="false">
      <c r="N6" s="8" t="s">
        <v>3</v>
      </c>
      <c r="Q6" s="13" t="s">
        <v>6</v>
      </c>
    </row>
    <row r="7" customFormat="false" ht="12.75" hidden="false" customHeight="false" outlineLevel="0" collapsed="false">
      <c r="L7" s="8" t="s">
        <v>4</v>
      </c>
      <c r="M7" s="10"/>
      <c r="N7" s="8" t="s">
        <v>5</v>
      </c>
      <c r="O7" s="11"/>
      <c r="P7" s="17" t="s">
        <v>124</v>
      </c>
    </row>
    <row r="8" customFormat="false" ht="12.75" hidden="false" customHeight="false" outlineLevel="0" collapsed="false">
      <c r="C8" s="14" t="s">
        <v>7</v>
      </c>
      <c r="D8" s="15" t="s">
        <v>8</v>
      </c>
      <c r="E8" s="14" t="s">
        <v>9</v>
      </c>
      <c r="F8" s="14" t="s">
        <v>10</v>
      </c>
      <c r="G8" s="14" t="s">
        <v>11</v>
      </c>
      <c r="H8" s="14" t="s">
        <v>12</v>
      </c>
      <c r="I8" s="14" t="s">
        <v>13</v>
      </c>
      <c r="J8" s="14" t="s">
        <v>14</v>
      </c>
      <c r="L8" s="16" t="s">
        <v>15</v>
      </c>
      <c r="M8" s="16"/>
      <c r="N8" s="16" t="s">
        <v>16</v>
      </c>
      <c r="O8" s="29"/>
      <c r="R8" s="30" t="s">
        <v>12</v>
      </c>
      <c r="S8" s="39"/>
    </row>
    <row r="9" customFormat="false" ht="15.75" hidden="false" customHeight="false" outlineLevel="0" collapsed="false">
      <c r="B9" s="18" t="n">
        <f aca="false">1</f>
        <v>1</v>
      </c>
      <c r="C9" s="19" t="s">
        <v>18</v>
      </c>
      <c r="D9" s="20" t="n">
        <v>22319</v>
      </c>
      <c r="E9" s="21" t="n">
        <v>3500</v>
      </c>
      <c r="F9" s="22" t="s">
        <v>19</v>
      </c>
      <c r="G9" s="23" t="n">
        <v>1</v>
      </c>
      <c r="H9" s="24" t="n">
        <f aca="false">IF(G9=1,E9,0)</f>
        <v>3500</v>
      </c>
      <c r="L9" s="26" t="n">
        <v>2589.5</v>
      </c>
      <c r="M9" s="307"/>
      <c r="N9" s="28" t="n">
        <f aca="false">L9/H9</f>
        <v>0.739857142857143</v>
      </c>
      <c r="O9" s="33"/>
      <c r="P9" s="56" t="s">
        <v>22</v>
      </c>
      <c r="Q9" s="57" t="s">
        <v>95</v>
      </c>
    </row>
    <row r="10" customFormat="false" ht="20.25" hidden="false" customHeight="false" outlineLevel="0" collapsed="false">
      <c r="B10" s="18" t="n">
        <f aca="false">B9+1</f>
        <v>2</v>
      </c>
      <c r="C10" s="19" t="s">
        <v>20</v>
      </c>
      <c r="D10" s="11" t="n">
        <v>22298</v>
      </c>
      <c r="E10" s="21" t="n">
        <v>2747.533</v>
      </c>
      <c r="F10" s="22" t="s">
        <v>21</v>
      </c>
      <c r="G10" s="23" t="n">
        <v>1</v>
      </c>
      <c r="H10" s="24" t="n">
        <f aca="false">IF(G10=1,E10,0)</f>
        <v>2747.533</v>
      </c>
      <c r="L10" s="26" t="n">
        <v>2227.5</v>
      </c>
      <c r="M10" s="32"/>
      <c r="N10" s="28" t="n">
        <f aca="false">L10/H10</f>
        <v>0.810727296087072</v>
      </c>
      <c r="O10" s="52"/>
      <c r="P10" s="56" t="s">
        <v>26</v>
      </c>
      <c r="Q10" s="57" t="s">
        <v>27</v>
      </c>
    </row>
    <row r="11" customFormat="false" ht="12.75" hidden="false" customHeight="false" outlineLevel="0" collapsed="false">
      <c r="B11" s="18" t="n">
        <f aca="false">B10+1</f>
        <v>3</v>
      </c>
      <c r="C11" s="19" t="s">
        <v>98</v>
      </c>
      <c r="D11" s="11" t="n">
        <v>102817</v>
      </c>
      <c r="E11" s="98" t="n">
        <v>2000</v>
      </c>
      <c r="F11" s="22" t="s">
        <v>21</v>
      </c>
      <c r="G11" s="23" t="n">
        <v>1</v>
      </c>
      <c r="H11" s="24" t="n">
        <f aca="false">IF(G11=1,E11,0)</f>
        <v>2000</v>
      </c>
      <c r="L11" s="26" t="n">
        <f aca="false">1025+543.5</f>
        <v>1568.5</v>
      </c>
      <c r="M11" s="19"/>
      <c r="N11" s="28" t="n">
        <f aca="false">L11/H11</f>
        <v>0.78425</v>
      </c>
      <c r="O11" s="42"/>
      <c r="P11" s="23" t="s">
        <v>31</v>
      </c>
      <c r="Q11" s="53" t="s">
        <v>32</v>
      </c>
    </row>
    <row r="12" customFormat="false" ht="18" hidden="false" customHeight="false" outlineLevel="0" collapsed="false">
      <c r="B12" s="18" t="n">
        <f aca="false">B11+1</f>
        <v>4</v>
      </c>
      <c r="C12" s="40" t="s">
        <v>127</v>
      </c>
      <c r="D12" s="11" t="n">
        <v>102831</v>
      </c>
      <c r="E12" s="98" t="n">
        <v>1750</v>
      </c>
      <c r="F12" s="22" t="s">
        <v>21</v>
      </c>
      <c r="G12" s="23" t="n">
        <v>1</v>
      </c>
      <c r="H12" s="24" t="n">
        <f aca="false">IF(G12=1,E12,0)</f>
        <v>1750</v>
      </c>
      <c r="L12" s="26" t="n">
        <v>1547.9</v>
      </c>
      <c r="M12" s="308" t="s">
        <v>143</v>
      </c>
      <c r="N12" s="28" t="n">
        <f aca="false">L12/H12</f>
        <v>0.884514285714286</v>
      </c>
      <c r="O12" s="42"/>
      <c r="P12" s="56" t="s">
        <v>33</v>
      </c>
      <c r="Q12" s="57" t="s">
        <v>34</v>
      </c>
    </row>
    <row r="13" customFormat="false" ht="12.75" hidden="false" customHeight="false" outlineLevel="0" collapsed="false">
      <c r="B13" s="18" t="n">
        <f aca="false">B12+1</f>
        <v>5</v>
      </c>
      <c r="C13" s="309" t="s">
        <v>125</v>
      </c>
      <c r="D13" s="11" t="n">
        <v>22305</v>
      </c>
      <c r="E13" s="21" t="n">
        <v>1000</v>
      </c>
      <c r="F13" s="22" t="s">
        <v>19</v>
      </c>
      <c r="G13" s="23" t="n">
        <v>1</v>
      </c>
      <c r="H13" s="24" t="n">
        <f aca="false">IF(G13=1,E13,0)</f>
        <v>1000</v>
      </c>
      <c r="L13" s="26" t="n">
        <v>808.6</v>
      </c>
      <c r="M13" s="32"/>
      <c r="N13" s="28" t="n">
        <f aca="false">L13/H13</f>
        <v>0.8086</v>
      </c>
      <c r="O13" s="42"/>
      <c r="P13" s="56" t="s">
        <v>36</v>
      </c>
      <c r="Q13" s="57" t="s">
        <v>37</v>
      </c>
    </row>
    <row r="14" customFormat="false" ht="12.75" hidden="false" customHeight="false" outlineLevel="0" collapsed="false">
      <c r="B14" s="18" t="n">
        <f aca="false">B13+1</f>
        <v>6</v>
      </c>
      <c r="C14" s="40" t="s">
        <v>99</v>
      </c>
      <c r="D14" s="11" t="n">
        <v>23281</v>
      </c>
      <c r="E14" s="98" t="n">
        <v>1000</v>
      </c>
      <c r="F14" s="22" t="s">
        <v>25</v>
      </c>
      <c r="G14" s="23" t="n">
        <v>1</v>
      </c>
      <c r="H14" s="24" t="n">
        <f aca="false">IF(G14=1,E14,0)</f>
        <v>1000</v>
      </c>
      <c r="L14" s="26" t="n">
        <v>698.9</v>
      </c>
      <c r="M14" s="32"/>
      <c r="N14" s="28" t="n">
        <f aca="false">L14/H14</f>
        <v>0.6989</v>
      </c>
      <c r="O14" s="42"/>
      <c r="P14" s="56" t="s">
        <v>38</v>
      </c>
      <c r="Q14" s="57" t="s">
        <v>39</v>
      </c>
      <c r="T14" s="38"/>
    </row>
    <row r="15" customFormat="false" ht="18" hidden="false" customHeight="false" outlineLevel="0" collapsed="false">
      <c r="B15" s="18" t="n">
        <f aca="false">B14+1</f>
        <v>7</v>
      </c>
      <c r="C15" s="40" t="s">
        <v>99</v>
      </c>
      <c r="D15" s="11" t="n">
        <v>23282</v>
      </c>
      <c r="E15" s="98" t="n">
        <v>500</v>
      </c>
      <c r="F15" s="22" t="s">
        <v>25</v>
      </c>
      <c r="G15" s="23" t="n">
        <v>1</v>
      </c>
      <c r="H15" s="24" t="n">
        <f aca="false">IF(G15=1,E15,0)</f>
        <v>500</v>
      </c>
      <c r="L15" s="59" t="n">
        <v>225.1</v>
      </c>
      <c r="M15" s="310"/>
      <c r="N15" s="28" t="n">
        <f aca="false">L15/H15</f>
        <v>0.4502</v>
      </c>
      <c r="T15" s="38"/>
      <c r="U15" s="311" t="s">
        <v>144</v>
      </c>
    </row>
    <row r="16" customFormat="false" ht="18" hidden="false" customHeight="false" outlineLevel="0" collapsed="false">
      <c r="B16" s="18" t="n">
        <f aca="false">B15+1</f>
        <v>8</v>
      </c>
      <c r="C16" s="19" t="s">
        <v>128</v>
      </c>
      <c r="D16" s="11" t="n">
        <v>22296</v>
      </c>
      <c r="E16" s="21" t="n">
        <v>300</v>
      </c>
      <c r="F16" s="22" t="s">
        <v>42</v>
      </c>
      <c r="G16" s="23" t="n">
        <v>1</v>
      </c>
      <c r="H16" s="24" t="n">
        <f aca="false">IF(G16=1,E16,0)</f>
        <v>300</v>
      </c>
      <c r="L16" s="26" t="n">
        <v>285.1</v>
      </c>
      <c r="M16" s="308" t="s">
        <v>143</v>
      </c>
      <c r="N16" s="28" t="n">
        <f aca="false">L16/H16</f>
        <v>0.950333333333333</v>
      </c>
      <c r="O16" s="66"/>
      <c r="U16" s="57" t="n">
        <f aca="false">74-(74-33.5)*(8/31)</f>
        <v>63.5483870967742</v>
      </c>
    </row>
    <row r="17" customFormat="false" ht="12.75" hidden="false" customHeight="false" outlineLevel="0" collapsed="false">
      <c r="B17" s="18" t="n">
        <f aca="false">B16+1</f>
        <v>9</v>
      </c>
      <c r="C17" s="19" t="s">
        <v>41</v>
      </c>
      <c r="D17" s="11" t="n">
        <v>22307</v>
      </c>
      <c r="E17" s="21" t="n">
        <v>267.547</v>
      </c>
      <c r="F17" s="22" t="s">
        <v>42</v>
      </c>
      <c r="G17" s="23" t="n">
        <v>1</v>
      </c>
      <c r="H17" s="24" t="n">
        <f aca="false">IF(G17=1,E17,0)</f>
        <v>267.547</v>
      </c>
      <c r="L17" s="59" t="n">
        <v>225.1</v>
      </c>
      <c r="M17" s="60"/>
      <c r="N17" s="28" t="n">
        <f aca="false">L17/H17</f>
        <v>0.841347501560473</v>
      </c>
      <c r="O17" s="66"/>
      <c r="T17" s="39"/>
    </row>
    <row r="18" customFormat="false" ht="12.75" hidden="false" customHeight="false" outlineLevel="0" collapsed="false">
      <c r="B18" s="18" t="n">
        <f aca="false">B17+1</f>
        <v>10</v>
      </c>
      <c r="C18" s="40" t="s">
        <v>145</v>
      </c>
      <c r="D18" s="11" t="n">
        <v>103989</v>
      </c>
      <c r="E18" s="98" t="n">
        <v>250</v>
      </c>
      <c r="F18" s="22" t="s">
        <v>146</v>
      </c>
      <c r="G18" s="23" t="n">
        <v>1</v>
      </c>
      <c r="H18" s="24" t="n">
        <f aca="false">IF(G18=1,E18,0)</f>
        <v>250</v>
      </c>
      <c r="L18" s="26" t="n">
        <v>210.1</v>
      </c>
      <c r="M18" s="19"/>
      <c r="N18" s="28" t="n">
        <f aca="false">L18/H18</f>
        <v>0.8404</v>
      </c>
    </row>
    <row r="19" customFormat="false" ht="18" hidden="false" customHeight="false" outlineLevel="0" collapsed="false">
      <c r="B19" s="18" t="n">
        <f aca="false">B18+1</f>
        <v>11</v>
      </c>
      <c r="C19" s="19" t="s">
        <v>147</v>
      </c>
      <c r="D19" s="11" t="n">
        <v>22333</v>
      </c>
      <c r="E19" s="21" t="n">
        <v>202</v>
      </c>
      <c r="F19" s="22" t="s">
        <v>19</v>
      </c>
      <c r="G19" s="23" t="n">
        <v>1</v>
      </c>
      <c r="H19" s="24" t="n">
        <f aca="false">IF(G19=1,E19,0)</f>
        <v>202</v>
      </c>
      <c r="L19" s="59" t="n">
        <v>191.5</v>
      </c>
      <c r="M19" s="308" t="s">
        <v>143</v>
      </c>
      <c r="N19" s="28" t="n">
        <f aca="false">L19/H19</f>
        <v>0.948019801980198</v>
      </c>
      <c r="R19" s="57"/>
    </row>
    <row r="20" customFormat="false" ht="18" hidden="false" customHeight="false" outlineLevel="0" collapsed="false">
      <c r="B20" s="18" t="n">
        <f aca="false">B19+1</f>
        <v>12</v>
      </c>
      <c r="C20" s="19" t="s">
        <v>148</v>
      </c>
      <c r="D20" s="11" t="n">
        <v>22338</v>
      </c>
      <c r="E20" s="21" t="n">
        <v>155</v>
      </c>
      <c r="F20" s="22" t="s">
        <v>42</v>
      </c>
      <c r="G20" s="23" t="n">
        <v>1</v>
      </c>
      <c r="H20" s="24" t="n">
        <f aca="false">IF(G20=1,E20,0)</f>
        <v>155</v>
      </c>
      <c r="L20" s="26" t="n">
        <v>146.9</v>
      </c>
      <c r="M20" s="308" t="s">
        <v>143</v>
      </c>
      <c r="N20" s="28" t="n">
        <f aca="false">L20/H20</f>
        <v>0.947741935483871</v>
      </c>
      <c r="U20" s="57" t="n">
        <f aca="false">100-(100-83.5)*(8/31)</f>
        <v>95.741935483871</v>
      </c>
    </row>
    <row r="21" customFormat="false" ht="15.75" hidden="false" customHeight="false" outlineLevel="0" collapsed="false">
      <c r="B21" s="18" t="n">
        <f aca="false">B20+1</f>
        <v>13</v>
      </c>
      <c r="C21" s="19" t="s">
        <v>149</v>
      </c>
      <c r="D21" s="11" t="n">
        <v>103969</v>
      </c>
      <c r="E21" s="21" t="n">
        <v>100</v>
      </c>
      <c r="F21" s="22" t="s">
        <v>25</v>
      </c>
      <c r="G21" s="23" t="n">
        <v>1</v>
      </c>
      <c r="H21" s="24" t="n">
        <f aca="false">IF(G21=1,E21,0)</f>
        <v>100</v>
      </c>
      <c r="L21" s="26" t="n">
        <v>81</v>
      </c>
      <c r="M21" s="307"/>
      <c r="N21" s="28" t="n">
        <f aca="false">L21/H21</f>
        <v>0.81</v>
      </c>
      <c r="O21" s="66"/>
    </row>
    <row r="22" customFormat="false" ht="18" hidden="false" customHeight="false" outlineLevel="0" collapsed="false">
      <c r="B22" s="18" t="n">
        <f aca="false">B21+1</f>
        <v>14</v>
      </c>
      <c r="C22" s="19" t="s">
        <v>150</v>
      </c>
      <c r="D22" s="11" t="n">
        <v>22325</v>
      </c>
      <c r="E22" s="21" t="n">
        <v>86.483</v>
      </c>
      <c r="F22" s="22" t="s">
        <v>42</v>
      </c>
      <c r="G22" s="23" t="n">
        <v>1</v>
      </c>
      <c r="H22" s="24" t="n">
        <f aca="false">IF(G22=1,E22,0)</f>
        <v>86.483</v>
      </c>
      <c r="L22" s="59" t="n">
        <v>83.5</v>
      </c>
      <c r="M22" s="308" t="s">
        <v>143</v>
      </c>
      <c r="N22" s="28" t="n">
        <f aca="false">L22/H22</f>
        <v>0.965507672028029</v>
      </c>
      <c r="O22" s="66"/>
      <c r="R22" s="297"/>
    </row>
    <row r="23" customFormat="false" ht="12.75" hidden="false" customHeight="false" outlineLevel="0" collapsed="false">
      <c r="B23" s="201" t="n">
        <f aca="false">B22+1</f>
        <v>15</v>
      </c>
      <c r="C23" s="312" t="s">
        <v>151</v>
      </c>
      <c r="D23" s="257" t="n">
        <v>22297</v>
      </c>
      <c r="E23" s="313" t="n">
        <v>50</v>
      </c>
      <c r="F23" s="259" t="s">
        <v>42</v>
      </c>
      <c r="G23" s="201" t="n">
        <v>1</v>
      </c>
      <c r="H23" s="314" t="n">
        <f aca="false">IF(G23=1,E23,0)</f>
        <v>50</v>
      </c>
      <c r="I23" s="315" t="s">
        <v>152</v>
      </c>
      <c r="L23" s="288" t="n">
        <v>0</v>
      </c>
      <c r="M23" s="316"/>
      <c r="N23" s="260" t="n">
        <f aca="false">L23/H23</f>
        <v>0</v>
      </c>
      <c r="O23" s="317"/>
    </row>
    <row r="24" customFormat="false" ht="12.75" hidden="false" customHeight="false" outlineLevel="0" collapsed="false">
      <c r="G24" s="77" t="s">
        <v>48</v>
      </c>
    </row>
    <row r="25" customFormat="false" ht="12.75" hidden="false" customHeight="false" outlineLevel="0" collapsed="false">
      <c r="H25" s="318" t="n">
        <f aca="false">SUM(H9:H22)</f>
        <v>13858.563</v>
      </c>
      <c r="L25" s="81" t="n">
        <f aca="false">SUM(L9:L23)</f>
        <v>10889.2</v>
      </c>
      <c r="M25" s="243"/>
      <c r="N25" s="82" t="n">
        <f aca="false">L25/H79</f>
        <v>0.785738030703472</v>
      </c>
      <c r="O25" s="66"/>
    </row>
    <row r="27" customFormat="false" ht="12.75" hidden="false" customHeight="false" outlineLevel="0" collapsed="false">
      <c r="R27" s="30" t="s">
        <v>13</v>
      </c>
    </row>
    <row r="28" customFormat="false" ht="20.25" hidden="false" customHeight="false" outlineLevel="0" collapsed="false">
      <c r="B28" s="23" t="n">
        <f aca="false">1</f>
        <v>1</v>
      </c>
      <c r="C28" s="19" t="s">
        <v>102</v>
      </c>
      <c r="D28" s="11" t="n">
        <v>22337</v>
      </c>
      <c r="E28" s="21" t="n">
        <v>6400</v>
      </c>
      <c r="F28" s="22" t="s">
        <v>42</v>
      </c>
      <c r="G28" s="23" t="n">
        <v>4</v>
      </c>
      <c r="H28" s="88"/>
      <c r="I28" s="24" t="n">
        <f aca="false">IF(G28=4,E28,0)</f>
        <v>6400</v>
      </c>
      <c r="L28" s="26" t="n">
        <v>4608.1</v>
      </c>
      <c r="M28" s="60"/>
      <c r="N28" s="90" t="n">
        <f aca="false">L28/I28</f>
        <v>0.720015625</v>
      </c>
      <c r="O28" s="52"/>
      <c r="P28" s="56" t="s">
        <v>22</v>
      </c>
      <c r="Q28" s="97" t="s">
        <v>50</v>
      </c>
    </row>
    <row r="29" customFormat="false" ht="18" hidden="false" customHeight="false" outlineLevel="0" collapsed="false">
      <c r="B29" s="23" t="n">
        <f aca="false">B28+1</f>
        <v>2</v>
      </c>
      <c r="C29" s="19" t="s">
        <v>30</v>
      </c>
      <c r="D29" s="11" t="n">
        <v>23613</v>
      </c>
      <c r="E29" s="87" t="n">
        <f aca="false">6009.08</f>
        <v>6009.08</v>
      </c>
      <c r="F29" s="22" t="s">
        <v>21</v>
      </c>
      <c r="G29" s="23" t="n">
        <v>4</v>
      </c>
      <c r="H29" s="88"/>
      <c r="I29" s="24" t="n">
        <f aca="false">IF(G29=4,E29,0)</f>
        <v>6009.08</v>
      </c>
      <c r="L29" s="26" t="n">
        <v>4938.2</v>
      </c>
      <c r="M29" s="310"/>
      <c r="N29" s="28" t="n">
        <f aca="false">L29/I29</f>
        <v>0.821789691600045</v>
      </c>
      <c r="O29" s="66"/>
      <c r="P29" s="56" t="s">
        <v>26</v>
      </c>
      <c r="Q29" s="97" t="s">
        <v>50</v>
      </c>
    </row>
    <row r="30" customFormat="false" ht="20.25" hidden="false" customHeight="false" outlineLevel="0" collapsed="false">
      <c r="B30" s="23" t="n">
        <f aca="false">B29+1</f>
        <v>3</v>
      </c>
      <c r="C30" s="19" t="s">
        <v>104</v>
      </c>
      <c r="D30" s="11" t="n">
        <v>23544</v>
      </c>
      <c r="E30" s="21" t="n">
        <f aca="false">2200+50</f>
        <v>2250</v>
      </c>
      <c r="F30" s="22" t="s">
        <v>42</v>
      </c>
      <c r="G30" s="23" t="n">
        <v>4</v>
      </c>
      <c r="H30" s="88"/>
      <c r="I30" s="24" t="n">
        <f aca="false">IF(G30=4,E30,0)</f>
        <v>2250</v>
      </c>
      <c r="L30" s="26" t="n">
        <v>1679.7</v>
      </c>
      <c r="M30" s="93"/>
      <c r="N30" s="70" t="n">
        <f aca="false">L30/I30</f>
        <v>0.746533333333333</v>
      </c>
      <c r="O30" s="52"/>
      <c r="P30" s="56" t="s">
        <v>31</v>
      </c>
      <c r="Q30" s="97" t="s">
        <v>53</v>
      </c>
    </row>
    <row r="31" customFormat="false" ht="12.75" hidden="false" customHeight="false" outlineLevel="0" collapsed="false">
      <c r="B31" s="23" t="n">
        <f aca="false">B30+1</f>
        <v>4</v>
      </c>
      <c r="C31" s="0" t="s">
        <v>129</v>
      </c>
      <c r="D31" s="22" t="n">
        <v>103938</v>
      </c>
      <c r="E31" s="21" t="n">
        <v>1000</v>
      </c>
      <c r="F31" s="22" t="s">
        <v>146</v>
      </c>
      <c r="G31" s="23" t="n">
        <v>4</v>
      </c>
      <c r="I31" s="24" t="n">
        <f aca="false">IF(G31=4,E31,0)</f>
        <v>1000</v>
      </c>
      <c r="L31" s="99" t="n">
        <v>786.8</v>
      </c>
      <c r="N31" s="70" t="n">
        <f aca="false">L31/I31</f>
        <v>0.7868</v>
      </c>
      <c r="O31" s="66"/>
      <c r="P31" s="56" t="s">
        <v>33</v>
      </c>
      <c r="Q31" s="57" t="s">
        <v>57</v>
      </c>
    </row>
    <row r="32" customFormat="false" ht="12.75" hidden="false" customHeight="false" outlineLevel="0" collapsed="false">
      <c r="B32" s="23" t="n">
        <f aca="false">B31+1</f>
        <v>5</v>
      </c>
      <c r="C32" s="19" t="s">
        <v>77</v>
      </c>
      <c r="D32" s="11" t="n">
        <v>22335</v>
      </c>
      <c r="E32" s="21" t="n">
        <v>864.828</v>
      </c>
      <c r="F32" s="22" t="s">
        <v>19</v>
      </c>
      <c r="G32" s="23" t="n">
        <v>4</v>
      </c>
      <c r="H32" s="88"/>
      <c r="I32" s="24" t="n">
        <f aca="false">IF(G32=4,E32,0)</f>
        <v>864.828</v>
      </c>
      <c r="L32" s="26" t="n">
        <v>716.8</v>
      </c>
      <c r="M32" s="93"/>
      <c r="N32" s="28" t="n">
        <f aca="false">L32/I32</f>
        <v>0.828835329105903</v>
      </c>
      <c r="O32" s="66"/>
      <c r="P32" s="56" t="s">
        <v>36</v>
      </c>
      <c r="Q32" s="57" t="s">
        <v>37</v>
      </c>
    </row>
    <row r="33" customFormat="false" ht="20.25" hidden="false" customHeight="false" outlineLevel="0" collapsed="false">
      <c r="B33" s="23" t="n">
        <f aca="false">B32+1</f>
        <v>6</v>
      </c>
      <c r="C33" s="19" t="s">
        <v>58</v>
      </c>
      <c r="D33" s="11" t="n">
        <v>22334</v>
      </c>
      <c r="E33" s="21" t="n">
        <v>750</v>
      </c>
      <c r="F33" s="22" t="s">
        <v>42</v>
      </c>
      <c r="G33" s="23" t="n">
        <v>4</v>
      </c>
      <c r="H33" s="88"/>
      <c r="I33" s="24" t="n">
        <f aca="false">IF(G33=4,E33,0)</f>
        <v>750</v>
      </c>
      <c r="L33" s="26" t="n">
        <v>596.4</v>
      </c>
      <c r="M33" s="310"/>
      <c r="N33" s="70" t="n">
        <f aca="false">L33/I33</f>
        <v>0.7952</v>
      </c>
      <c r="O33" s="52"/>
      <c r="P33" s="56" t="s">
        <v>38</v>
      </c>
      <c r="Q33" s="57" t="s">
        <v>39</v>
      </c>
    </row>
    <row r="34" customFormat="false" ht="12.75" hidden="false" customHeight="false" outlineLevel="0" collapsed="false">
      <c r="B34" s="221" t="n">
        <f aca="false">B33+1</f>
        <v>7</v>
      </c>
      <c r="C34" s="102" t="s">
        <v>59</v>
      </c>
      <c r="D34" s="289" t="n">
        <v>103665</v>
      </c>
      <c r="E34" s="290" t="n">
        <v>585.359</v>
      </c>
      <c r="F34" s="319"/>
      <c r="G34" s="106" t="n">
        <v>4</v>
      </c>
      <c r="H34" s="223"/>
      <c r="I34" s="292" t="n">
        <f aca="false">IF(G34=4,E34,0)</f>
        <v>585.359</v>
      </c>
      <c r="L34" s="293" t="n">
        <v>511.2</v>
      </c>
      <c r="M34" s="226"/>
      <c r="N34" s="70" t="n">
        <f aca="false">L34/I34</f>
        <v>0.873310225007218</v>
      </c>
    </row>
    <row r="35" customFormat="false" ht="18" hidden="false" customHeight="false" outlineLevel="0" collapsed="false">
      <c r="B35" s="320" t="n">
        <f aca="false">B34+1</f>
        <v>8</v>
      </c>
      <c r="C35" s="19" t="s">
        <v>60</v>
      </c>
      <c r="D35" s="11" t="n">
        <v>22312</v>
      </c>
      <c r="E35" s="21" t="n">
        <f aca="false">136+114</f>
        <v>250</v>
      </c>
      <c r="F35" s="22" t="s">
        <v>42</v>
      </c>
      <c r="G35" s="23" t="n">
        <v>4</v>
      </c>
      <c r="H35" s="88"/>
      <c r="I35" s="24" t="n">
        <f aca="false">IF(G35=4,E35,0)</f>
        <v>250</v>
      </c>
      <c r="L35" s="26" t="n">
        <v>188</v>
      </c>
      <c r="M35" s="310"/>
      <c r="N35" s="70" t="n">
        <f aca="false">L35/I35</f>
        <v>0.752</v>
      </c>
    </row>
    <row r="36" customFormat="false" ht="12.75" hidden="false" customHeight="false" outlineLevel="0" collapsed="false">
      <c r="B36" s="111" t="n">
        <f aca="false">1</f>
        <v>1</v>
      </c>
      <c r="C36" s="112" t="s">
        <v>61</v>
      </c>
      <c r="D36" s="113" t="n">
        <v>22309</v>
      </c>
      <c r="E36" s="114" t="n">
        <v>202.51</v>
      </c>
      <c r="F36" s="115" t="s">
        <v>42</v>
      </c>
      <c r="G36" s="116" t="n">
        <v>4</v>
      </c>
      <c r="H36" s="117"/>
      <c r="I36" s="118" t="n">
        <v>0</v>
      </c>
      <c r="L36" s="119" t="n">
        <v>0</v>
      </c>
      <c r="M36" s="120"/>
      <c r="R36" s="57"/>
    </row>
    <row r="37" customFormat="false" ht="12.75" hidden="false" customHeight="false" outlineLevel="0" collapsed="false">
      <c r="B37" s="245" t="n">
        <f aca="false">B35+1</f>
        <v>9</v>
      </c>
      <c r="C37" s="294" t="s">
        <v>130</v>
      </c>
      <c r="D37" s="247" t="n">
        <v>103139</v>
      </c>
      <c r="E37" s="248" t="n">
        <v>0</v>
      </c>
      <c r="F37" s="249" t="s">
        <v>21</v>
      </c>
      <c r="G37" s="250" t="n">
        <v>4</v>
      </c>
      <c r="H37" s="88"/>
      <c r="I37" s="295" t="n">
        <v>0</v>
      </c>
      <c r="L37" s="296" t="n">
        <v>0</v>
      </c>
      <c r="M37" s="19"/>
      <c r="O37" s="66"/>
      <c r="R37" s="297"/>
    </row>
    <row r="38" customFormat="false" ht="20.25" hidden="false" customHeight="false" outlineLevel="0" collapsed="false">
      <c r="B38" s="111" t="n">
        <f aca="false">B36+1</f>
        <v>2</v>
      </c>
      <c r="C38" s="122" t="s">
        <v>62</v>
      </c>
      <c r="D38" s="113" t="n">
        <v>22315</v>
      </c>
      <c r="E38" s="114" t="n">
        <v>79.449</v>
      </c>
      <c r="F38" s="115" t="s">
        <v>42</v>
      </c>
      <c r="G38" s="116" t="n">
        <v>4</v>
      </c>
      <c r="H38" s="117"/>
      <c r="I38" s="118" t="n">
        <v>0</v>
      </c>
      <c r="L38" s="119" t="n">
        <v>0</v>
      </c>
      <c r="M38" s="123"/>
      <c r="O38" s="52"/>
      <c r="R38" s="125"/>
    </row>
    <row r="39" customFormat="false" ht="20.25" hidden="false" customHeight="false" outlineLevel="0" collapsed="false">
      <c r="B39" s="111" t="n">
        <f aca="false">B38+1</f>
        <v>3</v>
      </c>
      <c r="C39" s="112" t="s">
        <v>131</v>
      </c>
      <c r="D39" s="113" t="n">
        <v>22322</v>
      </c>
      <c r="E39" s="298" t="n">
        <v>75</v>
      </c>
      <c r="F39" s="115" t="s">
        <v>42</v>
      </c>
      <c r="G39" s="116" t="n">
        <v>4</v>
      </c>
      <c r="H39" s="117"/>
      <c r="I39" s="118" t="n">
        <v>0</v>
      </c>
      <c r="L39" s="119" t="n">
        <v>0</v>
      </c>
      <c r="M39" s="127"/>
      <c r="O39" s="52"/>
    </row>
    <row r="40" customFormat="false" ht="20.25" hidden="false" customHeight="false" outlineLevel="0" collapsed="false">
      <c r="B40" s="23" t="n">
        <f aca="false">B35+1</f>
        <v>9</v>
      </c>
      <c r="C40" s="40" t="s">
        <v>153</v>
      </c>
      <c r="D40" s="11" t="n">
        <v>103964</v>
      </c>
      <c r="E40" s="98" t="n">
        <v>50</v>
      </c>
      <c r="F40" s="22" t="s">
        <v>21</v>
      </c>
      <c r="G40" s="23" t="n">
        <v>4</v>
      </c>
      <c r="H40" s="88"/>
      <c r="I40" s="24" t="n">
        <f aca="false">IF(G40=4,E40,0)</f>
        <v>50</v>
      </c>
      <c r="L40" s="26" t="n">
        <v>40.8</v>
      </c>
      <c r="M40" s="310"/>
      <c r="N40" s="70" t="n">
        <f aca="false">L40/I40</f>
        <v>0.816</v>
      </c>
      <c r="O40" s="52"/>
      <c r="U40" s="321"/>
    </row>
    <row r="41" customFormat="false" ht="12.75" hidden="false" customHeight="false" outlineLevel="0" collapsed="false">
      <c r="B41" s="23" t="n">
        <f aca="false">B40+1</f>
        <v>10</v>
      </c>
      <c r="C41" s="19" t="s">
        <v>63</v>
      </c>
      <c r="D41" s="22" t="n">
        <v>22344</v>
      </c>
      <c r="E41" s="21" t="n">
        <v>50</v>
      </c>
      <c r="F41" s="22" t="s">
        <v>19</v>
      </c>
      <c r="G41" s="23" t="n">
        <v>4</v>
      </c>
      <c r="H41" s="88"/>
      <c r="I41" s="24" t="n">
        <f aca="false">IF(G41=4,E41,0)</f>
        <v>50</v>
      </c>
      <c r="L41" s="59" t="n">
        <v>28.6</v>
      </c>
      <c r="M41" s="19"/>
      <c r="N41" s="70" t="n">
        <f aca="false">L41/I41</f>
        <v>0.572</v>
      </c>
      <c r="O41" s="66"/>
    </row>
    <row r="42" customFormat="false" ht="12.75" hidden="false" customHeight="false" outlineLevel="0" collapsed="false">
      <c r="B42" s="111" t="n">
        <f aca="false">B39+1</f>
        <v>4</v>
      </c>
      <c r="C42" s="112" t="s">
        <v>64</v>
      </c>
      <c r="D42" s="113" t="n">
        <v>22311</v>
      </c>
      <c r="E42" s="114" t="n">
        <v>45</v>
      </c>
      <c r="F42" s="115" t="s">
        <v>19</v>
      </c>
      <c r="G42" s="116" t="n">
        <v>4</v>
      </c>
      <c r="H42" s="117"/>
      <c r="I42" s="118" t="n">
        <v>0</v>
      </c>
      <c r="L42" s="119" t="n">
        <v>0</v>
      </c>
      <c r="M42" s="112"/>
      <c r="O42" s="66"/>
    </row>
    <row r="43" customFormat="false" ht="12.75" hidden="false" customHeight="false" outlineLevel="0" collapsed="false">
      <c r="B43" s="111" t="n">
        <f aca="false">B42+1</f>
        <v>5</v>
      </c>
      <c r="C43" s="112" t="s">
        <v>65</v>
      </c>
      <c r="D43" s="113" t="n">
        <v>22323</v>
      </c>
      <c r="E43" s="114" t="n">
        <v>45</v>
      </c>
      <c r="F43" s="115" t="s">
        <v>19</v>
      </c>
      <c r="G43" s="116" t="n">
        <v>4</v>
      </c>
      <c r="H43" s="117"/>
      <c r="I43" s="118" t="n">
        <v>0</v>
      </c>
      <c r="L43" s="119" t="n">
        <v>0</v>
      </c>
      <c r="M43" s="127"/>
      <c r="O43" s="66"/>
    </row>
    <row r="44" customFormat="false" ht="20.25" hidden="false" customHeight="false" outlineLevel="0" collapsed="false">
      <c r="B44" s="111" t="n">
        <f aca="false">B43+1</f>
        <v>6</v>
      </c>
      <c r="C44" s="112" t="s">
        <v>67</v>
      </c>
      <c r="D44" s="113" t="n">
        <v>22303</v>
      </c>
      <c r="E44" s="114" t="n">
        <v>32.4</v>
      </c>
      <c r="F44" s="115" t="s">
        <v>42</v>
      </c>
      <c r="G44" s="116" t="n">
        <v>4</v>
      </c>
      <c r="H44" s="117"/>
      <c r="I44" s="118" t="n">
        <v>0</v>
      </c>
      <c r="L44" s="119" t="n">
        <v>0</v>
      </c>
      <c r="M44" s="112"/>
      <c r="O44" s="52"/>
      <c r="S44" s="322"/>
    </row>
    <row r="45" customFormat="false" ht="12.75" hidden="false" customHeight="false" outlineLevel="0" collapsed="false">
      <c r="B45" s="111" t="n">
        <f aca="false">B44+1</f>
        <v>7</v>
      </c>
      <c r="C45" s="112" t="s">
        <v>68</v>
      </c>
      <c r="D45" s="113" t="n">
        <v>22328</v>
      </c>
      <c r="E45" s="114" t="n">
        <v>25</v>
      </c>
      <c r="F45" s="115" t="s">
        <v>19</v>
      </c>
      <c r="G45" s="116" t="n">
        <v>4</v>
      </c>
      <c r="H45" s="117"/>
      <c r="I45" s="118" t="n">
        <v>0</v>
      </c>
      <c r="L45" s="128" t="n">
        <v>0</v>
      </c>
      <c r="M45" s="112"/>
      <c r="O45" s="66"/>
    </row>
    <row r="46" customFormat="false" ht="12.75" hidden="false" customHeight="false" outlineLevel="0" collapsed="false">
      <c r="B46" s="111" t="n">
        <f aca="false">B45+1</f>
        <v>8</v>
      </c>
      <c r="C46" s="112" t="s">
        <v>69</v>
      </c>
      <c r="D46" s="113" t="n">
        <v>22302</v>
      </c>
      <c r="E46" s="114" t="n">
        <v>18</v>
      </c>
      <c r="F46" s="115" t="s">
        <v>42</v>
      </c>
      <c r="G46" s="116" t="n">
        <v>4</v>
      </c>
      <c r="H46" s="117"/>
      <c r="I46" s="118" t="n">
        <v>0</v>
      </c>
      <c r="L46" s="119" t="n">
        <v>0</v>
      </c>
      <c r="M46" s="113"/>
      <c r="O46" s="66"/>
    </row>
    <row r="47" customFormat="false" ht="12.75" hidden="false" customHeight="false" outlineLevel="0" collapsed="false">
      <c r="B47" s="111" t="n">
        <f aca="false">B46+1</f>
        <v>9</v>
      </c>
      <c r="C47" s="112" t="s">
        <v>84</v>
      </c>
      <c r="D47" s="113" t="n">
        <v>22332</v>
      </c>
      <c r="E47" s="114" t="n">
        <v>15</v>
      </c>
      <c r="F47" s="115" t="s">
        <v>42</v>
      </c>
      <c r="G47" s="116" t="n">
        <v>4</v>
      </c>
      <c r="H47" s="117"/>
      <c r="I47" s="118" t="n">
        <v>0</v>
      </c>
      <c r="L47" s="119" t="n">
        <v>0</v>
      </c>
      <c r="M47" s="129"/>
      <c r="O47" s="66"/>
    </row>
    <row r="48" customFormat="false" ht="12.75" hidden="false" customHeight="false" outlineLevel="0" collapsed="false">
      <c r="B48" s="111" t="n">
        <f aca="false">B47+1</f>
        <v>10</v>
      </c>
      <c r="C48" s="112" t="s">
        <v>70</v>
      </c>
      <c r="D48" s="113" t="n">
        <v>22368</v>
      </c>
      <c r="E48" s="114" t="n">
        <v>15</v>
      </c>
      <c r="F48" s="115" t="s">
        <v>21</v>
      </c>
      <c r="G48" s="116" t="n">
        <v>4</v>
      </c>
      <c r="H48" s="117"/>
      <c r="I48" s="118" t="n">
        <v>0</v>
      </c>
      <c r="L48" s="119" t="n">
        <v>0</v>
      </c>
      <c r="M48" s="129"/>
      <c r="O48" s="66"/>
    </row>
    <row r="49" customFormat="false" ht="20.25" hidden="false" customHeight="false" outlineLevel="0" collapsed="false">
      <c r="B49" s="111" t="n">
        <f aca="false">B48+1</f>
        <v>11</v>
      </c>
      <c r="C49" s="112" t="s">
        <v>71</v>
      </c>
      <c r="D49" s="113" t="n">
        <v>22324</v>
      </c>
      <c r="E49" s="114" t="n">
        <v>15</v>
      </c>
      <c r="F49" s="115" t="s">
        <v>21</v>
      </c>
      <c r="G49" s="116" t="n">
        <v>4</v>
      </c>
      <c r="H49" s="117"/>
      <c r="I49" s="118" t="n">
        <v>0</v>
      </c>
      <c r="L49" s="119" t="n">
        <v>0</v>
      </c>
      <c r="M49" s="129"/>
      <c r="O49" s="52"/>
    </row>
    <row r="50" customFormat="false" ht="18" hidden="false" customHeight="false" outlineLevel="0" collapsed="false">
      <c r="B50" s="23" t="n">
        <f aca="false">B41+1</f>
        <v>11</v>
      </c>
      <c r="C50" s="19" t="s">
        <v>72</v>
      </c>
      <c r="D50" s="11" t="n">
        <v>22301</v>
      </c>
      <c r="E50" s="21" t="n">
        <v>13.777</v>
      </c>
      <c r="F50" s="22" t="s">
        <v>21</v>
      </c>
      <c r="G50" s="23" t="n">
        <v>4</v>
      </c>
      <c r="H50" s="88"/>
      <c r="I50" s="24" t="n">
        <f aca="false">IF(G50=4,E50,0)</f>
        <v>13.777</v>
      </c>
      <c r="L50" s="26" t="n">
        <v>10.7</v>
      </c>
      <c r="M50" s="310"/>
      <c r="N50" s="28" t="n">
        <v>0.776656746751833</v>
      </c>
      <c r="O50" s="66"/>
    </row>
    <row r="51" customFormat="false" ht="12.75" hidden="false" customHeight="false" outlineLevel="0" collapsed="false">
      <c r="B51" s="111" t="n">
        <f aca="false">B49+1</f>
        <v>12</v>
      </c>
      <c r="C51" s="112" t="s">
        <v>73</v>
      </c>
      <c r="D51" s="113" t="n">
        <v>22304</v>
      </c>
      <c r="E51" s="114" t="n">
        <v>10</v>
      </c>
      <c r="F51" s="115" t="s">
        <v>42</v>
      </c>
      <c r="G51" s="116" t="n">
        <v>4</v>
      </c>
      <c r="H51" s="117"/>
      <c r="I51" s="118" t="n">
        <v>0</v>
      </c>
      <c r="L51" s="119" t="n">
        <v>0</v>
      </c>
      <c r="M51" s="323"/>
      <c r="O51" s="66"/>
    </row>
    <row r="52" customFormat="false" ht="20.25" hidden="false" customHeight="false" outlineLevel="0" collapsed="false">
      <c r="B52" s="111" t="n">
        <f aca="false">B51+1</f>
        <v>13</v>
      </c>
      <c r="C52" s="112" t="s">
        <v>74</v>
      </c>
      <c r="D52" s="113" t="n">
        <v>22327</v>
      </c>
      <c r="E52" s="131" t="n">
        <v>8</v>
      </c>
      <c r="F52" s="115" t="s">
        <v>19</v>
      </c>
      <c r="G52" s="116" t="n">
        <v>4</v>
      </c>
      <c r="H52" s="132"/>
      <c r="I52" s="133" t="n">
        <v>0</v>
      </c>
      <c r="L52" s="119" t="n">
        <v>0</v>
      </c>
      <c r="M52" s="324"/>
      <c r="O52" s="52"/>
    </row>
    <row r="53" customFormat="false" ht="12.75" hidden="false" customHeight="false" outlineLevel="0" collapsed="false">
      <c r="G53" s="77" t="s">
        <v>75</v>
      </c>
      <c r="H53" s="80"/>
      <c r="I53" s="318" t="n">
        <f aca="false">SUM(I28:I35,I40:I41,I50)</f>
        <v>18223.044</v>
      </c>
      <c r="J53" s="80"/>
      <c r="L53" s="325" t="n">
        <f aca="false">SUM(L28:L52)</f>
        <v>14105.3</v>
      </c>
      <c r="M53" s="243"/>
      <c r="N53" s="82" t="n">
        <f aca="false">L53/I79</f>
        <v>0.774036434308121</v>
      </c>
      <c r="O53" s="66"/>
    </row>
    <row r="55" customFormat="false" ht="12.75" hidden="false" customHeight="false" outlineLevel="0" collapsed="false">
      <c r="R55" s="30" t="s">
        <v>14</v>
      </c>
      <c r="T55" s="31"/>
    </row>
    <row r="56" customFormat="false" ht="12.75" hidden="false" customHeight="false" outlineLevel="0" collapsed="false">
      <c r="B56" s="138" t="n">
        <f aca="false">1</f>
        <v>1</v>
      </c>
      <c r="C56" s="19" t="s">
        <v>76</v>
      </c>
      <c r="D56" s="11" t="n">
        <v>22316</v>
      </c>
      <c r="E56" s="21" t="n">
        <v>6461.232</v>
      </c>
      <c r="F56" s="22" t="s">
        <v>19</v>
      </c>
      <c r="G56" s="23" t="n">
        <v>3</v>
      </c>
      <c r="J56" s="24" t="n">
        <f aca="false">IF(G56=3,E56,0)</f>
        <v>6461.232</v>
      </c>
      <c r="K56" s="19"/>
      <c r="L56" s="26" t="n">
        <v>5554.6</v>
      </c>
      <c r="M56" s="19"/>
      <c r="N56" s="90" t="n">
        <f aca="false">L56/J56</f>
        <v>0.859681249644031</v>
      </c>
      <c r="O56" s="66"/>
      <c r="P56" s="56" t="s">
        <v>22</v>
      </c>
      <c r="Q56" s="97" t="s">
        <v>50</v>
      </c>
      <c r="T56" s="46"/>
    </row>
    <row r="57" customFormat="false" ht="18" hidden="false" customHeight="false" outlineLevel="0" collapsed="false">
      <c r="B57" s="138" t="n">
        <f aca="false">B56+1</f>
        <v>2</v>
      </c>
      <c r="C57" s="40" t="s">
        <v>126</v>
      </c>
      <c r="D57" s="11" t="n">
        <v>102835</v>
      </c>
      <c r="E57" s="65" t="n">
        <v>3000</v>
      </c>
      <c r="F57" s="22" t="s">
        <v>25</v>
      </c>
      <c r="G57" s="23" t="n">
        <v>3</v>
      </c>
      <c r="J57" s="24" t="n">
        <f aca="false">IF(G57=3,E57,0)</f>
        <v>3000</v>
      </c>
      <c r="K57" s="19"/>
      <c r="L57" s="26" t="n">
        <v>2797.5</v>
      </c>
      <c r="M57" s="308" t="s">
        <v>143</v>
      </c>
      <c r="N57" s="70" t="n">
        <f aca="false">L57/J57</f>
        <v>0.9325</v>
      </c>
      <c r="O57" s="66"/>
      <c r="P57" s="56" t="s">
        <v>26</v>
      </c>
      <c r="Q57" s="97" t="s">
        <v>50</v>
      </c>
      <c r="T57" s="326"/>
    </row>
    <row r="58" customFormat="false" ht="12.75" hidden="false" customHeight="false" outlineLevel="0" collapsed="false">
      <c r="B58" s="245" t="n">
        <f aca="false">B57+1</f>
        <v>3</v>
      </c>
      <c r="C58" s="294" t="s">
        <v>107</v>
      </c>
      <c r="D58" s="247" t="n">
        <v>22306</v>
      </c>
      <c r="E58" s="248" t="n">
        <v>0</v>
      </c>
      <c r="F58" s="249" t="s">
        <v>19</v>
      </c>
      <c r="G58" s="250" t="n">
        <v>3</v>
      </c>
      <c r="J58" s="295" t="n">
        <f aca="false">IF(G58=3,E58,0)</f>
        <v>0</v>
      </c>
      <c r="K58" s="19"/>
      <c r="L58" s="288" t="n">
        <v>0</v>
      </c>
      <c r="M58" s="19"/>
      <c r="O58" s="66"/>
      <c r="P58" s="56" t="s">
        <v>31</v>
      </c>
      <c r="Q58" s="97" t="s">
        <v>53</v>
      </c>
      <c r="T58" s="326"/>
    </row>
    <row r="59" customFormat="false" ht="12.75" hidden="false" customHeight="false" outlineLevel="0" collapsed="false">
      <c r="B59" s="138" t="n">
        <f aca="false">B57+1</f>
        <v>3</v>
      </c>
      <c r="C59" s="19" t="s">
        <v>154</v>
      </c>
      <c r="D59" s="11" t="n">
        <v>22313</v>
      </c>
      <c r="E59" s="21" t="n">
        <v>862.822</v>
      </c>
      <c r="F59" s="22" t="s">
        <v>19</v>
      </c>
      <c r="G59" s="23" t="n">
        <v>3</v>
      </c>
      <c r="J59" s="24" t="n">
        <f aca="false">IF(G59=3,E59,0)</f>
        <v>862.822</v>
      </c>
      <c r="K59" s="19"/>
      <c r="L59" s="59" t="n">
        <v>637.1</v>
      </c>
      <c r="M59" s="19"/>
      <c r="N59" s="28" t="n">
        <f aca="false">L59/J59</f>
        <v>0.738391000693075</v>
      </c>
      <c r="O59" s="66"/>
      <c r="P59" s="56" t="s">
        <v>33</v>
      </c>
      <c r="Q59" s="57" t="s">
        <v>57</v>
      </c>
      <c r="T59" s="326"/>
    </row>
    <row r="60" customFormat="false" ht="15" hidden="false" customHeight="false" outlineLevel="0" collapsed="false">
      <c r="B60" s="138" t="n">
        <f aca="false">B59+1</f>
        <v>4</v>
      </c>
      <c r="C60" s="0" t="s">
        <v>155</v>
      </c>
      <c r="D60" s="22" t="n">
        <v>103941</v>
      </c>
      <c r="E60" s="98" t="n">
        <v>800</v>
      </c>
      <c r="F60" s="22" t="s">
        <v>146</v>
      </c>
      <c r="G60" s="23" t="n">
        <v>3</v>
      </c>
      <c r="J60" s="24" t="n">
        <f aca="false">IF(G60=3,E60,0)</f>
        <v>800</v>
      </c>
      <c r="K60" s="126"/>
      <c r="L60" s="26" t="n">
        <v>629.2</v>
      </c>
      <c r="M60" s="327"/>
      <c r="N60" s="70" t="n">
        <f aca="false">L60/J60</f>
        <v>0.7865</v>
      </c>
      <c r="O60" s="66"/>
      <c r="P60" s="56" t="s">
        <v>36</v>
      </c>
      <c r="Q60" s="57" t="s">
        <v>37</v>
      </c>
      <c r="T60" s="9"/>
    </row>
    <row r="61" customFormat="false" ht="12.75" hidden="false" customHeight="false" outlineLevel="0" collapsed="false">
      <c r="B61" s="138" t="n">
        <f aca="false">B60+1</f>
        <v>5</v>
      </c>
      <c r="C61" s="19" t="s">
        <v>78</v>
      </c>
      <c r="D61" s="11" t="n">
        <v>22342</v>
      </c>
      <c r="E61" s="87" t="n">
        <v>500</v>
      </c>
      <c r="F61" s="22" t="s">
        <v>19</v>
      </c>
      <c r="G61" s="23" t="n">
        <v>3</v>
      </c>
      <c r="J61" s="142" t="n">
        <f aca="false">IF(G61=3,E61,0)</f>
        <v>500</v>
      </c>
      <c r="K61" s="19"/>
      <c r="L61" s="26" t="n">
        <v>387.7</v>
      </c>
      <c r="M61" s="19"/>
      <c r="N61" s="139" t="n">
        <f aca="false">L61/J61</f>
        <v>0.7754</v>
      </c>
      <c r="O61" s="66"/>
      <c r="P61" s="56" t="s">
        <v>38</v>
      </c>
      <c r="Q61" s="57" t="s">
        <v>39</v>
      </c>
      <c r="T61" s="9"/>
    </row>
    <row r="62" customFormat="false" ht="18" hidden="false" customHeight="false" outlineLevel="0" collapsed="false">
      <c r="B62" s="138" t="n">
        <f aca="false">B61+1</f>
        <v>6</v>
      </c>
      <c r="C62" s="19" t="s">
        <v>79</v>
      </c>
      <c r="D62" s="11" t="n">
        <v>22321</v>
      </c>
      <c r="E62" s="21" t="n">
        <v>400</v>
      </c>
      <c r="F62" s="22" t="s">
        <v>21</v>
      </c>
      <c r="G62" s="23" t="n">
        <v>3</v>
      </c>
      <c r="J62" s="24" t="n">
        <f aca="false">IF(G62=3,E62,0)</f>
        <v>400</v>
      </c>
      <c r="K62" s="19"/>
      <c r="L62" s="26" t="n">
        <v>369.3</v>
      </c>
      <c r="M62" s="308" t="s">
        <v>143</v>
      </c>
      <c r="N62" s="70" t="n">
        <f aca="false">L62/J62</f>
        <v>0.92325</v>
      </c>
      <c r="O62" s="66"/>
    </row>
    <row r="63" customFormat="false" ht="12.75" hidden="false" customHeight="false" outlineLevel="0" collapsed="false">
      <c r="B63" s="245" t="n">
        <f aca="false">B62+1</f>
        <v>7</v>
      </c>
      <c r="C63" s="299" t="s">
        <v>132</v>
      </c>
      <c r="D63" s="247" t="n">
        <v>102821</v>
      </c>
      <c r="E63" s="300" t="n">
        <v>0</v>
      </c>
      <c r="F63" s="249" t="s">
        <v>21</v>
      </c>
      <c r="G63" s="301" t="n">
        <v>3</v>
      </c>
      <c r="J63" s="295" t="n">
        <f aca="false">IF(G63=3,E63,0)</f>
        <v>0</v>
      </c>
      <c r="K63" s="19"/>
      <c r="L63" s="288" t="n">
        <v>0</v>
      </c>
      <c r="M63" s="19"/>
      <c r="O63" s="66"/>
    </row>
    <row r="64" customFormat="false" ht="12.75" hidden="false" customHeight="false" outlineLevel="0" collapsed="false">
      <c r="B64" s="138" t="n">
        <f aca="false">B62+1</f>
        <v>7</v>
      </c>
      <c r="C64" s="40" t="s">
        <v>133</v>
      </c>
      <c r="D64" s="11" t="n">
        <v>102950</v>
      </c>
      <c r="E64" s="98" t="n">
        <v>300</v>
      </c>
      <c r="F64" s="22" t="s">
        <v>21</v>
      </c>
      <c r="G64" s="23" t="n">
        <v>3</v>
      </c>
      <c r="J64" s="24" t="n">
        <f aca="false">IF(G64=3,E64,0)</f>
        <v>300</v>
      </c>
      <c r="K64" s="19"/>
      <c r="L64" s="26" t="n">
        <v>250.2</v>
      </c>
      <c r="M64" s="19"/>
      <c r="N64" s="70" t="n">
        <f aca="false">L64/J64</f>
        <v>0.834</v>
      </c>
    </row>
    <row r="65" customFormat="false" ht="15" hidden="false" customHeight="false" outlineLevel="0" collapsed="false">
      <c r="B65" s="138" t="n">
        <f aca="false">B63+1</f>
        <v>8</v>
      </c>
      <c r="C65" s="40" t="s">
        <v>156</v>
      </c>
      <c r="D65" s="11" t="n">
        <v>104341</v>
      </c>
      <c r="E65" s="98" t="n">
        <v>200</v>
      </c>
      <c r="F65" s="22" t="s">
        <v>146</v>
      </c>
      <c r="G65" s="23" t="n">
        <v>3</v>
      </c>
      <c r="J65" s="24" t="n">
        <f aca="false">IF(G65=3,E65,0)</f>
        <v>200</v>
      </c>
      <c r="K65" s="19"/>
      <c r="L65" s="26" t="n">
        <v>158.1</v>
      </c>
      <c r="M65" s="327"/>
      <c r="N65" s="70" t="n">
        <f aca="false">L65/J65</f>
        <v>0.7905</v>
      </c>
    </row>
    <row r="66" customFormat="false" ht="12.75" hidden="false" customHeight="false" outlineLevel="0" collapsed="false">
      <c r="B66" s="138" t="n">
        <f aca="false">B65+1</f>
        <v>9</v>
      </c>
      <c r="C66" s="19" t="s">
        <v>79</v>
      </c>
      <c r="D66" s="11" t="n">
        <v>102949</v>
      </c>
      <c r="E66" s="21" t="n">
        <v>200</v>
      </c>
      <c r="F66" s="22" t="s">
        <v>21</v>
      </c>
      <c r="G66" s="23" t="n">
        <v>3</v>
      </c>
      <c r="J66" s="24" t="n">
        <f aca="false">IF(G66=3,E66,0)</f>
        <v>200</v>
      </c>
      <c r="K66" s="19"/>
      <c r="L66" s="26" t="n">
        <v>175.9</v>
      </c>
      <c r="M66" s="19"/>
      <c r="N66" s="28" t="n">
        <f aca="false">L66/J66</f>
        <v>0.8795</v>
      </c>
    </row>
    <row r="67" customFormat="false" ht="18" hidden="false" customHeight="false" outlineLevel="0" collapsed="false">
      <c r="B67" s="140" t="n">
        <f aca="false">B66+1</f>
        <v>10</v>
      </c>
      <c r="C67" s="0" t="s">
        <v>157</v>
      </c>
      <c r="D67" s="22" t="n">
        <v>103940</v>
      </c>
      <c r="E67" s="21" t="n">
        <v>200</v>
      </c>
      <c r="F67" s="22" t="s">
        <v>146</v>
      </c>
      <c r="G67" s="23" t="n">
        <v>3</v>
      </c>
      <c r="J67" s="24" t="n">
        <f aca="false">IF(G67=3,E67,0)</f>
        <v>200</v>
      </c>
      <c r="K67" s="26"/>
      <c r="L67" s="26" t="n">
        <v>181</v>
      </c>
      <c r="M67" s="308" t="s">
        <v>143</v>
      </c>
      <c r="N67" s="28" t="n">
        <f aca="false">L67/J67</f>
        <v>0.905</v>
      </c>
    </row>
    <row r="68" customFormat="false" ht="18" hidden="false" customHeight="false" outlineLevel="0" collapsed="false">
      <c r="B68" s="140" t="n">
        <f aca="false">B67+1</f>
        <v>11</v>
      </c>
      <c r="C68" s="19" t="s">
        <v>158</v>
      </c>
      <c r="D68" s="11" t="n">
        <v>22329</v>
      </c>
      <c r="E68" s="21" t="n">
        <v>150</v>
      </c>
      <c r="F68" s="22" t="s">
        <v>42</v>
      </c>
      <c r="G68" s="23" t="n">
        <v>3</v>
      </c>
      <c r="J68" s="24" t="n">
        <f aca="false">IF(G68=3,E68,0)</f>
        <v>150</v>
      </c>
      <c r="K68" s="19"/>
      <c r="L68" s="26" t="n">
        <v>117.1</v>
      </c>
      <c r="M68" s="310"/>
      <c r="N68" s="70" t="n">
        <f aca="false">L68/J68</f>
        <v>0.780666666666667</v>
      </c>
    </row>
    <row r="69" customFormat="false" ht="12.75" hidden="false" customHeight="false" outlineLevel="0" collapsed="false">
      <c r="B69" s="138" t="n">
        <f aca="false">B68+1</f>
        <v>12</v>
      </c>
      <c r="C69" s="40" t="s">
        <v>159</v>
      </c>
      <c r="D69" s="11" t="n">
        <v>102832</v>
      </c>
      <c r="E69" s="98" t="n">
        <v>30</v>
      </c>
      <c r="F69" s="22" t="s">
        <v>25</v>
      </c>
      <c r="G69" s="23" t="n">
        <v>3</v>
      </c>
      <c r="J69" s="24" t="n">
        <f aca="false">IF(G69=3,E69,0)</f>
        <v>30</v>
      </c>
      <c r="K69" s="19"/>
      <c r="L69" s="26" t="n">
        <v>23.1</v>
      </c>
      <c r="M69" s="19"/>
      <c r="N69" s="70" t="n">
        <f aca="false">L69/J69</f>
        <v>0.77</v>
      </c>
    </row>
    <row r="70" customFormat="false" ht="20.25" hidden="false" customHeight="false" outlineLevel="0" collapsed="false">
      <c r="B70" s="138" t="n">
        <f aca="false">B69+1</f>
        <v>13</v>
      </c>
      <c r="C70" s="19" t="s">
        <v>80</v>
      </c>
      <c r="D70" s="11" t="n">
        <v>22326</v>
      </c>
      <c r="E70" s="21" t="n">
        <v>29</v>
      </c>
      <c r="F70" s="22" t="s">
        <v>42</v>
      </c>
      <c r="G70" s="23" t="n">
        <v>3</v>
      </c>
      <c r="J70" s="24" t="n">
        <f aca="false">IF(G70=3,E70,0)</f>
        <v>29</v>
      </c>
      <c r="K70" s="19"/>
      <c r="L70" s="26" t="n">
        <v>25.3</v>
      </c>
      <c r="M70" s="19"/>
      <c r="N70" s="70" t="n">
        <f aca="false">L70/J70</f>
        <v>0.872413793103448</v>
      </c>
      <c r="O70" s="52"/>
    </row>
    <row r="71" customFormat="false" ht="20.25" hidden="false" customHeight="false" outlineLevel="0" collapsed="false">
      <c r="B71" s="138" t="n">
        <f aca="false">B70+1</f>
        <v>14</v>
      </c>
      <c r="C71" s="19" t="s">
        <v>160</v>
      </c>
      <c r="D71" s="11" t="n">
        <v>22546</v>
      </c>
      <c r="E71" s="21" t="n">
        <v>25</v>
      </c>
      <c r="F71" s="22" t="s">
        <v>42</v>
      </c>
      <c r="G71" s="23" t="n">
        <v>3</v>
      </c>
      <c r="J71" s="24" t="n">
        <f aca="false">IF(G71=3,E71,0)</f>
        <v>25</v>
      </c>
      <c r="K71" s="19"/>
      <c r="L71" s="26" t="n">
        <v>19.9</v>
      </c>
      <c r="M71" s="19"/>
      <c r="N71" s="70" t="n">
        <f aca="false">L71/J71</f>
        <v>0.796</v>
      </c>
      <c r="O71" s="52"/>
    </row>
    <row r="72" customFormat="false" ht="12.75" hidden="false" customHeight="false" outlineLevel="0" collapsed="false">
      <c r="B72" s="138" t="n">
        <f aca="false">B71+1</f>
        <v>15</v>
      </c>
      <c r="C72" s="19" t="s">
        <v>81</v>
      </c>
      <c r="D72" s="11" t="n">
        <v>22339</v>
      </c>
      <c r="E72" s="21" t="n">
        <v>18.125</v>
      </c>
      <c r="F72" s="22" t="s">
        <v>21</v>
      </c>
      <c r="G72" s="23" t="n">
        <v>3</v>
      </c>
      <c r="J72" s="24" t="n">
        <f aca="false">IF(G72=3,E72,0)</f>
        <v>18.125</v>
      </c>
      <c r="K72" s="19"/>
      <c r="L72" s="26" t="n">
        <v>15.5</v>
      </c>
      <c r="M72" s="19"/>
      <c r="N72" s="70" t="n">
        <f aca="false">L72/J72</f>
        <v>0.855172413793104</v>
      </c>
      <c r="O72" s="66"/>
    </row>
    <row r="73" customFormat="false" ht="12.75" hidden="false" customHeight="false" outlineLevel="0" collapsed="false">
      <c r="B73" s="138" t="n">
        <f aca="false">B72+1</f>
        <v>16</v>
      </c>
      <c r="C73" s="19" t="s">
        <v>82</v>
      </c>
      <c r="D73" s="11" t="n">
        <v>22308</v>
      </c>
      <c r="E73" s="21" t="n">
        <v>17.145</v>
      </c>
      <c r="F73" s="22" t="s">
        <v>42</v>
      </c>
      <c r="G73" s="23" t="n">
        <v>3</v>
      </c>
      <c r="J73" s="24" t="n">
        <f aca="false">IF(G73=3,E73,0)</f>
        <v>17.145</v>
      </c>
      <c r="K73" s="19"/>
      <c r="L73" s="26" t="n">
        <v>14.5</v>
      </c>
      <c r="M73" s="19"/>
      <c r="N73" s="70" t="n">
        <f aca="false">L73/J73</f>
        <v>0.845727617381161</v>
      </c>
      <c r="O73" s="66"/>
    </row>
    <row r="74" customFormat="false" ht="20.25" hidden="false" customHeight="false" outlineLevel="0" collapsed="false">
      <c r="B74" s="138" t="n">
        <f aca="false">B73+1</f>
        <v>17</v>
      </c>
      <c r="C74" s="19" t="s">
        <v>83</v>
      </c>
      <c r="D74" s="11" t="n">
        <v>22300</v>
      </c>
      <c r="E74" s="21" t="n">
        <v>16.655</v>
      </c>
      <c r="F74" s="22" t="s">
        <v>19</v>
      </c>
      <c r="G74" s="23" t="n">
        <v>3</v>
      </c>
      <c r="J74" s="24" t="n">
        <f aca="false">IF(G74=3,E74,0)</f>
        <v>16.655</v>
      </c>
      <c r="K74" s="19"/>
      <c r="L74" s="59" t="n">
        <v>13.9</v>
      </c>
      <c r="M74" s="19"/>
      <c r="N74" s="28" t="n">
        <f aca="false">L74/J74</f>
        <v>0.834584208946262</v>
      </c>
      <c r="O74" s="52"/>
    </row>
    <row r="75" customFormat="false" ht="12.75" hidden="false" customHeight="false" outlineLevel="0" collapsed="false">
      <c r="B75" s="138" t="n">
        <f aca="false">B74+1</f>
        <v>18</v>
      </c>
      <c r="C75" s="19" t="s">
        <v>85</v>
      </c>
      <c r="D75" s="11" t="n">
        <v>22336</v>
      </c>
      <c r="E75" s="21" t="n">
        <v>14.634</v>
      </c>
      <c r="F75" s="22" t="s">
        <v>21</v>
      </c>
      <c r="G75" s="23" t="n">
        <v>3</v>
      </c>
      <c r="J75" s="24" t="n">
        <f aca="false">IF(G75=3,E75,0)</f>
        <v>14.634</v>
      </c>
      <c r="K75" s="19"/>
      <c r="L75" s="26" t="n">
        <v>12</v>
      </c>
      <c r="M75" s="19"/>
      <c r="N75" s="70" t="n">
        <f aca="false">L75/J75</f>
        <v>0.820008200082001</v>
      </c>
      <c r="O75" s="66"/>
    </row>
    <row r="76" customFormat="false" ht="20.25" hidden="false" customHeight="false" outlineLevel="0" collapsed="false">
      <c r="B76" s="138" t="n">
        <f aca="false">B75+1</f>
        <v>19</v>
      </c>
      <c r="C76" s="40" t="s">
        <v>134</v>
      </c>
      <c r="D76" s="11" t="n">
        <v>103962</v>
      </c>
      <c r="E76" s="98" t="n">
        <v>10</v>
      </c>
      <c r="F76" s="22" t="s">
        <v>21</v>
      </c>
      <c r="G76" s="23" t="n">
        <v>3</v>
      </c>
      <c r="J76" s="24" t="n">
        <f aca="false">IF(G76=3,E76,0)</f>
        <v>10</v>
      </c>
      <c r="K76" s="19"/>
      <c r="L76" s="26" t="n">
        <v>8.5</v>
      </c>
      <c r="M76" s="19"/>
      <c r="N76" s="70" t="n">
        <f aca="false">L76/J76</f>
        <v>0.85</v>
      </c>
      <c r="O76" s="52"/>
    </row>
    <row r="77" customFormat="false" ht="12.75" hidden="false" customHeight="false" outlineLevel="0" collapsed="false">
      <c r="B77" s="138" t="n">
        <f aca="false">B76+1</f>
        <v>20</v>
      </c>
      <c r="C77" s="19" t="s">
        <v>87</v>
      </c>
      <c r="D77" s="11" t="n">
        <v>22341</v>
      </c>
      <c r="E77" s="153" t="n">
        <v>8.419</v>
      </c>
      <c r="F77" s="22" t="s">
        <v>21</v>
      </c>
      <c r="G77" s="23" t="n">
        <v>3</v>
      </c>
      <c r="J77" s="24" t="n">
        <f aca="false">IF(G77=3,E77,0)</f>
        <v>8.419</v>
      </c>
      <c r="K77" s="19"/>
      <c r="L77" s="26" t="n">
        <v>7.2</v>
      </c>
      <c r="M77" s="323"/>
      <c r="N77" s="90" t="n">
        <f aca="false">L77/J77</f>
        <v>0.855208457061409</v>
      </c>
      <c r="O77" s="66"/>
    </row>
    <row r="78" customFormat="false" ht="12.75" hidden="false" customHeight="false" outlineLevel="0" collapsed="false">
      <c r="B78" s="138" t="n">
        <f aca="false">B77+1</f>
        <v>21</v>
      </c>
      <c r="C78" s="19" t="s">
        <v>88</v>
      </c>
      <c r="D78" s="156" t="n">
        <v>22340</v>
      </c>
      <c r="E78" s="157" t="n">
        <v>4.975</v>
      </c>
      <c r="F78" s="22" t="s">
        <v>19</v>
      </c>
      <c r="G78" s="23" t="n">
        <v>3</v>
      </c>
      <c r="J78" s="159" t="n">
        <f aca="false">IF(G78=3,E78,0)</f>
        <v>4.975</v>
      </c>
      <c r="K78" s="19"/>
      <c r="L78" s="59" t="n">
        <v>3.6</v>
      </c>
      <c r="M78" s="324"/>
      <c r="N78" s="70" t="n">
        <f aca="false">L78/J78</f>
        <v>0.723618090452261</v>
      </c>
      <c r="O78" s="66"/>
    </row>
    <row r="79" customFormat="false" ht="12.75" hidden="false" customHeight="false" outlineLevel="0" collapsed="false">
      <c r="E79" s="160" t="n">
        <f aca="false">SUM(E9:E22,E28:E35,E40:E41,E50,E56:E78)</f>
        <v>45329.614</v>
      </c>
      <c r="H79" s="161" t="n">
        <f aca="false">SUM(H9:H22)</f>
        <v>13858.563</v>
      </c>
      <c r="I79" s="161" t="n">
        <f aca="false">SUM(I28:I52)</f>
        <v>18223.044</v>
      </c>
      <c r="J79" s="161" t="n">
        <f aca="false">SUM(J56:J78)</f>
        <v>13248.007</v>
      </c>
      <c r="K79" s="162"/>
      <c r="L79" s="81" t="n">
        <f aca="false">SUM(L56:L78)</f>
        <v>11401.2</v>
      </c>
      <c r="M79" s="243"/>
      <c r="N79" s="82" t="n">
        <f aca="false">L79/J79</f>
        <v>0.860597371363104</v>
      </c>
      <c r="O79" s="66"/>
    </row>
    <row r="80" customFormat="false" ht="12.75" hidden="false" customHeight="false" outlineLevel="0" collapsed="false">
      <c r="F80" s="22"/>
      <c r="G80" s="163" t="s">
        <v>89</v>
      </c>
      <c r="H80" s="164" t="n">
        <f aca="false">H79/I81</f>
        <v>0.305728678827929</v>
      </c>
      <c r="I80" s="164" t="n">
        <f aca="false">I79/I81</f>
        <v>0.402011894475872</v>
      </c>
      <c r="J80" s="164" t="n">
        <f aca="false">J79/I81</f>
        <v>0.292259426696199</v>
      </c>
    </row>
    <row r="81" customFormat="false" ht="12.75" hidden="false" customHeight="false" outlineLevel="0" collapsed="false">
      <c r="B81" s="23" t="n">
        <f aca="false">B22+B50+B78</f>
        <v>46</v>
      </c>
      <c r="C81" s="138" t="s">
        <v>135</v>
      </c>
      <c r="I81" s="168" t="n">
        <f aca="false">H79+I79+J79</f>
        <v>45329.614</v>
      </c>
      <c r="L81" s="81" t="n">
        <f aca="false">L25+L53+L79</f>
        <v>36395.7</v>
      </c>
      <c r="M81" s="243"/>
      <c r="N81" s="82" t="n">
        <f aca="false">L81/I81</f>
        <v>0.802912197752224</v>
      </c>
    </row>
    <row r="82" customFormat="false" ht="12.75" hidden="false" customHeight="false" outlineLevel="0" collapsed="false">
      <c r="H82" s="140" t="s">
        <v>110</v>
      </c>
      <c r="I82" s="266" t="n">
        <v>-222</v>
      </c>
    </row>
    <row r="83" customFormat="false" ht="12.75" hidden="false" customHeight="false" outlineLevel="0" collapsed="false">
      <c r="I83" s="23" t="s">
        <v>161</v>
      </c>
      <c r="P83" s="6"/>
      <c r="Q83" s="269" t="s">
        <v>162</v>
      </c>
      <c r="R83" s="6"/>
    </row>
    <row r="84" customFormat="false" ht="12.75" hidden="false" customHeight="false" outlineLevel="0" collapsed="false">
      <c r="I84" s="270" t="n">
        <f aca="false">I81+I82</f>
        <v>45107.614</v>
      </c>
      <c r="L84" s="179" t="n">
        <f aca="false">43513-L81</f>
        <v>7117.3</v>
      </c>
      <c r="M84" s="180" t="s">
        <v>115</v>
      </c>
      <c r="N84" s="181"/>
      <c r="Q84" s="328" t="n">
        <v>6455</v>
      </c>
      <c r="T84" s="297"/>
    </row>
    <row r="85" customFormat="false" ht="12.75" hidden="false" customHeight="false" outlineLevel="0" collapsed="false">
      <c r="I85" s="169"/>
      <c r="L85" s="179" t="n">
        <f aca="false">I84-L81</f>
        <v>8711.914</v>
      </c>
      <c r="M85" s="180" t="s">
        <v>117</v>
      </c>
      <c r="N85" s="181"/>
      <c r="Q85" s="328" t="n">
        <v>10265</v>
      </c>
    </row>
    <row r="86" customFormat="false" ht="12.75" hidden="false" customHeight="false" outlineLevel="0" collapsed="false">
      <c r="D86" s="275" t="s">
        <v>118</v>
      </c>
      <c r="E86" s="276" t="s">
        <v>140</v>
      </c>
      <c r="L86" s="179" t="n">
        <f aca="false">L81</f>
        <v>36395.7</v>
      </c>
      <c r="M86" s="180" t="s">
        <v>92</v>
      </c>
      <c r="N86" s="181"/>
      <c r="Q86" s="328" t="n">
        <v>32793</v>
      </c>
      <c r="R86" s="278" t="s">
        <v>163</v>
      </c>
    </row>
    <row r="87" customFormat="false" ht="12.75" hidden="false" customHeight="false" outlineLevel="0" collapsed="false">
      <c r="D87" s="277"/>
      <c r="E87" s="276" t="s">
        <v>121</v>
      </c>
      <c r="L87" s="183" t="n">
        <f aca="false">L86/SUM(L86+L85-I82)</f>
        <v>0.802912197752224</v>
      </c>
      <c r="M87" s="180" t="s">
        <v>92</v>
      </c>
      <c r="N87" s="181"/>
      <c r="Q87" s="279" t="n">
        <f aca="false">Q86/SUM(Q86+Q85+2242)</f>
        <v>0.723907284768212</v>
      </c>
      <c r="R87" s="278" t="s">
        <v>163</v>
      </c>
    </row>
    <row r="89" customFormat="false" ht="12.75" hidden="false" customHeight="false" outlineLevel="0" collapsed="false">
      <c r="H89" s="1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R81"/>
  <sheetViews>
    <sheetView showFormulas="false" showGridLines="true" showRowColHeaders="true" showZeros="true" rightToLeft="false" tabSelected="false" showOutlineSymbols="true" defaultGridColor="true" view="normal" topLeftCell="C53" colorId="64" zoomScale="75" zoomScaleNormal="75" zoomScalePageLayoutView="30" workbookViewId="0">
      <selection pane="topLeft" activeCell="N77" activeCellId="0" sqref="N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0.7"/>
    <col collapsed="false" customWidth="true" hidden="false" outlineLevel="0" max="5" min="5" style="0" width="12.85"/>
    <col collapsed="false" customWidth="true" hidden="false" outlineLevel="0" max="8" min="8" style="0" width="12.56"/>
    <col collapsed="false" customWidth="true" hidden="false" outlineLevel="0" max="9" min="9" style="0" width="12.7"/>
    <col collapsed="false" customWidth="true" hidden="false" outlineLevel="0" max="10" min="10" style="0" width="12.28"/>
  </cols>
  <sheetData>
    <row r="3" customFormat="false" ht="20.25" hidden="false" customHeight="false" outlineLevel="0" collapsed="false">
      <c r="E3" s="2" t="s">
        <v>164</v>
      </c>
      <c r="L3" s="4" t="s">
        <v>1</v>
      </c>
      <c r="M3" s="5"/>
      <c r="N3" s="4" t="s">
        <v>165</v>
      </c>
      <c r="O3" s="3"/>
    </row>
    <row r="6" customFormat="false" ht="12.75" hidden="false" customHeight="false" outlineLevel="0" collapsed="false">
      <c r="N6" s="8" t="s">
        <v>3</v>
      </c>
    </row>
    <row r="7" customFormat="false" ht="12.75" hidden="false" customHeight="false" outlineLevel="0" collapsed="false">
      <c r="L7" s="8" t="s">
        <v>4</v>
      </c>
      <c r="M7" s="10"/>
      <c r="N7" s="8" t="s">
        <v>5</v>
      </c>
      <c r="Q7" s="13" t="s">
        <v>6</v>
      </c>
    </row>
    <row r="8" customFormat="false" ht="12.75" hidden="false" customHeight="false" outlineLevel="0" collapsed="false">
      <c r="C8" s="14" t="s">
        <v>7</v>
      </c>
      <c r="D8" s="15" t="s">
        <v>8</v>
      </c>
      <c r="E8" s="14" t="s">
        <v>9</v>
      </c>
      <c r="F8" s="14" t="s">
        <v>10</v>
      </c>
      <c r="G8" s="14" t="s">
        <v>11</v>
      </c>
      <c r="H8" s="14" t="s">
        <v>12</v>
      </c>
      <c r="I8" s="14" t="s">
        <v>13</v>
      </c>
      <c r="J8" s="14" t="s">
        <v>14</v>
      </c>
      <c r="K8" s="14"/>
      <c r="L8" s="16" t="s">
        <v>15</v>
      </c>
      <c r="M8" s="16"/>
      <c r="N8" s="16" t="s">
        <v>166</v>
      </c>
      <c r="O8" s="11"/>
      <c r="P8" s="17" t="s">
        <v>124</v>
      </c>
    </row>
    <row r="9" customFormat="false" ht="12.75" hidden="false" customHeight="false" outlineLevel="0" collapsed="false">
      <c r="B9" s="18" t="n">
        <f aca="false">1</f>
        <v>1</v>
      </c>
      <c r="C9" s="19" t="s">
        <v>18</v>
      </c>
      <c r="D9" s="20" t="n">
        <v>22319</v>
      </c>
      <c r="E9" s="21" t="n">
        <v>3500</v>
      </c>
      <c r="F9" s="22" t="s">
        <v>19</v>
      </c>
      <c r="G9" s="23" t="n">
        <v>1</v>
      </c>
      <c r="H9" s="329" t="n">
        <f aca="false">IF(G9=1,E9,0)</f>
        <v>3500</v>
      </c>
      <c r="L9" s="151" t="n">
        <v>2757</v>
      </c>
      <c r="M9" s="11"/>
      <c r="N9" s="330" t="n">
        <f aca="false">L9/H9</f>
        <v>0.787714285714286</v>
      </c>
      <c r="O9" s="29"/>
      <c r="R9" s="30" t="s">
        <v>12</v>
      </c>
    </row>
    <row r="10" customFormat="false" ht="18" hidden="false" customHeight="false" outlineLevel="0" collapsed="false">
      <c r="B10" s="18" t="n">
        <f aca="false">B9+1</f>
        <v>2</v>
      </c>
      <c r="C10" s="19" t="s">
        <v>20</v>
      </c>
      <c r="D10" s="11" t="n">
        <v>22298</v>
      </c>
      <c r="E10" s="21" t="n">
        <v>2747.533</v>
      </c>
      <c r="F10" s="22" t="s">
        <v>21</v>
      </c>
      <c r="G10" s="23" t="n">
        <v>1</v>
      </c>
      <c r="H10" s="329" t="n">
        <f aca="false">IF(G10=1,E10,0)</f>
        <v>2747.533</v>
      </c>
      <c r="L10" s="331" t="n">
        <v>2552</v>
      </c>
      <c r="M10" s="332" t="s">
        <v>143</v>
      </c>
      <c r="N10" s="333" t="n">
        <f aca="false">L10/H10</f>
        <v>0.928833247862719</v>
      </c>
      <c r="O10" s="33"/>
      <c r="P10" s="56" t="s">
        <v>22</v>
      </c>
      <c r="Q10" s="57" t="s">
        <v>95</v>
      </c>
    </row>
    <row r="11" customFormat="false" ht="20.25" hidden="false" customHeight="false" outlineLevel="0" collapsed="false">
      <c r="B11" s="18" t="n">
        <f aca="false">B10+1</f>
        <v>3</v>
      </c>
      <c r="C11" s="19" t="s">
        <v>98</v>
      </c>
      <c r="D11" s="11" t="n">
        <v>102817</v>
      </c>
      <c r="E11" s="98" t="n">
        <v>2000</v>
      </c>
      <c r="F11" s="22" t="s">
        <v>25</v>
      </c>
      <c r="G11" s="23" t="n">
        <v>1</v>
      </c>
      <c r="H11" s="329" t="n">
        <f aca="false">IF(G11=1,E11,0)</f>
        <v>2000</v>
      </c>
      <c r="L11" s="151" t="n">
        <f aca="false">736.8+601</f>
        <v>1337.8</v>
      </c>
      <c r="M11" s="9"/>
      <c r="N11" s="330" t="n">
        <f aca="false">L11/H11</f>
        <v>0.6689</v>
      </c>
      <c r="O11" s="52"/>
      <c r="P11" s="56" t="s">
        <v>26</v>
      </c>
      <c r="Q11" s="57" t="s">
        <v>27</v>
      </c>
    </row>
    <row r="12" customFormat="false" ht="12.75" hidden="false" customHeight="false" outlineLevel="0" collapsed="false">
      <c r="B12" s="18" t="n">
        <f aca="false">B11+1</f>
        <v>4</v>
      </c>
      <c r="C12" s="40" t="s">
        <v>167</v>
      </c>
      <c r="D12" s="11" t="n">
        <v>102831</v>
      </c>
      <c r="E12" s="98" t="n">
        <v>1500</v>
      </c>
      <c r="F12" s="22" t="s">
        <v>21</v>
      </c>
      <c r="G12" s="23" t="n">
        <v>1</v>
      </c>
      <c r="H12" s="329" t="n">
        <f aca="false">IF(G12=1,E12,0)</f>
        <v>1500</v>
      </c>
      <c r="L12" s="151" t="n">
        <v>1086</v>
      </c>
      <c r="N12" s="330" t="n">
        <f aca="false">L12/H12</f>
        <v>0.724</v>
      </c>
      <c r="O12" s="66"/>
      <c r="P12" s="23" t="s">
        <v>31</v>
      </c>
      <c r="Q12" s="53" t="s">
        <v>32</v>
      </c>
    </row>
    <row r="13" customFormat="false" ht="12.75" hidden="false" customHeight="false" outlineLevel="0" collapsed="false">
      <c r="B13" s="18" t="n">
        <f aca="false">B12+1</f>
        <v>5</v>
      </c>
      <c r="C13" s="19" t="s">
        <v>168</v>
      </c>
      <c r="D13" s="11" t="n">
        <v>22305</v>
      </c>
      <c r="E13" s="21" t="n">
        <v>1000</v>
      </c>
      <c r="F13" s="22" t="s">
        <v>19</v>
      </c>
      <c r="G13" s="23" t="n">
        <v>1</v>
      </c>
      <c r="H13" s="329" t="n">
        <f aca="false">IF(G13=1,E13,0)</f>
        <v>1000</v>
      </c>
      <c r="L13" s="151" t="n">
        <v>797</v>
      </c>
      <c r="N13" s="330" t="n">
        <f aca="false">L13/H13</f>
        <v>0.797</v>
      </c>
      <c r="O13" s="42"/>
      <c r="P13" s="56" t="s">
        <v>33</v>
      </c>
      <c r="Q13" s="57" t="s">
        <v>34</v>
      </c>
      <c r="R13" s="58"/>
    </row>
    <row r="14" customFormat="false" ht="12.75" hidden="false" customHeight="false" outlineLevel="0" collapsed="false">
      <c r="B14" s="18" t="n">
        <f aca="false">B13+1</f>
        <v>6</v>
      </c>
      <c r="C14" s="40" t="s">
        <v>99</v>
      </c>
      <c r="D14" s="11" t="n">
        <v>23281</v>
      </c>
      <c r="E14" s="98" t="n">
        <v>1000</v>
      </c>
      <c r="F14" s="22" t="s">
        <v>25</v>
      </c>
      <c r="G14" s="23" t="n">
        <v>1</v>
      </c>
      <c r="H14" s="329" t="n">
        <f aca="false">IF(G14=1,E14,0)</f>
        <v>1000</v>
      </c>
      <c r="L14" s="151" t="n">
        <v>516.7</v>
      </c>
      <c r="M14" s="58"/>
      <c r="N14" s="330" t="n">
        <f aca="false">L14/H14</f>
        <v>0.5167</v>
      </c>
      <c r="O14" s="42"/>
      <c r="P14" s="56" t="s">
        <v>36</v>
      </c>
      <c r="Q14" s="57" t="s">
        <v>37</v>
      </c>
      <c r="R14" s="58"/>
    </row>
    <row r="15" customFormat="false" ht="20.25" hidden="false" customHeight="false" outlineLevel="0" collapsed="false">
      <c r="B15" s="18" t="n">
        <f aca="false">B14+1</f>
        <v>7</v>
      </c>
      <c r="C15" s="40" t="s">
        <v>99</v>
      </c>
      <c r="D15" s="11" t="n">
        <v>23282</v>
      </c>
      <c r="E15" s="98" t="n">
        <v>500</v>
      </c>
      <c r="F15" s="22" t="s">
        <v>25</v>
      </c>
      <c r="G15" s="23" t="n">
        <v>1</v>
      </c>
      <c r="H15" s="329" t="n">
        <f aca="false">IF(G15=1,E15,0)</f>
        <v>500</v>
      </c>
      <c r="L15" s="151" t="n">
        <v>329.7</v>
      </c>
      <c r="M15" s="58"/>
      <c r="N15" s="330" t="n">
        <f aca="false">L15/H15</f>
        <v>0.6594</v>
      </c>
      <c r="O15" s="52"/>
      <c r="P15" s="56" t="s">
        <v>38</v>
      </c>
      <c r="Q15" s="57" t="s">
        <v>39</v>
      </c>
    </row>
    <row r="16" customFormat="false" ht="12.75" hidden="false" customHeight="false" outlineLevel="0" collapsed="false">
      <c r="B16" s="18" t="n">
        <f aca="false">B15+1</f>
        <v>8</v>
      </c>
      <c r="C16" s="19" t="s">
        <v>41</v>
      </c>
      <c r="D16" s="11" t="n">
        <v>22307</v>
      </c>
      <c r="E16" s="21" t="n">
        <v>267.547</v>
      </c>
      <c r="F16" s="22" t="s">
        <v>42</v>
      </c>
      <c r="G16" s="23" t="n">
        <v>1</v>
      </c>
      <c r="H16" s="329" t="n">
        <f aca="false">IF(G16=1,E16,0)</f>
        <v>267.547</v>
      </c>
      <c r="L16" s="334" t="n">
        <v>191.3</v>
      </c>
      <c r="M16" s="58"/>
      <c r="N16" s="330" t="n">
        <f aca="false">L16/H16</f>
        <v>0.715014558189776</v>
      </c>
      <c r="O16" s="66"/>
    </row>
    <row r="17" customFormat="false" ht="20.25" hidden="false" customHeight="false" outlineLevel="0" collapsed="false">
      <c r="B17" s="18" t="n">
        <f aca="false">B16+1</f>
        <v>9</v>
      </c>
      <c r="C17" s="19" t="s">
        <v>147</v>
      </c>
      <c r="D17" s="11" t="n">
        <v>22333</v>
      </c>
      <c r="E17" s="21" t="n">
        <v>202</v>
      </c>
      <c r="F17" s="22" t="s">
        <v>19</v>
      </c>
      <c r="G17" s="23" t="n">
        <v>1</v>
      </c>
      <c r="H17" s="329" t="n">
        <f aca="false">IF(G17=1,E17,0)</f>
        <v>202</v>
      </c>
      <c r="L17" s="151" t="n">
        <v>154.5</v>
      </c>
      <c r="M17" s="58"/>
      <c r="N17" s="330" t="n">
        <f aca="false">L17/H17</f>
        <v>0.764851485148515</v>
      </c>
      <c r="O17" s="52"/>
    </row>
    <row r="18" customFormat="false" ht="12.75" hidden="false" customHeight="false" outlineLevel="0" collapsed="false">
      <c r="B18" s="18" t="n">
        <f aca="false">B17+1</f>
        <v>10</v>
      </c>
      <c r="C18" s="19" t="s">
        <v>169</v>
      </c>
      <c r="D18" s="11" t="n">
        <v>102815</v>
      </c>
      <c r="E18" s="21" t="n">
        <v>100</v>
      </c>
      <c r="F18" s="22" t="s">
        <v>25</v>
      </c>
      <c r="G18" s="23" t="n">
        <v>1</v>
      </c>
      <c r="H18" s="329" t="n">
        <f aca="false">IF(G18=1,E18,0)</f>
        <v>100</v>
      </c>
      <c r="L18" s="151" t="n">
        <v>80.3</v>
      </c>
      <c r="M18" s="58"/>
      <c r="N18" s="330" t="n">
        <f aca="false">L18/H18</f>
        <v>0.803</v>
      </c>
      <c r="O18" s="66"/>
    </row>
    <row r="19" customFormat="false" ht="12.75" hidden="false" customHeight="false" outlineLevel="0" collapsed="false">
      <c r="B19" s="18" t="n">
        <f aca="false">B18+1</f>
        <v>11</v>
      </c>
      <c r="C19" s="0" t="s">
        <v>170</v>
      </c>
      <c r="D19" s="11" t="n">
        <v>22297</v>
      </c>
      <c r="E19" s="78" t="n">
        <v>50</v>
      </c>
      <c r="F19" s="22" t="s">
        <v>42</v>
      </c>
      <c r="G19" s="23" t="n">
        <v>1</v>
      </c>
      <c r="H19" s="335" t="n">
        <f aca="false">IF(G19=1,E19,0)</f>
        <v>50</v>
      </c>
      <c r="L19" s="151" t="n">
        <v>37.3</v>
      </c>
      <c r="M19" s="58"/>
      <c r="N19" s="330" t="n">
        <f aca="false">L19/H19</f>
        <v>0.746</v>
      </c>
      <c r="O19" s="66"/>
    </row>
    <row r="20" customFormat="false" ht="12.75" hidden="false" customHeight="false" outlineLevel="0" collapsed="false">
      <c r="G20" s="77" t="s">
        <v>48</v>
      </c>
    </row>
    <row r="21" customFormat="false" ht="12.75" hidden="false" customHeight="false" outlineLevel="0" collapsed="false">
      <c r="H21" s="336" t="n">
        <f aca="false">SUM(H9:H19)</f>
        <v>12867.08</v>
      </c>
      <c r="L21" s="81" t="n">
        <f aca="false">SUM(L9:L19)</f>
        <v>9839.6</v>
      </c>
      <c r="M21" s="58"/>
      <c r="N21" s="82" t="n">
        <f aca="false">L21/H21</f>
        <v>0.764711185443784</v>
      </c>
    </row>
    <row r="23" customFormat="false" ht="12.75" hidden="false" customHeight="false" outlineLevel="0" collapsed="false">
      <c r="R23" s="30" t="s">
        <v>13</v>
      </c>
    </row>
    <row r="24" customFormat="false" ht="20.25" hidden="false" customHeight="false" outlineLevel="0" collapsed="false">
      <c r="B24" s="23" t="n">
        <f aca="false">1</f>
        <v>1</v>
      </c>
      <c r="C24" s="19" t="s">
        <v>30</v>
      </c>
      <c r="D24" s="11" t="n">
        <v>23613</v>
      </c>
      <c r="E24" s="87" t="n">
        <f aca="false">6009.08+1000+752.136</f>
        <v>7761.216</v>
      </c>
      <c r="F24" s="22" t="s">
        <v>21</v>
      </c>
      <c r="G24" s="23" t="n">
        <v>4</v>
      </c>
      <c r="H24" s="88"/>
      <c r="I24" s="329" t="n">
        <f aca="false">IF(G24=4,E24,0)</f>
        <v>7761.216</v>
      </c>
      <c r="L24" s="151" t="n">
        <v>5287.5</v>
      </c>
      <c r="M24" s="58"/>
      <c r="N24" s="330" t="n">
        <f aca="false">L24/I24</f>
        <v>0.681272109937412</v>
      </c>
      <c r="O24" s="52"/>
      <c r="P24" s="56" t="s">
        <v>22</v>
      </c>
      <c r="Q24" s="97" t="s">
        <v>50</v>
      </c>
    </row>
    <row r="25" customFormat="false" ht="12.75" hidden="false" customHeight="false" outlineLevel="0" collapsed="false">
      <c r="B25" s="23" t="n">
        <f aca="false">B24+1</f>
        <v>2</v>
      </c>
      <c r="C25" s="19" t="s">
        <v>102</v>
      </c>
      <c r="D25" s="11" t="n">
        <v>22337</v>
      </c>
      <c r="E25" s="21" t="n">
        <v>6400</v>
      </c>
      <c r="F25" s="22" t="s">
        <v>42</v>
      </c>
      <c r="G25" s="23" t="n">
        <v>4</v>
      </c>
      <c r="H25" s="88"/>
      <c r="I25" s="329" t="n">
        <f aca="false">IF(G25=4,E25,0)</f>
        <v>6400</v>
      </c>
      <c r="L25" s="151" t="n">
        <v>4853.4</v>
      </c>
      <c r="M25" s="58"/>
      <c r="N25" s="330" t="n">
        <f aca="false">L25/I25</f>
        <v>0.75834375</v>
      </c>
      <c r="O25" s="66"/>
      <c r="P25" s="56" t="s">
        <v>26</v>
      </c>
      <c r="Q25" s="97" t="s">
        <v>50</v>
      </c>
    </row>
    <row r="26" customFormat="false" ht="20.25" hidden="false" customHeight="false" outlineLevel="0" collapsed="false">
      <c r="B26" s="23" t="n">
        <f aca="false">B25+1</f>
        <v>3</v>
      </c>
      <c r="C26" s="19" t="s">
        <v>104</v>
      </c>
      <c r="D26" s="11" t="n">
        <v>23544</v>
      </c>
      <c r="E26" s="21" t="n">
        <v>2200</v>
      </c>
      <c r="F26" s="22" t="s">
        <v>42</v>
      </c>
      <c r="G26" s="23" t="n">
        <v>4</v>
      </c>
      <c r="H26" s="88"/>
      <c r="I26" s="329" t="n">
        <f aca="false">IF(G26=4,E26,0)</f>
        <v>2200</v>
      </c>
      <c r="L26" s="151" t="n">
        <v>1479.8</v>
      </c>
      <c r="M26" s="58"/>
      <c r="N26" s="330" t="n">
        <f aca="false">L26/I26</f>
        <v>0.672636363636364</v>
      </c>
      <c r="O26" s="52"/>
      <c r="P26" s="56" t="s">
        <v>31</v>
      </c>
      <c r="Q26" s="97" t="s">
        <v>53</v>
      </c>
    </row>
    <row r="27" customFormat="false" ht="12.75" hidden="false" customHeight="false" outlineLevel="0" collapsed="false">
      <c r="B27" s="23" t="n">
        <f aca="false">B26+1</f>
        <v>4</v>
      </c>
      <c r="C27" s="19" t="s">
        <v>77</v>
      </c>
      <c r="D27" s="11" t="n">
        <v>22335</v>
      </c>
      <c r="E27" s="21" t="n">
        <v>864.828</v>
      </c>
      <c r="F27" s="22" t="s">
        <v>19</v>
      </c>
      <c r="G27" s="23" t="n">
        <v>4</v>
      </c>
      <c r="H27" s="88"/>
      <c r="I27" s="329" t="n">
        <f aca="false">IF(G27=4,E27,0)</f>
        <v>864.828</v>
      </c>
      <c r="L27" s="151" t="n">
        <v>629.4</v>
      </c>
      <c r="M27" s="58"/>
      <c r="N27" s="330" t="n">
        <f aca="false">L27/I27</f>
        <v>0.727774771399631</v>
      </c>
      <c r="O27" s="66"/>
      <c r="P27" s="56" t="s">
        <v>33</v>
      </c>
      <c r="Q27" s="57" t="s">
        <v>57</v>
      </c>
    </row>
    <row r="28" customFormat="false" ht="12.75" hidden="false" customHeight="false" outlineLevel="0" collapsed="false">
      <c r="B28" s="23" t="n">
        <f aca="false">B27+1</f>
        <v>5</v>
      </c>
      <c r="C28" s="19" t="s">
        <v>58</v>
      </c>
      <c r="D28" s="11" t="n">
        <v>22334</v>
      </c>
      <c r="E28" s="21" t="n">
        <v>750</v>
      </c>
      <c r="F28" s="22" t="s">
        <v>42</v>
      </c>
      <c r="G28" s="23" t="n">
        <v>4</v>
      </c>
      <c r="H28" s="88"/>
      <c r="I28" s="329" t="n">
        <f aca="false">IF(G28=4,E28,0)</f>
        <v>750</v>
      </c>
      <c r="L28" s="151" t="n">
        <v>607.9</v>
      </c>
      <c r="M28" s="58"/>
      <c r="N28" s="330" t="n">
        <f aca="false">L28/I28</f>
        <v>0.810533333333333</v>
      </c>
      <c r="O28" s="66"/>
      <c r="P28" s="56" t="s">
        <v>36</v>
      </c>
      <c r="Q28" s="57" t="s">
        <v>37</v>
      </c>
    </row>
    <row r="29" customFormat="false" ht="20.25" hidden="false" customHeight="false" outlineLevel="0" collapsed="false">
      <c r="B29" s="337" t="n">
        <f aca="false">B28+1</f>
        <v>6</v>
      </c>
      <c r="C29" s="338" t="s">
        <v>59</v>
      </c>
      <c r="D29" s="339" t="n">
        <v>103665</v>
      </c>
      <c r="E29" s="340" t="n">
        <v>585.359</v>
      </c>
      <c r="F29" s="337" t="s">
        <v>171</v>
      </c>
      <c r="G29" s="337" t="n">
        <v>4</v>
      </c>
      <c r="H29" s="88"/>
      <c r="I29" s="341" t="n">
        <f aca="false">IF(G29=4,E29,0)</f>
        <v>585.359</v>
      </c>
      <c r="L29" s="151" t="n">
        <v>514</v>
      </c>
      <c r="M29" s="58"/>
      <c r="N29" s="330" t="n">
        <f aca="false">L29/I29</f>
        <v>0.878093614346068</v>
      </c>
      <c r="O29" s="52"/>
      <c r="P29" s="56" t="s">
        <v>38</v>
      </c>
      <c r="Q29" s="57" t="s">
        <v>39</v>
      </c>
    </row>
    <row r="30" customFormat="false" ht="18" hidden="false" customHeight="false" outlineLevel="0" collapsed="false">
      <c r="B30" s="342" t="n">
        <f aca="false">1</f>
        <v>1</v>
      </c>
      <c r="C30" s="343" t="s">
        <v>61</v>
      </c>
      <c r="D30" s="344" t="n">
        <v>22309</v>
      </c>
      <c r="E30" s="345" t="n">
        <v>202.51</v>
      </c>
      <c r="F30" s="346" t="s">
        <v>21</v>
      </c>
      <c r="G30" s="346" t="n">
        <v>4</v>
      </c>
      <c r="H30" s="88"/>
      <c r="I30" s="347" t="n">
        <f aca="false">IF(G30=4,E30,0)</f>
        <v>202.51</v>
      </c>
      <c r="L30" s="119" t="n">
        <v>0</v>
      </c>
      <c r="M30" s="348"/>
      <c r="N30" s="349" t="n">
        <f aca="false">L30/I30</f>
        <v>0</v>
      </c>
      <c r="O30" s="66"/>
    </row>
    <row r="31" customFormat="false" ht="20.25" hidden="false" customHeight="false" outlineLevel="0" collapsed="false">
      <c r="B31" s="23" t="n">
        <f aca="false">B29+1</f>
        <v>7</v>
      </c>
      <c r="C31" s="19" t="s">
        <v>60</v>
      </c>
      <c r="D31" s="11" t="n">
        <v>22312</v>
      </c>
      <c r="E31" s="21" t="n">
        <v>136</v>
      </c>
      <c r="F31" s="22" t="s">
        <v>42</v>
      </c>
      <c r="G31" s="23" t="n">
        <v>4</v>
      </c>
      <c r="H31" s="88"/>
      <c r="I31" s="329" t="n">
        <f aca="false">IF(G31=4,E31,0)</f>
        <v>136</v>
      </c>
      <c r="L31" s="151" t="n">
        <v>101.1</v>
      </c>
      <c r="N31" s="330" t="n">
        <f aca="false">L31/I31</f>
        <v>0.743382352941176</v>
      </c>
      <c r="O31" s="52"/>
      <c r="R31" s="297"/>
    </row>
    <row r="32" customFormat="false" ht="20.25" hidden="false" customHeight="false" outlineLevel="0" collapsed="false">
      <c r="B32" s="23" t="n">
        <f aca="false">B31+1</f>
        <v>8</v>
      </c>
      <c r="C32" s="19" t="s">
        <v>60</v>
      </c>
      <c r="D32" s="11" t="n">
        <v>103139</v>
      </c>
      <c r="E32" s="21" t="n">
        <v>114</v>
      </c>
      <c r="F32" s="22" t="s">
        <v>42</v>
      </c>
      <c r="G32" s="23" t="n">
        <v>4</v>
      </c>
      <c r="H32" s="88"/>
      <c r="I32" s="329" t="n">
        <f aca="false">IF(G32=4,E32,0)</f>
        <v>114</v>
      </c>
      <c r="L32" s="151" t="n">
        <v>85.4</v>
      </c>
      <c r="M32" s="350"/>
      <c r="N32" s="330" t="n">
        <f aca="false">L32/I32</f>
        <v>0.749122807017544</v>
      </c>
      <c r="O32" s="52"/>
      <c r="R32" s="125"/>
    </row>
    <row r="33" customFormat="false" ht="12.75" hidden="false" customHeight="false" outlineLevel="0" collapsed="false">
      <c r="B33" s="342" t="n">
        <f aca="false">B30+1</f>
        <v>2</v>
      </c>
      <c r="C33" s="343" t="s">
        <v>62</v>
      </c>
      <c r="D33" s="344" t="n">
        <v>22315</v>
      </c>
      <c r="E33" s="345" t="n">
        <v>79.449</v>
      </c>
      <c r="F33" s="346" t="s">
        <v>42</v>
      </c>
      <c r="G33" s="346" t="n">
        <v>4</v>
      </c>
      <c r="H33" s="88"/>
      <c r="I33" s="347" t="n">
        <f aca="false">IF(G33=4,E33,0)</f>
        <v>79.449</v>
      </c>
      <c r="L33" s="119" t="n">
        <v>0</v>
      </c>
      <c r="M33" s="58"/>
      <c r="N33" s="349" t="n">
        <f aca="false">L33/I33</f>
        <v>0</v>
      </c>
      <c r="O33" s="66"/>
    </row>
    <row r="34" customFormat="false" ht="12.75" hidden="false" customHeight="false" outlineLevel="0" collapsed="false">
      <c r="B34" s="342" t="n">
        <f aca="false">B33+1</f>
        <v>3</v>
      </c>
      <c r="C34" s="343" t="s">
        <v>131</v>
      </c>
      <c r="D34" s="344" t="n">
        <v>22322</v>
      </c>
      <c r="E34" s="351" t="n">
        <v>75</v>
      </c>
      <c r="F34" s="346" t="s">
        <v>42</v>
      </c>
      <c r="G34" s="346" t="n">
        <v>4</v>
      </c>
      <c r="H34" s="88"/>
      <c r="I34" s="347" t="n">
        <f aca="false">IF(G34=4,E34,0)</f>
        <v>75</v>
      </c>
      <c r="L34" s="119" t="n">
        <v>0</v>
      </c>
      <c r="N34" s="349" t="n">
        <f aca="false">L34/I34</f>
        <v>0</v>
      </c>
      <c r="O34" s="66"/>
    </row>
    <row r="35" customFormat="false" ht="20.25" hidden="false" customHeight="false" outlineLevel="0" collapsed="false">
      <c r="B35" s="23" t="n">
        <f aca="false">B32+1</f>
        <v>9</v>
      </c>
      <c r="C35" s="40" t="s">
        <v>172</v>
      </c>
      <c r="D35" s="11" t="n">
        <v>102942</v>
      </c>
      <c r="E35" s="98" t="n">
        <v>50</v>
      </c>
      <c r="F35" s="22" t="s">
        <v>21</v>
      </c>
      <c r="G35" s="23" t="n">
        <v>4</v>
      </c>
      <c r="H35" s="88"/>
      <c r="I35" s="329" t="n">
        <f aca="false">IF(G35=4,E35,0)</f>
        <v>50</v>
      </c>
      <c r="L35" s="151" t="n">
        <v>34</v>
      </c>
      <c r="M35" s="58"/>
      <c r="N35" s="330" t="n">
        <f aca="false">L35/I35</f>
        <v>0.68</v>
      </c>
      <c r="O35" s="52"/>
    </row>
    <row r="36" customFormat="false" ht="12.75" hidden="false" customHeight="false" outlineLevel="0" collapsed="false">
      <c r="B36" s="23" t="n">
        <f aca="false">B35+1</f>
        <v>10</v>
      </c>
      <c r="C36" s="19" t="s">
        <v>63</v>
      </c>
      <c r="D36" s="22" t="n">
        <v>22344</v>
      </c>
      <c r="E36" s="21" t="n">
        <v>50</v>
      </c>
      <c r="F36" s="22" t="s">
        <v>19</v>
      </c>
      <c r="G36" s="23" t="n">
        <v>4</v>
      </c>
      <c r="H36" s="88"/>
      <c r="I36" s="329" t="n">
        <f aca="false">IF(G36=4,E36,0)</f>
        <v>50</v>
      </c>
      <c r="L36" s="334" t="n">
        <v>50</v>
      </c>
      <c r="N36" s="330" t="n">
        <f aca="false">L36/I36</f>
        <v>1</v>
      </c>
      <c r="O36" s="66"/>
    </row>
    <row r="37" customFormat="false" ht="12.75" hidden="false" customHeight="false" outlineLevel="0" collapsed="false">
      <c r="B37" s="342" t="n">
        <f aca="false">B34+1</f>
        <v>4</v>
      </c>
      <c r="C37" s="343" t="s">
        <v>64</v>
      </c>
      <c r="D37" s="344" t="n">
        <v>22311</v>
      </c>
      <c r="E37" s="345" t="n">
        <v>45</v>
      </c>
      <c r="F37" s="346" t="s">
        <v>19</v>
      </c>
      <c r="G37" s="346" t="n">
        <v>4</v>
      </c>
      <c r="H37" s="88"/>
      <c r="I37" s="347" t="n">
        <f aca="false">IF(G37=4,E37,0)</f>
        <v>45</v>
      </c>
      <c r="L37" s="119" t="n">
        <v>0</v>
      </c>
      <c r="N37" s="349" t="n">
        <f aca="false">L37/I37</f>
        <v>0</v>
      </c>
      <c r="O37" s="66"/>
    </row>
    <row r="38" customFormat="false" ht="12.75" hidden="false" customHeight="false" outlineLevel="0" collapsed="false">
      <c r="B38" s="342" t="n">
        <f aca="false">B37+1</f>
        <v>5</v>
      </c>
      <c r="C38" s="343" t="s">
        <v>65</v>
      </c>
      <c r="D38" s="344" t="n">
        <v>22323</v>
      </c>
      <c r="E38" s="345" t="n">
        <v>45</v>
      </c>
      <c r="F38" s="346" t="s">
        <v>19</v>
      </c>
      <c r="G38" s="346" t="n">
        <v>4</v>
      </c>
      <c r="H38" s="88"/>
      <c r="I38" s="347" t="n">
        <f aca="false">IF(G38=4,E38,0)</f>
        <v>45</v>
      </c>
      <c r="L38" s="119" t="n">
        <v>0</v>
      </c>
      <c r="M38" s="11"/>
      <c r="N38" s="349" t="n">
        <f aca="false">L38/I38</f>
        <v>0</v>
      </c>
      <c r="O38" s="66"/>
    </row>
    <row r="39" customFormat="false" ht="12.75" hidden="false" customHeight="false" outlineLevel="0" collapsed="false">
      <c r="B39" s="342" t="n">
        <f aca="false">B38+1</f>
        <v>6</v>
      </c>
      <c r="C39" s="343" t="s">
        <v>67</v>
      </c>
      <c r="D39" s="344" t="n">
        <v>22303</v>
      </c>
      <c r="E39" s="345" t="n">
        <v>32.4</v>
      </c>
      <c r="F39" s="346" t="s">
        <v>42</v>
      </c>
      <c r="G39" s="346" t="n">
        <v>4</v>
      </c>
      <c r="H39" s="88"/>
      <c r="I39" s="347" t="n">
        <f aca="false">IF(G39=4,E39,0)</f>
        <v>32.4</v>
      </c>
      <c r="L39" s="119" t="n">
        <v>0</v>
      </c>
      <c r="M39" s="352"/>
      <c r="N39" s="349" t="n">
        <f aca="false">L39/I39</f>
        <v>0</v>
      </c>
      <c r="O39" s="66"/>
    </row>
    <row r="40" customFormat="false" ht="20.25" hidden="false" customHeight="false" outlineLevel="0" collapsed="false">
      <c r="B40" s="342" t="n">
        <f aca="false">B39+1</f>
        <v>7</v>
      </c>
      <c r="C40" s="343" t="s">
        <v>68</v>
      </c>
      <c r="D40" s="344" t="n">
        <v>22328</v>
      </c>
      <c r="E40" s="345" t="n">
        <v>25</v>
      </c>
      <c r="F40" s="346" t="s">
        <v>19</v>
      </c>
      <c r="G40" s="346" t="n">
        <v>4</v>
      </c>
      <c r="H40" s="88"/>
      <c r="I40" s="347" t="n">
        <f aca="false">IF(G40=4,E40,0)</f>
        <v>25</v>
      </c>
      <c r="L40" s="128" t="n">
        <v>0</v>
      </c>
      <c r="M40" s="352"/>
      <c r="N40" s="349" t="n">
        <f aca="false">L40/I40</f>
        <v>0</v>
      </c>
      <c r="O40" s="52"/>
    </row>
    <row r="41" customFormat="false" ht="12.75" hidden="false" customHeight="false" outlineLevel="0" collapsed="false">
      <c r="B41" s="342" t="n">
        <f aca="false">B40+1</f>
        <v>8</v>
      </c>
      <c r="C41" s="343" t="s">
        <v>69</v>
      </c>
      <c r="D41" s="344" t="n">
        <v>22302</v>
      </c>
      <c r="E41" s="345" t="n">
        <v>18</v>
      </c>
      <c r="F41" s="346" t="s">
        <v>42</v>
      </c>
      <c r="G41" s="346" t="n">
        <v>4</v>
      </c>
      <c r="H41" s="88"/>
      <c r="I41" s="347" t="n">
        <f aca="false">IF(G41=4,E41,0)</f>
        <v>18</v>
      </c>
      <c r="L41" s="119" t="n">
        <v>0</v>
      </c>
      <c r="M41" s="352"/>
      <c r="N41" s="349" t="n">
        <f aca="false">L41/I41</f>
        <v>0</v>
      </c>
      <c r="O41" s="66"/>
    </row>
    <row r="42" customFormat="false" ht="18" hidden="false" customHeight="false" outlineLevel="0" collapsed="false">
      <c r="B42" s="342" t="n">
        <f aca="false">B41+1</f>
        <v>9</v>
      </c>
      <c r="C42" s="343" t="s">
        <v>84</v>
      </c>
      <c r="D42" s="344" t="n">
        <v>22332</v>
      </c>
      <c r="E42" s="345" t="n">
        <v>15</v>
      </c>
      <c r="F42" s="346" t="s">
        <v>42</v>
      </c>
      <c r="G42" s="346" t="n">
        <v>4</v>
      </c>
      <c r="H42" s="88"/>
      <c r="I42" s="347" t="n">
        <f aca="false">IF(G42=4,E42,0)</f>
        <v>15</v>
      </c>
      <c r="L42" s="119" t="n">
        <v>0</v>
      </c>
      <c r="M42" s="350"/>
      <c r="N42" s="349" t="n">
        <f aca="false">L42/I42</f>
        <v>0</v>
      </c>
      <c r="O42" s="66"/>
    </row>
    <row r="43" customFormat="false" ht="20.25" hidden="false" customHeight="false" outlineLevel="0" collapsed="false">
      <c r="B43" s="342" t="n">
        <f aca="false">B42+1</f>
        <v>10</v>
      </c>
      <c r="C43" s="343" t="s">
        <v>70</v>
      </c>
      <c r="D43" s="344" t="n">
        <v>22368</v>
      </c>
      <c r="E43" s="345" t="n">
        <v>15</v>
      </c>
      <c r="F43" s="346" t="s">
        <v>21</v>
      </c>
      <c r="G43" s="346" t="n">
        <v>4</v>
      </c>
      <c r="H43" s="88"/>
      <c r="I43" s="347" t="n">
        <f aca="false">IF(G43=4,E43,0)</f>
        <v>15</v>
      </c>
      <c r="L43" s="119" t="n">
        <v>0</v>
      </c>
      <c r="N43" s="349" t="n">
        <f aca="false">L43/I43</f>
        <v>0</v>
      </c>
      <c r="O43" s="52"/>
    </row>
    <row r="44" customFormat="false" ht="12.75" hidden="false" customHeight="false" outlineLevel="0" collapsed="false">
      <c r="B44" s="342" t="n">
        <f aca="false">B43+1</f>
        <v>11</v>
      </c>
      <c r="C44" s="343" t="s">
        <v>71</v>
      </c>
      <c r="D44" s="344" t="n">
        <v>22324</v>
      </c>
      <c r="E44" s="345" t="n">
        <v>15</v>
      </c>
      <c r="F44" s="346" t="s">
        <v>21</v>
      </c>
      <c r="G44" s="346" t="n">
        <v>4</v>
      </c>
      <c r="H44" s="88"/>
      <c r="I44" s="347" t="n">
        <f aca="false">IF(G44=4,E44,0)</f>
        <v>15</v>
      </c>
      <c r="L44" s="119" t="n">
        <v>0</v>
      </c>
      <c r="N44" s="349" t="n">
        <f aca="false">L44/I44</f>
        <v>0</v>
      </c>
      <c r="O44" s="66"/>
    </row>
    <row r="45" customFormat="false" ht="12.75" hidden="false" customHeight="false" outlineLevel="0" collapsed="false">
      <c r="B45" s="23" t="n">
        <f aca="false">B36+1</f>
        <v>11</v>
      </c>
      <c r="C45" s="19" t="s">
        <v>72</v>
      </c>
      <c r="D45" s="11" t="n">
        <v>22301</v>
      </c>
      <c r="E45" s="21" t="n">
        <v>13.777</v>
      </c>
      <c r="F45" s="22" t="s">
        <v>21</v>
      </c>
      <c r="G45" s="23" t="n">
        <v>4</v>
      </c>
      <c r="H45" s="88"/>
      <c r="I45" s="329" t="n">
        <f aca="false">IF(G45=4,E45,0)</f>
        <v>13.777</v>
      </c>
      <c r="L45" s="151" t="n">
        <v>12.8</v>
      </c>
      <c r="N45" s="330" t="n">
        <f aca="false">L45/I45</f>
        <v>0.929084706394716</v>
      </c>
      <c r="O45" s="66"/>
    </row>
    <row r="46" customFormat="false" ht="12.75" hidden="false" customHeight="false" outlineLevel="0" collapsed="false">
      <c r="B46" s="342" t="n">
        <f aca="false">B44+1</f>
        <v>12</v>
      </c>
      <c r="C46" s="343" t="s">
        <v>73</v>
      </c>
      <c r="D46" s="344" t="n">
        <v>22304</v>
      </c>
      <c r="E46" s="345" t="n">
        <v>10</v>
      </c>
      <c r="F46" s="346" t="s">
        <v>42</v>
      </c>
      <c r="G46" s="346" t="n">
        <v>4</v>
      </c>
      <c r="H46" s="88"/>
      <c r="I46" s="347" t="n">
        <f aca="false">IF(G46=4,E46,0)</f>
        <v>10</v>
      </c>
      <c r="L46" s="119" t="n">
        <v>0</v>
      </c>
      <c r="N46" s="349" t="n">
        <f aca="false">L46/I46</f>
        <v>0</v>
      </c>
      <c r="O46" s="66"/>
    </row>
    <row r="47" customFormat="false" ht="12.75" hidden="false" customHeight="false" outlineLevel="0" collapsed="false">
      <c r="B47" s="342" t="n">
        <f aca="false">B46+1</f>
        <v>13</v>
      </c>
      <c r="C47" s="343" t="s">
        <v>74</v>
      </c>
      <c r="D47" s="344" t="n">
        <v>22327</v>
      </c>
      <c r="E47" s="353" t="n">
        <v>8</v>
      </c>
      <c r="F47" s="346" t="s">
        <v>19</v>
      </c>
      <c r="G47" s="346" t="n">
        <v>4</v>
      </c>
      <c r="H47" s="80"/>
      <c r="I47" s="354" t="n">
        <f aca="false">IF(G47=4,E47,0)</f>
        <v>8</v>
      </c>
      <c r="L47" s="119" t="n">
        <v>0</v>
      </c>
      <c r="N47" s="349" t="n">
        <f aca="false">L47/I47</f>
        <v>0</v>
      </c>
      <c r="O47" s="66"/>
    </row>
    <row r="48" customFormat="false" ht="12.75" hidden="false" customHeight="false" outlineLevel="0" collapsed="false">
      <c r="G48" s="77" t="s">
        <v>75</v>
      </c>
      <c r="H48" s="80"/>
      <c r="I48" s="336" t="n">
        <f aca="false">SUM(I24:I29,I31:I32,I35:I36,I45)</f>
        <v>18925.18</v>
      </c>
      <c r="L48" s="325" t="n">
        <f aca="false">SUM(L24:L47)</f>
        <v>13655.3</v>
      </c>
      <c r="N48" s="82" t="n">
        <f aca="false">L48/I48</f>
        <v>0.721541353899937</v>
      </c>
    </row>
    <row r="50" customFormat="false" ht="12.75" hidden="false" customHeight="false" outlineLevel="0" collapsed="false">
      <c r="R50" s="30" t="s">
        <v>14</v>
      </c>
    </row>
    <row r="51" customFormat="false" ht="12.75" hidden="false" customHeight="false" outlineLevel="0" collapsed="false">
      <c r="B51" s="138" t="n">
        <f aca="false">1</f>
        <v>1</v>
      </c>
      <c r="C51" s="19" t="s">
        <v>76</v>
      </c>
      <c r="D51" s="11" t="n">
        <v>22316</v>
      </c>
      <c r="E51" s="21" t="n">
        <v>6461.232</v>
      </c>
      <c r="F51" s="22" t="s">
        <v>19</v>
      </c>
      <c r="G51" s="23" t="n">
        <v>3</v>
      </c>
      <c r="J51" s="329" t="n">
        <f aca="false">IF(G51=3,E51,0)</f>
        <v>6461.232</v>
      </c>
      <c r="K51" s="329"/>
      <c r="L51" s="151" t="n">
        <v>5609</v>
      </c>
      <c r="N51" s="330" t="n">
        <f aca="false">L51/J51</f>
        <v>0.868100696585419</v>
      </c>
      <c r="O51" s="66"/>
      <c r="P51" s="56" t="s">
        <v>22</v>
      </c>
      <c r="Q51" s="97" t="s">
        <v>50</v>
      </c>
    </row>
    <row r="52" customFormat="false" ht="12.75" hidden="false" customHeight="false" outlineLevel="0" collapsed="false">
      <c r="B52" s="138" t="n">
        <f aca="false">B51+1</f>
        <v>2</v>
      </c>
      <c r="C52" s="40" t="s">
        <v>126</v>
      </c>
      <c r="D52" s="11" t="n">
        <v>102835</v>
      </c>
      <c r="E52" s="65" t="n">
        <v>3000</v>
      </c>
      <c r="F52" s="22" t="s">
        <v>25</v>
      </c>
      <c r="G52" s="23" t="n">
        <v>3</v>
      </c>
      <c r="J52" s="329" t="n">
        <f aca="false">IF(G52=3,E52,0)</f>
        <v>3000</v>
      </c>
      <c r="K52" s="329"/>
      <c r="L52" s="151" t="n">
        <v>2639</v>
      </c>
      <c r="N52" s="330" t="n">
        <f aca="false">L52/J52</f>
        <v>0.879666666666667</v>
      </c>
      <c r="O52" s="66"/>
      <c r="P52" s="56" t="s">
        <v>26</v>
      </c>
      <c r="Q52" s="97" t="s">
        <v>50</v>
      </c>
    </row>
    <row r="53" customFormat="false" ht="12.75" hidden="false" customHeight="false" outlineLevel="0" collapsed="false">
      <c r="B53" s="138" t="n">
        <f aca="false">B52+1</f>
        <v>3</v>
      </c>
      <c r="C53" s="19" t="s">
        <v>173</v>
      </c>
      <c r="D53" s="11" t="n">
        <v>22306</v>
      </c>
      <c r="E53" s="21" t="n">
        <v>888.25</v>
      </c>
      <c r="F53" s="22" t="s">
        <v>19</v>
      </c>
      <c r="G53" s="23" t="n">
        <v>3</v>
      </c>
      <c r="J53" s="329" t="n">
        <f aca="false">IF(G53=3,E53,0)</f>
        <v>888.25</v>
      </c>
      <c r="K53" s="329"/>
      <c r="L53" s="151" t="n">
        <v>583.5</v>
      </c>
      <c r="N53" s="330" t="n">
        <f aca="false">L53/J53</f>
        <v>0.656909653813679</v>
      </c>
      <c r="O53" s="66"/>
      <c r="P53" s="56" t="s">
        <v>31</v>
      </c>
      <c r="Q53" s="97" t="s">
        <v>53</v>
      </c>
    </row>
    <row r="54" customFormat="false" ht="12.75" hidden="false" customHeight="false" outlineLevel="0" collapsed="false">
      <c r="B54" s="138" t="n">
        <f aca="false">B53+1</f>
        <v>4</v>
      </c>
      <c r="C54" s="19" t="s">
        <v>154</v>
      </c>
      <c r="D54" s="11" t="n">
        <v>22313</v>
      </c>
      <c r="E54" s="21" t="n">
        <v>862.822</v>
      </c>
      <c r="F54" s="22" t="s">
        <v>19</v>
      </c>
      <c r="G54" s="23" t="n">
        <v>3</v>
      </c>
      <c r="J54" s="329" t="n">
        <f aca="false">IF(G54=3,E54,0)</f>
        <v>862.822</v>
      </c>
      <c r="K54" s="329"/>
      <c r="L54" s="334" t="n">
        <v>598.8</v>
      </c>
      <c r="N54" s="330" t="n">
        <f aca="false">L54/J54</f>
        <v>0.694001775569005</v>
      </c>
      <c r="O54" s="66"/>
      <c r="P54" s="56" t="s">
        <v>33</v>
      </c>
      <c r="Q54" s="57" t="s">
        <v>57</v>
      </c>
    </row>
    <row r="55" customFormat="false" ht="12.75" hidden="false" customHeight="false" outlineLevel="0" collapsed="false">
      <c r="B55" s="138" t="n">
        <f aca="false">B54+1</f>
        <v>5</v>
      </c>
      <c r="C55" s="19" t="s">
        <v>78</v>
      </c>
      <c r="D55" s="11" t="n">
        <v>22342</v>
      </c>
      <c r="E55" s="87" t="n">
        <v>500</v>
      </c>
      <c r="F55" s="22" t="s">
        <v>19</v>
      </c>
      <c r="G55" s="23" t="n">
        <v>3</v>
      </c>
      <c r="J55" s="335" t="n">
        <f aca="false">IF(G55=3,E55,0)</f>
        <v>500</v>
      </c>
      <c r="K55" s="335"/>
      <c r="L55" s="151" t="n">
        <v>376.7</v>
      </c>
      <c r="N55" s="330" t="n">
        <f aca="false">L55/J55</f>
        <v>0.7534</v>
      </c>
      <c r="O55" s="66"/>
      <c r="P55" s="56" t="s">
        <v>36</v>
      </c>
      <c r="Q55" s="57" t="s">
        <v>37</v>
      </c>
    </row>
    <row r="56" customFormat="false" ht="20.25" hidden="false" customHeight="false" outlineLevel="0" collapsed="false">
      <c r="B56" s="138" t="n">
        <f aca="false">B55+1</f>
        <v>6</v>
      </c>
      <c r="C56" s="19" t="s">
        <v>79</v>
      </c>
      <c r="D56" s="11" t="n">
        <v>22321</v>
      </c>
      <c r="E56" s="21" t="n">
        <v>400</v>
      </c>
      <c r="F56" s="22" t="s">
        <v>21</v>
      </c>
      <c r="G56" s="23" t="n">
        <v>3</v>
      </c>
      <c r="J56" s="329" t="n">
        <f aca="false">IF(G56=3,E56,0)</f>
        <v>400</v>
      </c>
      <c r="K56" s="329"/>
      <c r="L56" s="151" t="n">
        <v>299.7</v>
      </c>
      <c r="N56" s="330" t="n">
        <f aca="false">L56/J56</f>
        <v>0.74925</v>
      </c>
      <c r="O56" s="52"/>
      <c r="P56" s="56" t="s">
        <v>38</v>
      </c>
      <c r="Q56" s="57" t="s">
        <v>39</v>
      </c>
    </row>
    <row r="57" customFormat="false" ht="20.25" hidden="false" customHeight="false" outlineLevel="0" collapsed="false">
      <c r="B57" s="138" t="n">
        <f aca="false">B56+1</f>
        <v>7</v>
      </c>
      <c r="C57" s="19" t="s">
        <v>128</v>
      </c>
      <c r="D57" s="11" t="n">
        <v>22296</v>
      </c>
      <c r="E57" s="21" t="n">
        <v>300</v>
      </c>
      <c r="F57" s="22" t="s">
        <v>42</v>
      </c>
      <c r="G57" s="23" t="n">
        <v>3</v>
      </c>
      <c r="J57" s="329" t="n">
        <f aca="false">IF(G57=3,E57,0)</f>
        <v>300</v>
      </c>
      <c r="K57" s="329"/>
      <c r="L57" s="151" t="n">
        <v>190</v>
      </c>
      <c r="N57" s="330" t="n">
        <f aca="false">L57/J57</f>
        <v>0.633333333333333</v>
      </c>
      <c r="O57" s="52"/>
    </row>
    <row r="58" customFormat="false" ht="12.75" hidden="false" customHeight="false" outlineLevel="0" collapsed="false">
      <c r="B58" s="138" t="n">
        <f aca="false">B57+1</f>
        <v>8</v>
      </c>
      <c r="C58" s="40" t="s">
        <v>133</v>
      </c>
      <c r="D58" s="11" t="n">
        <v>102950</v>
      </c>
      <c r="E58" s="98" t="n">
        <v>300</v>
      </c>
      <c r="F58" s="22" t="s">
        <v>21</v>
      </c>
      <c r="G58" s="23" t="n">
        <v>3</v>
      </c>
      <c r="J58" s="329" t="n">
        <f aca="false">IF(G58=3,E58,0)</f>
        <v>300</v>
      </c>
      <c r="K58" s="329"/>
      <c r="L58" s="151" t="n">
        <v>230.5</v>
      </c>
      <c r="N58" s="330" t="n">
        <f aca="false">L58/J58</f>
        <v>0.768333333333333</v>
      </c>
      <c r="O58" s="66"/>
    </row>
    <row r="59" customFormat="false" ht="12.75" hidden="false" customHeight="false" outlineLevel="0" collapsed="false">
      <c r="B59" s="138" t="n">
        <f aca="false">B58+1</f>
        <v>9</v>
      </c>
      <c r="C59" s="19" t="s">
        <v>79</v>
      </c>
      <c r="D59" s="11" t="n">
        <v>102949</v>
      </c>
      <c r="E59" s="21" t="n">
        <v>200</v>
      </c>
      <c r="F59" s="22" t="s">
        <v>21</v>
      </c>
      <c r="G59" s="23" t="n">
        <v>3</v>
      </c>
      <c r="J59" s="329" t="n">
        <f aca="false">IF(G59=3,E59,0)</f>
        <v>200</v>
      </c>
      <c r="K59" s="329"/>
      <c r="L59" s="151" t="n">
        <v>152</v>
      </c>
      <c r="N59" s="330" t="n">
        <f aca="false">L59/J59</f>
        <v>0.76</v>
      </c>
      <c r="O59" s="66"/>
    </row>
    <row r="60" customFormat="false" ht="20.25" hidden="false" customHeight="false" outlineLevel="0" collapsed="false">
      <c r="B60" s="138" t="n">
        <f aca="false">B59+1</f>
        <v>10</v>
      </c>
      <c r="C60" s="19" t="s">
        <v>148</v>
      </c>
      <c r="D60" s="11" t="n">
        <v>22338</v>
      </c>
      <c r="E60" s="21" t="n">
        <v>155</v>
      </c>
      <c r="F60" s="22" t="s">
        <v>42</v>
      </c>
      <c r="G60" s="23" t="n">
        <v>3</v>
      </c>
      <c r="J60" s="329" t="n">
        <f aca="false">IF(G60=3,E60,0)</f>
        <v>155</v>
      </c>
      <c r="K60" s="329"/>
      <c r="L60" s="151" t="n">
        <v>125.9</v>
      </c>
      <c r="N60" s="330" t="n">
        <f aca="false">L60/J60</f>
        <v>0.812258064516129</v>
      </c>
      <c r="O60" s="52"/>
    </row>
    <row r="61" customFormat="false" ht="12.75" hidden="false" customHeight="false" outlineLevel="0" collapsed="false">
      <c r="B61" s="138" t="n">
        <f aca="false">B60+1</f>
        <v>11</v>
      </c>
      <c r="C61" s="19" t="s">
        <v>158</v>
      </c>
      <c r="D61" s="11" t="n">
        <v>22329</v>
      </c>
      <c r="E61" s="21" t="n">
        <v>150</v>
      </c>
      <c r="F61" s="22" t="s">
        <v>42</v>
      </c>
      <c r="G61" s="23" t="n">
        <v>3</v>
      </c>
      <c r="J61" s="329" t="n">
        <f aca="false">IF(G61=3,E61,0)</f>
        <v>150</v>
      </c>
      <c r="K61" s="329"/>
      <c r="L61" s="151" t="n">
        <v>131.6</v>
      </c>
      <c r="N61" s="330" t="n">
        <f aca="false">L61/J61</f>
        <v>0.877333333333333</v>
      </c>
      <c r="O61" s="66"/>
    </row>
    <row r="62" customFormat="false" ht="20.25" hidden="false" customHeight="false" outlineLevel="0" collapsed="false">
      <c r="B62" s="138" t="n">
        <f aca="false">B61+1</f>
        <v>12</v>
      </c>
      <c r="C62" s="19" t="s">
        <v>150</v>
      </c>
      <c r="D62" s="11" t="n">
        <v>22325</v>
      </c>
      <c r="E62" s="21" t="n">
        <v>86.483</v>
      </c>
      <c r="F62" s="22" t="s">
        <v>42</v>
      </c>
      <c r="G62" s="23" t="n">
        <v>3</v>
      </c>
      <c r="J62" s="329" t="n">
        <f aca="false">IF(G62=3,E62,0)</f>
        <v>86.483</v>
      </c>
      <c r="K62" s="329"/>
      <c r="L62" s="334" t="n">
        <v>67.3</v>
      </c>
      <c r="N62" s="330" t="n">
        <f aca="false">L62/J62</f>
        <v>0.778187620688459</v>
      </c>
      <c r="O62" s="52"/>
    </row>
    <row r="63" customFormat="false" ht="12.75" hidden="false" customHeight="false" outlineLevel="0" collapsed="false">
      <c r="B63" s="138" t="n">
        <f aca="false">B62+1</f>
        <v>13</v>
      </c>
      <c r="C63" s="40" t="s">
        <v>159</v>
      </c>
      <c r="D63" s="11" t="n">
        <v>102832</v>
      </c>
      <c r="E63" s="98" t="n">
        <v>60</v>
      </c>
      <c r="F63" s="22" t="s">
        <v>25</v>
      </c>
      <c r="G63" s="23" t="n">
        <v>3</v>
      </c>
      <c r="J63" s="329" t="n">
        <f aca="false">IF(G63=3,E63,0)</f>
        <v>60</v>
      </c>
      <c r="K63" s="329"/>
      <c r="L63" s="151" t="n">
        <v>38.7</v>
      </c>
      <c r="N63" s="330" t="n">
        <f aca="false">L63/J63</f>
        <v>0.645</v>
      </c>
      <c r="O63" s="66"/>
    </row>
    <row r="64" customFormat="false" ht="12.75" hidden="false" customHeight="false" outlineLevel="0" collapsed="false">
      <c r="B64" s="138" t="n">
        <f aca="false">B63+1</f>
        <v>14</v>
      </c>
      <c r="C64" s="19" t="s">
        <v>80</v>
      </c>
      <c r="D64" s="11" t="n">
        <v>22326</v>
      </c>
      <c r="E64" s="21" t="n">
        <v>29</v>
      </c>
      <c r="F64" s="22" t="s">
        <v>42</v>
      </c>
      <c r="G64" s="23" t="n">
        <v>3</v>
      </c>
      <c r="J64" s="329" t="n">
        <f aca="false">IF(G64=3,E64,0)</f>
        <v>29</v>
      </c>
      <c r="K64" s="329"/>
      <c r="L64" s="151" t="n">
        <v>25.8</v>
      </c>
      <c r="N64" s="330" t="n">
        <f aca="false">L64/J64</f>
        <v>0.889655172413793</v>
      </c>
      <c r="O64" s="66"/>
    </row>
    <row r="65" customFormat="false" ht="20.25" hidden="false" customHeight="false" outlineLevel="0" collapsed="false">
      <c r="B65" s="138" t="n">
        <f aca="false">B64+1</f>
        <v>15</v>
      </c>
      <c r="C65" s="19" t="s">
        <v>160</v>
      </c>
      <c r="D65" s="11" t="n">
        <v>22546</v>
      </c>
      <c r="E65" s="21" t="n">
        <v>25</v>
      </c>
      <c r="F65" s="22" t="s">
        <v>42</v>
      </c>
      <c r="G65" s="23" t="n">
        <v>3</v>
      </c>
      <c r="J65" s="329" t="n">
        <f aca="false">IF(G65=3,E65,0)</f>
        <v>25</v>
      </c>
      <c r="K65" s="329"/>
      <c r="L65" s="151" t="n">
        <v>20.8</v>
      </c>
      <c r="N65" s="330" t="n">
        <f aca="false">L65/J65</f>
        <v>0.832</v>
      </c>
      <c r="O65" s="52"/>
    </row>
    <row r="66" customFormat="false" ht="12.75" hidden="false" customHeight="false" outlineLevel="0" collapsed="false">
      <c r="B66" s="138" t="n">
        <f aca="false">B65+1</f>
        <v>16</v>
      </c>
      <c r="C66" s="19" t="s">
        <v>81</v>
      </c>
      <c r="D66" s="11" t="n">
        <v>22339</v>
      </c>
      <c r="E66" s="21" t="n">
        <v>18.125</v>
      </c>
      <c r="F66" s="22" t="s">
        <v>21</v>
      </c>
      <c r="G66" s="23" t="n">
        <v>3</v>
      </c>
      <c r="J66" s="329" t="n">
        <f aca="false">IF(G66=3,E66,0)</f>
        <v>18.125</v>
      </c>
      <c r="K66" s="329"/>
      <c r="L66" s="151" t="n">
        <v>16.2</v>
      </c>
      <c r="N66" s="330" t="n">
        <f aca="false">L66/J66</f>
        <v>0.893793103448276</v>
      </c>
      <c r="O66" s="66"/>
    </row>
    <row r="67" customFormat="false" ht="20.25" hidden="false" customHeight="false" outlineLevel="0" collapsed="false">
      <c r="B67" s="138" t="n">
        <f aca="false">B66+1</f>
        <v>17</v>
      </c>
      <c r="C67" s="19" t="s">
        <v>82</v>
      </c>
      <c r="D67" s="11" t="n">
        <v>22308</v>
      </c>
      <c r="E67" s="21" t="n">
        <v>17.145</v>
      </c>
      <c r="F67" s="22" t="s">
        <v>42</v>
      </c>
      <c r="G67" s="23" t="n">
        <v>3</v>
      </c>
      <c r="J67" s="329" t="n">
        <f aca="false">IF(G67=3,E67,0)</f>
        <v>17.145</v>
      </c>
      <c r="K67" s="329"/>
      <c r="L67" s="151" t="n">
        <v>15.7</v>
      </c>
      <c r="N67" s="330" t="n">
        <f aca="false">L67/J67</f>
        <v>0.915718868474774</v>
      </c>
      <c r="O67" s="52"/>
    </row>
    <row r="68" customFormat="false" ht="12.75" hidden="false" customHeight="false" outlineLevel="0" collapsed="false">
      <c r="B68" s="138" t="n">
        <f aca="false">B67+1</f>
        <v>18</v>
      </c>
      <c r="C68" s="19" t="s">
        <v>83</v>
      </c>
      <c r="D68" s="11" t="n">
        <v>22300</v>
      </c>
      <c r="E68" s="21" t="n">
        <v>16.655</v>
      </c>
      <c r="F68" s="22" t="s">
        <v>19</v>
      </c>
      <c r="G68" s="23" t="n">
        <v>3</v>
      </c>
      <c r="J68" s="329" t="n">
        <f aca="false">IF(G68=3,E68,0)</f>
        <v>16.655</v>
      </c>
      <c r="K68" s="329"/>
      <c r="L68" s="334" t="n">
        <v>14</v>
      </c>
      <c r="N68" s="330" t="n">
        <f aca="false">L68/J68</f>
        <v>0.840588411888322</v>
      </c>
      <c r="O68" s="66"/>
    </row>
    <row r="69" customFormat="false" ht="12.75" hidden="false" customHeight="false" outlineLevel="0" collapsed="false">
      <c r="B69" s="138" t="n">
        <f aca="false">B68+1</f>
        <v>19</v>
      </c>
      <c r="C69" s="19" t="s">
        <v>85</v>
      </c>
      <c r="D69" s="11" t="n">
        <v>22336</v>
      </c>
      <c r="E69" s="21" t="n">
        <v>14.634</v>
      </c>
      <c r="F69" s="22" t="s">
        <v>21</v>
      </c>
      <c r="G69" s="23" t="n">
        <v>3</v>
      </c>
      <c r="J69" s="329" t="n">
        <f aca="false">IF(G69=3,E69,0)</f>
        <v>14.634</v>
      </c>
      <c r="K69" s="329"/>
      <c r="L69" s="151" t="n">
        <v>11.4</v>
      </c>
      <c r="N69" s="330" t="n">
        <f aca="false">L69/J69</f>
        <v>0.779007790077901</v>
      </c>
      <c r="O69" s="66"/>
    </row>
    <row r="70" customFormat="false" ht="12.75" hidden="false" customHeight="false" outlineLevel="0" collapsed="false">
      <c r="B70" s="138" t="n">
        <f aca="false">B69+1</f>
        <v>20</v>
      </c>
      <c r="C70" s="40" t="s">
        <v>174</v>
      </c>
      <c r="D70" s="11" t="n">
        <v>102830</v>
      </c>
      <c r="E70" s="98" t="n">
        <v>10</v>
      </c>
      <c r="F70" s="22" t="s">
        <v>21</v>
      </c>
      <c r="G70" s="23" t="n">
        <v>3</v>
      </c>
      <c r="J70" s="329" t="n">
        <f aca="false">IF(G70=3,E70,0)</f>
        <v>10</v>
      </c>
      <c r="K70" s="329"/>
      <c r="L70" s="151" t="n">
        <v>10</v>
      </c>
      <c r="N70" s="330" t="n">
        <f aca="false">L70/J70</f>
        <v>1</v>
      </c>
      <c r="O70" s="66"/>
    </row>
    <row r="71" customFormat="false" ht="12.75" hidden="false" customHeight="false" outlineLevel="0" collapsed="false">
      <c r="B71" s="138" t="n">
        <f aca="false">B70+1</f>
        <v>21</v>
      </c>
      <c r="C71" s="19" t="s">
        <v>87</v>
      </c>
      <c r="D71" s="11" t="n">
        <v>22341</v>
      </c>
      <c r="E71" s="153" t="n">
        <v>8.419</v>
      </c>
      <c r="F71" s="22" t="s">
        <v>21</v>
      </c>
      <c r="G71" s="23" t="n">
        <v>3</v>
      </c>
      <c r="J71" s="329" t="n">
        <f aca="false">IF(G71=3,E71,0)</f>
        <v>8.419</v>
      </c>
      <c r="K71" s="329"/>
      <c r="L71" s="151" t="n">
        <v>6.2</v>
      </c>
      <c r="N71" s="330" t="n">
        <f aca="false">L71/J71</f>
        <v>0.736429504691769</v>
      </c>
      <c r="O71" s="66"/>
    </row>
    <row r="72" customFormat="false" ht="12.75" hidden="false" customHeight="false" outlineLevel="0" collapsed="false">
      <c r="B72" s="138" t="n">
        <f aca="false">B71+1</f>
        <v>22</v>
      </c>
      <c r="C72" s="19" t="s">
        <v>88</v>
      </c>
      <c r="D72" s="156" t="n">
        <v>22340</v>
      </c>
      <c r="E72" s="157" t="n">
        <v>4.975</v>
      </c>
      <c r="F72" s="22" t="s">
        <v>19</v>
      </c>
      <c r="G72" s="23" t="n">
        <v>3</v>
      </c>
      <c r="J72" s="355" t="n">
        <f aca="false">IF(G72=3,E72,0)</f>
        <v>4.975</v>
      </c>
      <c r="K72" s="335"/>
      <c r="L72" s="334" t="n">
        <v>4</v>
      </c>
      <c r="N72" s="330" t="n">
        <f aca="false">L72/J72</f>
        <v>0.804020100502513</v>
      </c>
    </row>
    <row r="73" customFormat="false" ht="12.75" hidden="false" customHeight="false" outlineLevel="0" collapsed="false">
      <c r="E73" s="160" t="n">
        <f aca="false">SUM(E9:E72)</f>
        <v>45885.359</v>
      </c>
      <c r="H73" s="161" t="n">
        <f aca="false">SUM(H9:H19)</f>
        <v>12867.08</v>
      </c>
      <c r="I73" s="161" t="n">
        <f aca="false">SUM(I48)</f>
        <v>18925.18</v>
      </c>
      <c r="J73" s="161" t="n">
        <f aca="false">SUM(J51:J72)</f>
        <v>13507.74</v>
      </c>
      <c r="K73" s="161"/>
      <c r="L73" s="81" t="n">
        <f aca="false">SUM(L51:L72)</f>
        <v>11166.8</v>
      </c>
      <c r="M73" s="170"/>
      <c r="N73" s="82" t="n">
        <f aca="false">L73/J73</f>
        <v>0.826696397768983</v>
      </c>
    </row>
    <row r="74" customFormat="false" ht="12.75" hidden="false" customHeight="false" outlineLevel="0" collapsed="false">
      <c r="F74" s="22"/>
      <c r="G74" s="163" t="s">
        <v>89</v>
      </c>
      <c r="H74" s="164" t="n">
        <f aca="false">H73/I75</f>
        <v>0.284041501103753</v>
      </c>
      <c r="I74" s="164" t="n">
        <f aca="false">I73/I75</f>
        <v>0.417774392935982</v>
      </c>
      <c r="J74" s="164" t="n">
        <f aca="false">J73/I75</f>
        <v>0.298184105960265</v>
      </c>
    </row>
    <row r="75" customFormat="false" ht="12.75" hidden="false" customHeight="false" outlineLevel="0" collapsed="false">
      <c r="B75" s="23" t="n">
        <f aca="false">B19+B45+B72</f>
        <v>44</v>
      </c>
      <c r="C75" s="138" t="s">
        <v>175</v>
      </c>
      <c r="I75" s="168" t="n">
        <f aca="false">H73+I73+J73</f>
        <v>45300</v>
      </c>
      <c r="L75" s="81" t="n">
        <f aca="false">L21+L48+L73</f>
        <v>34661.7</v>
      </c>
      <c r="M75" s="170"/>
      <c r="N75" s="356" t="n">
        <f aca="false">L75/I75</f>
        <v>0.765158940397351</v>
      </c>
    </row>
    <row r="76" customFormat="false" ht="12.75" hidden="false" customHeight="false" outlineLevel="0" collapsed="false">
      <c r="H76" s="140" t="s">
        <v>110</v>
      </c>
      <c r="I76" s="266" t="n">
        <v>-2242</v>
      </c>
    </row>
    <row r="77" customFormat="false" ht="12.75" hidden="false" customHeight="false" outlineLevel="0" collapsed="false">
      <c r="I77" s="23" t="s">
        <v>176</v>
      </c>
      <c r="P77" s="6"/>
      <c r="Q77" s="269" t="s">
        <v>177</v>
      </c>
      <c r="R77" s="6"/>
    </row>
    <row r="78" customFormat="false" ht="12.75" hidden="false" customHeight="false" outlineLevel="0" collapsed="false">
      <c r="B78" s="23" t="s">
        <v>118</v>
      </c>
      <c r="C78" s="138" t="s">
        <v>178</v>
      </c>
      <c r="I78" s="270" t="n">
        <f aca="false">I75+I76</f>
        <v>43058</v>
      </c>
      <c r="L78" s="179" t="n">
        <f aca="false">I78-L75-3810</f>
        <v>4586.3</v>
      </c>
      <c r="M78" s="180" t="s">
        <v>115</v>
      </c>
      <c r="N78" s="181"/>
      <c r="Q78" s="328" t="n">
        <v>7890</v>
      </c>
    </row>
    <row r="79" customFormat="false" ht="12.75" hidden="false" customHeight="false" outlineLevel="0" collapsed="false">
      <c r="C79" s="138" t="s">
        <v>179</v>
      </c>
      <c r="L79" s="179" t="n">
        <f aca="false">I78-L75</f>
        <v>8396.3</v>
      </c>
      <c r="M79" s="180" t="s">
        <v>117</v>
      </c>
      <c r="N79" s="181"/>
      <c r="Q79" s="328" t="n">
        <v>12405</v>
      </c>
    </row>
    <row r="80" customFormat="false" ht="12.75" hidden="false" customHeight="false" outlineLevel="0" collapsed="false">
      <c r="L80" s="179" t="n">
        <f aca="false">L75</f>
        <v>34661.7</v>
      </c>
      <c r="M80" s="180" t="s">
        <v>92</v>
      </c>
      <c r="N80" s="181"/>
      <c r="Q80" s="328" t="n">
        <v>23338</v>
      </c>
      <c r="R80" s="278" t="s">
        <v>180</v>
      </c>
    </row>
    <row r="81" customFormat="false" ht="12.75" hidden="false" customHeight="false" outlineLevel="0" collapsed="false">
      <c r="L81" s="183" t="n">
        <f aca="false">N75</f>
        <v>0.765158940397351</v>
      </c>
      <c r="M81" s="180" t="s">
        <v>92</v>
      </c>
      <c r="N81" s="181"/>
      <c r="Q81" s="279" t="n">
        <f aca="false">Q80/36249.623</f>
        <v>0.643813592213083</v>
      </c>
      <c r="R81" s="278" t="s">
        <v>180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2000-12-22T19:23:04Z</dcterms:created>
  <dc:creator/>
  <dc:description/>
  <dc:language>en-US</dc:language>
  <cp:lastModifiedBy>sthomas1</cp:lastModifiedBy>
  <cp:lastPrinted>2001-12-19T16:55:10Z</cp:lastPrinted>
  <dcterms:modified xsi:type="dcterms:W3CDTF">2001-12-19T17:21:30Z</dcterms:modified>
  <cp:revision>0</cp:revision>
  <dc:subject/>
  <dc:title/>
</cp:coreProperties>
</file>