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te Increase Model" sheetId="1" state="visible" r:id="rId3"/>
    <sheet name="ISO Charges" sheetId="2" state="visible" r:id="rId4"/>
    <sheet name="SDG&amp;E URG" sheetId="3" state="visible" r:id="rId5"/>
    <sheet name="DWR Billing Determinants" sheetId="4" state="visible" r:id="rId6"/>
  </sheets>
  <definedNames>
    <definedName function="false" hidden="false" localSheetId="3" name="_xlnm.Print_Area" vbProcedure="false">'DWR Billing Determinants'!$A$1:$L$18</definedName>
    <definedName function="false" hidden="false" localSheetId="1" name="_xlnm.Print_Area" vbProcedure="false">'ISO Charges'!$A$1:$O$29</definedName>
    <definedName function="false" hidden="false" localSheetId="0" name="_xlnm.Print_Area" vbProcedure="false">'Rate Increase Model'!$B$1:$J$61</definedName>
    <definedName function="false" hidden="false" localSheetId="0" name="_xlnm.Print_Titles" vbProcedure="false">'Rate Increase Model'!$A:$A</definedName>
    <definedName function="false" hidden="false" localSheetId="2" name="_xlnm.Print_Area" vbProcedure="false">'SDG&amp;E URG'!$A$1:$T$38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<sst xmlns="http://schemas.openxmlformats.org/spreadsheetml/2006/main" count="175" uniqueCount="112">
  <si>
    <t xml:space="preserve">CPUC Rate Proceeding</t>
  </si>
  <si>
    <t xml:space="preserve">Exhibit 14:  Scenario 6</t>
  </si>
  <si>
    <t xml:space="preserve">SDG&amp;E A. 01-01-044</t>
  </si>
  <si>
    <t xml:space="preserve">Revised with DWR Revenue Requirement</t>
  </si>
  <si>
    <t xml:space="preserve">Update August 7, 2001</t>
  </si>
  <si>
    <t xml:space="preserve">Billing Determinants</t>
  </si>
  <si>
    <t xml:space="preserve">Original Filing Determinants (July-01 to June-02)</t>
  </si>
  <si>
    <t xml:space="preserve">Sales (GWh)</t>
  </si>
  <si>
    <t xml:space="preserve">URG</t>
  </si>
  <si>
    <t xml:space="preserve">DWR</t>
  </si>
  <si>
    <t xml:space="preserve">Total</t>
  </si>
  <si>
    <t xml:space="preserve">Capped AB 265 Customers</t>
  </si>
  <si>
    <t xml:space="preserve">Capped ABX1 43 Customers</t>
  </si>
  <si>
    <t xml:space="preserve">Total Bundled Sales</t>
  </si>
  <si>
    <t xml:space="preserve"> </t>
  </si>
  <si>
    <t xml:space="preserve">Update Determinants (October-01 to December-02)</t>
  </si>
  <si>
    <t xml:space="preserve">Commodity Revenue Requirement</t>
  </si>
  <si>
    <t xml:space="preserve">($000s)</t>
  </si>
  <si>
    <t xml:space="preserve">DWR Rev. Requirement </t>
  </si>
  <si>
    <t xml:space="preserve">&lt;============</t>
  </si>
  <si>
    <t xml:space="preserve">DWR Revenue Requirements Update Letter August 7, 2001 </t>
  </si>
  <si>
    <t xml:space="preserve">SDG&amp;E - URG</t>
  </si>
  <si>
    <t xml:space="preserve">Retained Generation Costs Jul-01 to Dec-02</t>
  </si>
  <si>
    <t xml:space="preserve">SDG&amp;E Ancillary Charges</t>
  </si>
  <si>
    <t xml:space="preserve">SDG&amp;E Ancillary Charges Jul 01 to Dec 02</t>
  </si>
  <si>
    <t xml:space="preserve">SDG&amp;E Other ISO Charges</t>
  </si>
  <si>
    <t xml:space="preserve">SDG&amp;E ISO Charges Jul 01 to Dec 02</t>
  </si>
  <si>
    <t xml:space="preserve">SDG&amp;E Grid Mgmnt Charges (GMC)</t>
  </si>
  <si>
    <t xml:space="preserve">SDG&amp;E Grid Mgmnt Charges (GMC) Jul 01 to Dec 02</t>
  </si>
  <si>
    <t xml:space="preserve">Total URG Revenue Requirement</t>
  </si>
  <si>
    <t xml:space="preserve">Total Commodity Revenue Requirement</t>
  </si>
  <si>
    <t xml:space="preserve">Bundled Revenues</t>
  </si>
  <si>
    <t xml:space="preserve">Revenues at Current Commodity Rate</t>
  </si>
  <si>
    <t xml:space="preserve">DWR Commodity Revenues @6.5 c/kWh</t>
  </si>
  <si>
    <t xml:space="preserve">URG Commodity Revenues @ 6.5 c/kWh</t>
  </si>
  <si>
    <t xml:space="preserve">DWR Revenues Subject to Rate Increase</t>
  </si>
  <si>
    <t xml:space="preserve">SDG&amp;E Revenues Subject to Rate Increase</t>
  </si>
  <si>
    <t xml:space="preserve">Total Rate Increase</t>
  </si>
  <si>
    <t xml:space="preserve">Customer Revenue Allocation</t>
  </si>
  <si>
    <t xml:space="preserve">System </t>
  </si>
  <si>
    <t xml:space="preserve">ABX1 43 Customers</t>
  </si>
  <si>
    <t xml:space="preserve">AB 265 Customers</t>
  </si>
  <si>
    <t xml:space="preserve">DWR Revenue Requirement</t>
  </si>
  <si>
    <t xml:space="preserve">Billed Revenues</t>
  </si>
  <si>
    <t xml:space="preserve">DWR Revenue Requirement Reduction</t>
  </si>
  <si>
    <t xml:space="preserve">NA</t>
  </si>
  <si>
    <t xml:space="preserve">Retroactive Rate Increase Adjustment  Mar-27 to Sept- 30</t>
  </si>
  <si>
    <t xml:space="preserve">Billing Determinants (GWh) Oct-01 to Dec-02</t>
  </si>
  <si>
    <t xml:space="preserve">DWR Rate Increase (C/kWh)</t>
  </si>
  <si>
    <t xml:space="preserve">CTC Rate (C/kWh)</t>
  </si>
  <si>
    <t xml:space="preserve">Net DWR Rate Increase (C/kWh)</t>
  </si>
  <si>
    <t xml:space="preserve">FORECAST OF ISO CHARGES FOR JULY 01 - JUNE 02</t>
  </si>
  <si>
    <t xml:space="preserve">ASSUMPTIONS</t>
  </si>
  <si>
    <t xml:space="preserve">Market price forecast based on Natsource 03/09/01 on and off peak market price assessment.</t>
  </si>
  <si>
    <t xml:space="preserve">ISO ancillary services and other real time charges are proportional to market energy prices. </t>
  </si>
  <si>
    <t xml:space="preserve">FORECAST DATA</t>
  </si>
  <si>
    <t xml:space="preserve">MARKET PRICE in $/MWh</t>
  </si>
  <si>
    <t xml:space="preserve">TOTAL</t>
  </si>
  <si>
    <t xml:space="preserve">ON PEAK SP15 </t>
  </si>
  <si>
    <t xml:space="preserve">OFF PEAK SP15</t>
  </si>
  <si>
    <t xml:space="preserve">ISO CHARGES</t>
  </si>
  <si>
    <t xml:space="preserve">AS SHARE (%)</t>
  </si>
  <si>
    <t xml:space="preserve">Other RT (%)</t>
  </si>
  <si>
    <t xml:space="preserve">ADMIN ($/MWh)</t>
  </si>
  <si>
    <t xml:space="preserve">SDGE BUNDLED LOAD REQUIREMENTS in MWh</t>
  </si>
  <si>
    <t xml:space="preserve">LOAD (MWh)</t>
  </si>
  <si>
    <t xml:space="preserve">ON PEAK LOAD</t>
  </si>
  <si>
    <t xml:space="preserve">OFF PEAK LOAD</t>
  </si>
  <si>
    <t xml:space="preserve">ISO CHARGES in K$</t>
  </si>
  <si>
    <t xml:space="preserve">AS and Other RT</t>
  </si>
  <si>
    <t xml:space="preserve">Admin Fees</t>
  </si>
  <si>
    <t xml:space="preserve">NOTE:  </t>
  </si>
  <si>
    <t xml:space="preserve">Admin Fees are ISO Grid Mgmt Charge.</t>
  </si>
  <si>
    <t xml:space="preserve">SDG&amp;E RETAINED GENERATION SUPPLY AND COST (04/26/2001)</t>
  </si>
  <si>
    <t xml:space="preserve">ASSUMPTIONS:</t>
  </si>
  <si>
    <t xml:space="preserve">SONGS 3 return to service mid June 2001</t>
  </si>
  <si>
    <t xml:space="preserve">PGE 2 week maintenance outage in May-June 2001 instead of 4 week.</t>
  </si>
  <si>
    <t xml:space="preserve">Market Price Forecast:  Natsource 03/09/01</t>
  </si>
  <si>
    <t xml:space="preserve">Intermediate term contracts priced at 85% of market</t>
  </si>
  <si>
    <t xml:space="preserve">APR-DEC 2001</t>
  </si>
  <si>
    <t xml:space="preserve">SDG&amp;E RETAINED GENERATION SUPPLY in MWh</t>
  </si>
  <si>
    <t xml:space="preserve">SONGS</t>
  </si>
  <si>
    <t xml:space="preserve">PNM</t>
  </si>
  <si>
    <t xml:space="preserve">PGE</t>
  </si>
  <si>
    <t xml:space="preserve">QF</t>
  </si>
  <si>
    <t xml:space="preserve">BILATERAL</t>
  </si>
  <si>
    <t xml:space="preserve">INTERMEDIATE TERM CONTRACTS</t>
  </si>
  <si>
    <t xml:space="preserve">URG Sales Jul-01 to Jun-02</t>
  </si>
  <si>
    <t xml:space="preserve">SDG&amp;E RETAINED GENERATION COST in K$</t>
  </si>
  <si>
    <t xml:space="preserve">TOTAL </t>
  </si>
  <si>
    <t xml:space="preserve">URG Costs Jul-01 to Jun-02</t>
  </si>
  <si>
    <t xml:space="preserve">DWR Billing Determinants</t>
  </si>
  <si>
    <t xml:space="preserve">Update July 22, 2001</t>
  </si>
  <si>
    <t xml:space="preserve">System</t>
  </si>
  <si>
    <t xml:space="preserve">SB 43 Customers</t>
  </si>
  <si>
    <t xml:space="preserve">Period </t>
  </si>
  <si>
    <t xml:space="preserve">GWh</t>
  </si>
  <si>
    <t xml:space="preserve">Current Rate</t>
  </si>
  <si>
    <t xml:space="preserve">Revenues</t>
  </si>
  <si>
    <t xml:space="preserve">Sales </t>
  </si>
  <si>
    <t xml:space="preserve">Sales</t>
  </si>
  <si>
    <t xml:space="preserve">Q1,2001</t>
  </si>
  <si>
    <t xml:space="preserve">Q2,2001</t>
  </si>
  <si>
    <t xml:space="preserve">Q3,2001</t>
  </si>
  <si>
    <t xml:space="preserve">Q4,2001</t>
  </si>
  <si>
    <t xml:space="preserve">Q1,2002</t>
  </si>
  <si>
    <t xml:space="preserve">Q2,2002</t>
  </si>
  <si>
    <t xml:space="preserve">Q3,2002</t>
  </si>
  <si>
    <t xml:space="preserve">Q4,2002</t>
  </si>
  <si>
    <t xml:space="preserve">Jan01-Dec02</t>
  </si>
  <si>
    <t xml:space="preserve">Oct01-Dec02</t>
  </si>
  <si>
    <t xml:space="preserve">Mar27-Dec02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</si>
</sst>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"/>
    <numFmt numFmtId="166" formatCode="0%"/>
    <numFmt numFmtId="167" formatCode="_(\$* #,##0.00_);_(\$* \(#,##0.00\);_(\$* \-??_);_(@_)"/>
    <numFmt numFmtId="168" formatCode="_(* #,##0_);_(* \(#,##0\);_(* \-??_);_(@_)"/>
    <numFmt numFmtId="169" formatCode="_(* #,##0.00_);_(* \(#,##0.00\);_(* \-??_);_(@_)"/>
    <numFmt numFmtId="170" formatCode="_(\$* #,##0_);_(\$* \(#,##0\);_(\$* \-??_);_(@_)"/>
    <numFmt numFmtId="171" formatCode="0.0%"/>
    <numFmt numFmtId="172" formatCode="[$-409]#,##0_);[RED]\(#,##0\)"/>
    <numFmt numFmtId="173" formatCode="[$-409]#,##0.00_);[RED]\(#,##0.00\)"/>
    <numFmt numFmtId="174" formatCode="[$-409]mmm\-yy"/>
    <numFmt numFmtId="175" formatCode="0.0"/>
    <numFmt numFmtId="176" formatCode="_(* #,##0.0_);_(* \(#,##0.0\);_(* \-??_);_(@_)"/>
    <numFmt numFmtId="177" formatCode="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u val="singl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A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31.7"/>
    <col collapsed="false" customWidth="true" hidden="false" outlineLevel="0" max="2" min="2" style="0" width="50.13"/>
    <col collapsed="false" customWidth="true" hidden="false" outlineLevel="0" max="3" min="3" style="0" width="11.56"/>
    <col collapsed="false" customWidth="true" hidden="false" outlineLevel="0" max="4" min="4" style="0" width="13.28"/>
    <col collapsed="false" customWidth="true" hidden="false" outlineLevel="0" max="5" min="5" style="0" width="11.56"/>
    <col collapsed="false" customWidth="true" hidden="false" outlineLevel="0" max="6" min="6" style="0" width="4.85"/>
    <col collapsed="false" customWidth="true" hidden="false" outlineLevel="0" max="7" min="7" style="0" width="13.41"/>
    <col collapsed="false" customWidth="true" hidden="false" outlineLevel="0" max="8" min="8" style="0" width="11.28"/>
    <col collapsed="false" customWidth="true" hidden="false" outlineLevel="0" max="9" min="9" style="0" width="14.85"/>
    <col collapsed="false" customWidth="true" hidden="false" outlineLevel="0" max="10" min="10" style="0" width="13.41"/>
    <col collapsed="false" customWidth="true" hidden="false" outlineLevel="0" max="12" min="11" style="0" width="11.7"/>
    <col collapsed="false" customWidth="true" hidden="false" outlineLevel="0" max="14" min="13" style="0" width="13.99"/>
    <col collapsed="false" customWidth="true" hidden="false" outlineLevel="0" max="15" min="15" style="0" width="11.56"/>
    <col collapsed="false" customWidth="true" hidden="false" outlineLevel="0" max="16" min="16" style="0" width="14.28"/>
    <col collapsed="false" customWidth="true" hidden="false" outlineLevel="0" max="17" min="17" style="0" width="11.56"/>
    <col collapsed="false" customWidth="true" hidden="false" outlineLevel="0" max="18" min="18" style="0" width="13.7"/>
    <col collapsed="false" customWidth="true" hidden="false" outlineLevel="0" max="19" min="19" style="0" width="13.99"/>
    <col collapsed="false" customWidth="true" hidden="false" outlineLevel="0" max="23" min="20" style="0" width="11.56"/>
    <col collapsed="false" customWidth="true" hidden="false" outlineLevel="0" max="24" min="24" style="0" width="12.85"/>
    <col collapsed="false" customWidth="true" hidden="false" outlineLevel="0" max="25" min="25" style="0" width="8.14"/>
    <col collapsed="false" customWidth="true" hidden="false" outlineLevel="0" max="26" min="26" style="0" width="12.7"/>
    <col collapsed="false" customWidth="true" hidden="false" outlineLevel="0" max="28" min="27" style="0" width="8.41"/>
  </cols>
  <sheetData>
    <row r="1" customFormat="false" ht="12.75" hidden="false" customHeight="false" outlineLevel="0" collapsed="false">
      <c r="B1" s="1"/>
      <c r="C1" s="2"/>
      <c r="D1" s="3"/>
      <c r="E1" s="3"/>
      <c r="F1" s="3"/>
      <c r="G1" s="3"/>
      <c r="H1" s="3"/>
      <c r="I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customFormat="false" ht="15.75" hidden="false" customHeight="false" outlineLevel="0" collapsed="false">
      <c r="B2" s="4" t="s">
        <v>0</v>
      </c>
      <c r="C2" s="4"/>
      <c r="D2" s="4"/>
      <c r="E2" s="4"/>
      <c r="F2" s="4"/>
      <c r="G2" s="3"/>
      <c r="H2" s="3"/>
      <c r="J2" s="5" t="s">
        <v>1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customFormat="false" ht="15.75" hidden="false" customHeight="false" outlineLevel="0" collapsed="false">
      <c r="B3" s="4" t="s">
        <v>2</v>
      </c>
      <c r="C3" s="4"/>
      <c r="D3" s="4"/>
      <c r="E3" s="4"/>
      <c r="F3" s="4"/>
      <c r="G3" s="3"/>
      <c r="H3" s="3"/>
      <c r="J3" s="6" t="s">
        <v>3</v>
      </c>
      <c r="R3" s="3"/>
      <c r="S3" s="3"/>
      <c r="T3" s="3"/>
      <c r="U3" s="3"/>
      <c r="V3" s="3"/>
      <c r="W3" s="3"/>
      <c r="X3" s="3"/>
      <c r="Y3" s="3"/>
      <c r="Z3" s="3"/>
      <c r="AA3" s="3"/>
    </row>
    <row r="4" customFormat="false" ht="15.75" hidden="false" customHeight="false" outlineLevel="0" collapsed="false">
      <c r="B4" s="4"/>
      <c r="C4" s="4"/>
      <c r="D4" s="4"/>
      <c r="E4" s="4"/>
      <c r="F4" s="4"/>
      <c r="G4" s="3"/>
      <c r="H4" s="3"/>
      <c r="J4" s="6" t="s">
        <v>4</v>
      </c>
      <c r="R4" s="3"/>
      <c r="S4" s="3"/>
      <c r="T4" s="3"/>
      <c r="U4" s="3"/>
      <c r="V4" s="3"/>
      <c r="W4" s="3"/>
      <c r="X4" s="3"/>
      <c r="Y4" s="3"/>
      <c r="Z4" s="3"/>
      <c r="AA4" s="3"/>
    </row>
    <row r="5" customFormat="false" ht="15.75" hidden="false" customHeight="false" outlineLevel="0" collapsed="false">
      <c r="B5" s="4"/>
      <c r="C5" s="4"/>
      <c r="D5" s="4"/>
      <c r="E5" s="4"/>
      <c r="F5" s="4"/>
      <c r="G5" s="3"/>
      <c r="H5" s="3"/>
      <c r="I5" s="3"/>
      <c r="R5" s="3"/>
      <c r="S5" s="3"/>
      <c r="T5" s="3"/>
      <c r="U5" s="3"/>
      <c r="V5" s="3"/>
      <c r="W5" s="3"/>
      <c r="X5" s="3"/>
      <c r="Y5" s="3"/>
      <c r="Z5" s="3"/>
      <c r="AA5" s="3"/>
    </row>
    <row r="6" customFormat="false" ht="15.75" hidden="false" customHeight="false" outlineLevel="0" collapsed="false">
      <c r="B6" s="7"/>
      <c r="C6" s="7"/>
      <c r="D6" s="7"/>
      <c r="E6" s="7"/>
      <c r="F6" s="7"/>
      <c r="G6" s="3"/>
      <c r="H6" s="3"/>
      <c r="R6" s="3"/>
      <c r="S6" s="3"/>
      <c r="T6" s="2"/>
      <c r="U6" s="3"/>
      <c r="V6" s="3"/>
      <c r="W6" s="3"/>
      <c r="X6" s="3"/>
      <c r="Y6" s="3"/>
      <c r="Z6" s="3"/>
      <c r="AA6" s="3"/>
    </row>
    <row r="7" customFormat="false" ht="13.5" hidden="false" customHeight="false" outlineLevel="0" collapsed="false">
      <c r="B7" s="8" t="s">
        <v>5</v>
      </c>
      <c r="C7" s="9"/>
      <c r="D7" s="10"/>
      <c r="E7" s="10"/>
      <c r="F7" s="10"/>
      <c r="G7" s="3"/>
      <c r="H7" s="3"/>
      <c r="S7" s="11"/>
      <c r="U7" s="3"/>
      <c r="V7" s="3"/>
      <c r="W7" s="3"/>
      <c r="X7" s="3"/>
      <c r="Y7" s="3"/>
      <c r="Z7" s="3"/>
      <c r="AA7" s="3"/>
    </row>
    <row r="8" customFormat="false" ht="12.75" hidden="false" customHeight="false" outlineLevel="0" collapsed="false">
      <c r="B8" s="12"/>
      <c r="C8" s="9"/>
      <c r="D8" s="10"/>
      <c r="E8" s="10"/>
      <c r="F8" s="10"/>
      <c r="G8" s="3"/>
      <c r="H8" s="3"/>
      <c r="S8" s="11"/>
      <c r="U8" s="3"/>
      <c r="V8" s="3"/>
      <c r="W8" s="3"/>
      <c r="X8" s="3"/>
      <c r="Y8" s="3"/>
      <c r="Z8" s="3"/>
      <c r="AA8" s="3"/>
    </row>
    <row r="9" customFormat="false" ht="12.75" hidden="false" customHeight="false" outlineLevel="0" collapsed="false">
      <c r="B9" s="13" t="s">
        <v>6</v>
      </c>
      <c r="C9" s="9"/>
      <c r="D9" s="10"/>
      <c r="E9" s="10"/>
      <c r="F9" s="10"/>
      <c r="G9" s="3"/>
      <c r="H9" s="3"/>
      <c r="S9" s="11"/>
      <c r="U9" s="3"/>
      <c r="V9" s="3"/>
      <c r="W9" s="3"/>
      <c r="X9" s="3"/>
      <c r="Y9" s="3"/>
      <c r="Z9" s="3"/>
      <c r="AA9" s="3"/>
    </row>
    <row r="10" customFormat="false" ht="12.75" hidden="false" customHeight="false" outlineLevel="0" collapsed="false">
      <c r="B10" s="14" t="s">
        <v>7</v>
      </c>
      <c r="C10" s="15"/>
      <c r="D10" s="16" t="s">
        <v>8</v>
      </c>
      <c r="E10" s="16" t="s">
        <v>9</v>
      </c>
      <c r="F10" s="17"/>
      <c r="G10" s="16" t="s">
        <v>10</v>
      </c>
      <c r="H10" s="3"/>
      <c r="S10" s="11"/>
      <c r="U10" s="3"/>
      <c r="V10" s="3"/>
      <c r="W10" s="3"/>
      <c r="X10" s="3"/>
      <c r="Y10" s="3"/>
      <c r="Z10" s="3"/>
      <c r="AA10" s="3"/>
    </row>
    <row r="11" customFormat="false" ht="12.75" hidden="false" customHeight="false" outlineLevel="0" collapsed="false">
      <c r="B11" s="14" t="s">
        <v>11</v>
      </c>
      <c r="C11" s="9" t="n">
        <v>0.7</v>
      </c>
      <c r="D11" s="18" t="n">
        <v>6987.20934938642</v>
      </c>
      <c r="E11" s="18" t="n">
        <v>4772.27307887019</v>
      </c>
      <c r="F11" s="2" t="n">
        <f aca="false">+E11/E13</f>
        <v>0.486368543257963</v>
      </c>
      <c r="G11" s="18" t="n">
        <v>11759.4824282566</v>
      </c>
      <c r="H11" s="3"/>
      <c r="S11" s="11"/>
      <c r="U11" s="3"/>
      <c r="V11" s="3"/>
      <c r="W11" s="3"/>
      <c r="X11" s="3"/>
      <c r="Y11" s="3"/>
      <c r="Z11" s="3"/>
      <c r="AA11" s="3"/>
    </row>
    <row r="12" customFormat="false" ht="15" hidden="false" customHeight="false" outlineLevel="0" collapsed="false">
      <c r="B12" s="14" t="s">
        <v>12</v>
      </c>
      <c r="C12" s="9" t="n">
        <v>0.3</v>
      </c>
      <c r="D12" s="19" t="n">
        <v>0</v>
      </c>
      <c r="E12" s="19" t="n">
        <v>5039.77818353855</v>
      </c>
      <c r="F12" s="2" t="n">
        <f aca="false">+E12/E13</f>
        <v>0.513631456742037</v>
      </c>
      <c r="G12" s="19" t="n">
        <v>5039.77818353855</v>
      </c>
      <c r="H12" s="3"/>
      <c r="S12" s="11"/>
      <c r="U12" s="3"/>
      <c r="V12" s="3"/>
      <c r="W12" s="3"/>
      <c r="X12" s="3"/>
      <c r="Y12" s="3"/>
      <c r="Z12" s="3"/>
      <c r="AA12" s="3"/>
    </row>
    <row r="13" customFormat="false" ht="12.75" hidden="false" customHeight="false" outlineLevel="0" collapsed="false">
      <c r="B13" s="14" t="s">
        <v>13</v>
      </c>
      <c r="C13" s="15"/>
      <c r="D13" s="20" t="n">
        <v>6987.20934938642</v>
      </c>
      <c r="E13" s="18" t="n">
        <v>9812.05126240874</v>
      </c>
      <c r="F13" s="0" t="s">
        <v>14</v>
      </c>
      <c r="G13" s="20" t="n">
        <v>16799.2606117952</v>
      </c>
      <c r="H13" s="3"/>
      <c r="S13" s="11"/>
      <c r="U13" s="3"/>
      <c r="V13" s="3"/>
      <c r="W13" s="3"/>
      <c r="X13" s="3"/>
      <c r="Y13" s="3"/>
      <c r="Z13" s="3"/>
      <c r="AA13" s="3"/>
    </row>
    <row r="14" customFormat="false" ht="12.75" hidden="false" customHeight="false" outlineLevel="0" collapsed="false">
      <c r="B14" s="14"/>
      <c r="C14" s="15"/>
      <c r="D14" s="9" t="n">
        <f aca="false">+D13/G13</f>
        <v>0.415923623714756</v>
      </c>
      <c r="E14" s="9" t="n">
        <f aca="false">+E13/G13</f>
        <v>0.584076376285244</v>
      </c>
      <c r="F14" s="14"/>
      <c r="G14" s="21"/>
      <c r="H14" s="21"/>
    </row>
    <row r="15" customFormat="false" ht="12.75" hidden="false" customHeight="false" outlineLevel="0" collapsed="false">
      <c r="B15" s="14" t="s">
        <v>15</v>
      </c>
      <c r="C15" s="15"/>
      <c r="F15" s="14"/>
      <c r="G15" s="21"/>
      <c r="H15" s="21"/>
    </row>
    <row r="16" customFormat="false" ht="12.75" hidden="false" customHeight="false" outlineLevel="0" collapsed="false">
      <c r="B16" s="14" t="s">
        <v>7</v>
      </c>
      <c r="C16" s="15"/>
      <c r="D16" s="16" t="s">
        <v>8</v>
      </c>
      <c r="E16" s="16" t="s">
        <v>9</v>
      </c>
      <c r="F16" s="17"/>
      <c r="G16" s="16" t="s">
        <v>10</v>
      </c>
      <c r="H16" s="21"/>
    </row>
    <row r="17" customFormat="false" ht="12.75" hidden="false" customHeight="false" outlineLevel="0" collapsed="false">
      <c r="B17" s="14" t="s">
        <v>11</v>
      </c>
      <c r="C17" s="9" t="n">
        <v>0.7</v>
      </c>
      <c r="D17" s="18" t="n">
        <f aca="false">+D19</f>
        <v>9380.55726554286</v>
      </c>
      <c r="E17" s="18" t="n">
        <f aca="false">+G17-D17</f>
        <v>6406.93282033714</v>
      </c>
      <c r="F17" s="2" t="n">
        <f aca="false">+E17/E19</f>
        <v>0.486368543257963</v>
      </c>
      <c r="G17" s="18" t="n">
        <f aca="false">+G19*$C$11</f>
        <v>15787.49008588</v>
      </c>
      <c r="H17" s="21"/>
    </row>
    <row r="18" customFormat="false" ht="15" hidden="false" customHeight="false" outlineLevel="0" collapsed="false">
      <c r="B18" s="14" t="s">
        <v>12</v>
      </c>
      <c r="C18" s="9" t="n">
        <v>0.3</v>
      </c>
      <c r="D18" s="19" t="n">
        <v>0</v>
      </c>
      <c r="E18" s="19" t="n">
        <f aca="false">+G18</f>
        <v>6766.06717966286</v>
      </c>
      <c r="F18" s="22" t="n">
        <f aca="false">+E18/E19</f>
        <v>0.513631456742037</v>
      </c>
      <c r="G18" s="19" t="n">
        <f aca="false">+G19*$C$12</f>
        <v>6766.06717966286</v>
      </c>
      <c r="H18" s="21" t="s">
        <v>14</v>
      </c>
    </row>
    <row r="19" customFormat="false" ht="12.75" hidden="false" customHeight="false" outlineLevel="0" collapsed="false">
      <c r="B19" s="14" t="s">
        <v>13</v>
      </c>
      <c r="C19" s="15"/>
      <c r="D19" s="20" t="n">
        <f aca="false">+G19-E19</f>
        <v>9380.55726554286</v>
      </c>
      <c r="E19" s="18" t="n">
        <f aca="false">+'DWR Billing Determinants'!B16</f>
        <v>13173</v>
      </c>
      <c r="G19" s="20" t="n">
        <f aca="false">+E19/E20</f>
        <v>22553.5572655429</v>
      </c>
      <c r="H19" s="21"/>
      <c r="V19" s="23"/>
      <c r="W19" s="23"/>
    </row>
    <row r="20" customFormat="false" ht="12.75" hidden="false" customHeight="false" outlineLevel="0" collapsed="false">
      <c r="C20" s="15"/>
      <c r="D20" s="9" t="n">
        <f aca="false">+D14</f>
        <v>0.415923623714756</v>
      </c>
      <c r="E20" s="9" t="n">
        <f aca="false">+E14</f>
        <v>0.584076376285244</v>
      </c>
      <c r="F20" s="14"/>
      <c r="G20" s="21"/>
      <c r="H20" s="21"/>
      <c r="V20" s="20"/>
      <c r="W20" s="20"/>
    </row>
    <row r="21" customFormat="false" ht="12.75" hidden="false" customHeight="false" outlineLevel="0" collapsed="false">
      <c r="D21" s="24"/>
      <c r="G21" s="24"/>
      <c r="H21" s="21"/>
      <c r="I21" s="21"/>
      <c r="K21" s="0" t="s">
        <v>14</v>
      </c>
      <c r="T21" s="24"/>
      <c r="V21" s="18"/>
    </row>
    <row r="22" customFormat="false" ht="13.5" hidden="false" customHeight="false" outlineLevel="0" collapsed="false">
      <c r="E22" s="24" t="n">
        <f aca="false">E21/E19</f>
        <v>0</v>
      </c>
      <c r="H22" s="21"/>
      <c r="I22" s="21"/>
      <c r="T22" s="24"/>
      <c r="V22" s="18"/>
    </row>
    <row r="23" customFormat="false" ht="13.5" hidden="false" customHeight="false" outlineLevel="0" collapsed="false">
      <c r="B23" s="8" t="s">
        <v>16</v>
      </c>
      <c r="D23" s="25" t="s">
        <v>17</v>
      </c>
      <c r="E23" s="9" t="s">
        <v>14</v>
      </c>
      <c r="F23" s="9" t="s">
        <v>14</v>
      </c>
      <c r="G23" s="14"/>
      <c r="H23" s="21"/>
      <c r="I23" s="21"/>
      <c r="J23" s="21"/>
      <c r="K23" s="21"/>
      <c r="L23" s="21"/>
      <c r="V23" s="18"/>
    </row>
    <row r="24" customFormat="false" ht="12.75" hidden="false" customHeight="false" outlineLevel="0" collapsed="false">
      <c r="B24" s="15" t="s">
        <v>14</v>
      </c>
      <c r="E24" s="26" t="s">
        <v>14</v>
      </c>
      <c r="F24" s="14"/>
      <c r="G24" s="14" t="s">
        <v>14</v>
      </c>
      <c r="H24" s="21"/>
      <c r="I24" s="21"/>
      <c r="J24" s="21"/>
      <c r="K24" s="21"/>
      <c r="L24" s="21"/>
      <c r="V24" s="18"/>
    </row>
    <row r="25" customFormat="false" ht="12.75" hidden="false" customHeight="false" outlineLevel="0" collapsed="false">
      <c r="B25" s="15" t="s">
        <v>18</v>
      </c>
      <c r="D25" s="27" t="n">
        <v>2068441</v>
      </c>
      <c r="E25" s="28" t="s">
        <v>14</v>
      </c>
      <c r="F25" s="14" t="s">
        <v>19</v>
      </c>
      <c r="G25" s="29" t="s">
        <v>20</v>
      </c>
      <c r="H25" s="21"/>
      <c r="I25" s="21"/>
      <c r="J25" s="21"/>
      <c r="K25" s="21"/>
      <c r="L25" s="21"/>
      <c r="V25" s="18"/>
      <c r="Z25" s="24"/>
    </row>
    <row r="26" customFormat="false" ht="12.75" hidden="false" customHeight="false" outlineLevel="0" collapsed="false">
      <c r="E26" s="29" t="s">
        <v>14</v>
      </c>
      <c r="F26" s="29" t="s">
        <v>14</v>
      </c>
      <c r="G26" s="14" t="s">
        <v>14</v>
      </c>
      <c r="H26" s="21"/>
      <c r="I26" s="21"/>
      <c r="J26" s="21"/>
      <c r="K26" s="21"/>
      <c r="L26" s="21"/>
      <c r="W26" s="30"/>
      <c r="X26" s="30"/>
    </row>
    <row r="27" customFormat="false" ht="12.75" hidden="false" customHeight="false" outlineLevel="0" collapsed="false">
      <c r="B27" s="15" t="s">
        <v>21</v>
      </c>
      <c r="D27" s="27" t="n">
        <v>670175.31362007</v>
      </c>
      <c r="E27" s="29" t="s">
        <v>14</v>
      </c>
      <c r="F27" s="14" t="s">
        <v>19</v>
      </c>
      <c r="G27" s="29" t="s">
        <v>22</v>
      </c>
      <c r="H27" s="21"/>
      <c r="I27" s="21"/>
      <c r="J27" s="21"/>
      <c r="K27" s="21"/>
      <c r="L27" s="21"/>
      <c r="W27" s="30"/>
      <c r="X27" s="30"/>
    </row>
    <row r="28" customFormat="false" ht="12.75" hidden="false" customHeight="false" outlineLevel="0" collapsed="false">
      <c r="B28" s="15" t="s">
        <v>23</v>
      </c>
      <c r="D28" s="27" t="n">
        <v>213045.152413996</v>
      </c>
      <c r="E28" s="29"/>
      <c r="F28" s="14" t="s">
        <v>19</v>
      </c>
      <c r="G28" s="29" t="s">
        <v>24</v>
      </c>
      <c r="H28" s="21"/>
      <c r="I28" s="21"/>
      <c r="J28" s="21"/>
      <c r="K28" s="21"/>
      <c r="L28" s="21"/>
      <c r="W28" s="30"/>
      <c r="X28" s="30"/>
    </row>
    <row r="29" customFormat="false" ht="12.75" hidden="false" customHeight="false" outlineLevel="0" collapsed="false">
      <c r="B29" s="15" t="s">
        <v>25</v>
      </c>
      <c r="D29" s="27" t="n">
        <v>73149.2083680455</v>
      </c>
      <c r="E29" s="29"/>
      <c r="F29" s="14" t="s">
        <v>19</v>
      </c>
      <c r="G29" s="29" t="s">
        <v>26</v>
      </c>
      <c r="H29" s="21"/>
      <c r="I29" s="21"/>
      <c r="J29" s="21"/>
      <c r="K29" s="21"/>
      <c r="L29" s="21"/>
      <c r="W29" s="30"/>
      <c r="X29" s="30"/>
    </row>
    <row r="30" customFormat="false" ht="12.75" hidden="false" customHeight="false" outlineLevel="0" collapsed="false">
      <c r="B30" s="15" t="s">
        <v>27</v>
      </c>
      <c r="D30" s="31" t="n">
        <v>30621.4823457456</v>
      </c>
      <c r="E30" s="29" t="s">
        <v>14</v>
      </c>
      <c r="F30" s="14" t="s">
        <v>19</v>
      </c>
      <c r="G30" s="29" t="s">
        <v>28</v>
      </c>
      <c r="H30" s="21"/>
      <c r="I30" s="21"/>
      <c r="J30" s="21"/>
      <c r="K30" s="21"/>
      <c r="L30" s="21"/>
      <c r="W30" s="30"/>
      <c r="X30" s="30"/>
    </row>
    <row r="31" customFormat="false" ht="12.75" hidden="false" customHeight="false" outlineLevel="0" collapsed="false">
      <c r="B31" s="15" t="s">
        <v>29</v>
      </c>
      <c r="D31" s="32" t="n">
        <f aca="false">SUM(D27:D30)</f>
        <v>986991.156747857</v>
      </c>
      <c r="E31" s="29"/>
      <c r="F31" s="14"/>
      <c r="G31" s="29"/>
      <c r="I31" s="21"/>
      <c r="J31" s="21"/>
      <c r="K31" s="21"/>
      <c r="L31" s="21"/>
    </row>
    <row r="32" customFormat="false" ht="13.5" hidden="false" customHeight="false" outlineLevel="0" collapsed="false">
      <c r="B32" s="15"/>
      <c r="D32" s="33"/>
      <c r="E32" s="29"/>
      <c r="F32" s="29"/>
      <c r="G32" s="14"/>
      <c r="I32" s="21"/>
      <c r="J32" s="21"/>
      <c r="K32" s="21"/>
      <c r="L32" s="21"/>
      <c r="W32" s="34"/>
      <c r="X32" s="34"/>
    </row>
    <row r="33" customFormat="false" ht="13.5" hidden="false" customHeight="false" outlineLevel="0" collapsed="false">
      <c r="B33" s="15" t="s">
        <v>30</v>
      </c>
      <c r="D33" s="32" t="n">
        <f aca="false">+D31+D25</f>
        <v>3055432.15674786</v>
      </c>
      <c r="H33" s="21"/>
      <c r="I33" s="21"/>
      <c r="J33" s="21"/>
      <c r="K33" s="21"/>
      <c r="L33" s="21"/>
      <c r="N33" s="18"/>
      <c r="O33" s="18"/>
      <c r="P33" s="18"/>
      <c r="Q33" s="18"/>
      <c r="W33" s="34"/>
      <c r="X33" s="34"/>
    </row>
    <row r="34" customFormat="false" ht="12.75" hidden="false" customHeight="false" outlineLevel="0" collapsed="false">
      <c r="H34" s="21"/>
      <c r="I34" s="21"/>
      <c r="J34" s="21"/>
      <c r="K34" s="21"/>
      <c r="L34" s="21"/>
      <c r="N34" s="18"/>
      <c r="O34" s="18"/>
      <c r="P34" s="18"/>
      <c r="Q34" s="18"/>
      <c r="W34" s="34"/>
      <c r="X34" s="34"/>
    </row>
    <row r="35" customFormat="false" ht="12.75" hidden="false" customHeight="false" outlineLevel="0" collapsed="false">
      <c r="H35" s="21"/>
      <c r="I35" s="21"/>
      <c r="J35" s="21"/>
      <c r="K35" s="21"/>
      <c r="L35" s="21"/>
      <c r="M35" s="21"/>
      <c r="N35" s="21"/>
      <c r="O35" s="21"/>
      <c r="P35" s="18"/>
      <c r="Q35" s="21"/>
      <c r="R35" s="21"/>
      <c r="W35" s="34"/>
      <c r="X35" s="34"/>
    </row>
    <row r="36" customFormat="false" ht="13.5" hidden="false" customHeight="false" outlineLevel="0" collapsed="false">
      <c r="H36" s="21"/>
      <c r="I36" s="21"/>
      <c r="J36" s="21"/>
      <c r="K36" s="21"/>
      <c r="L36" s="21"/>
      <c r="M36" s="21"/>
      <c r="N36" s="18"/>
      <c r="O36" s="18"/>
      <c r="P36" s="18"/>
      <c r="Q36" s="18"/>
      <c r="R36" s="21"/>
      <c r="W36" s="24"/>
      <c r="X36" s="24"/>
    </row>
    <row r="37" customFormat="false" ht="13.5" hidden="false" customHeight="false" outlineLevel="0" collapsed="false">
      <c r="B37" s="8" t="s">
        <v>31</v>
      </c>
      <c r="D37" s="26" t="s">
        <v>14</v>
      </c>
      <c r="E37" s="35" t="s">
        <v>14</v>
      </c>
      <c r="F37" s="14"/>
      <c r="G37" s="14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customFormat="false" ht="15" hidden="false" customHeight="false" outlineLevel="0" collapsed="false">
      <c r="B38" s="15" t="s">
        <v>32</v>
      </c>
      <c r="D38" s="16"/>
      <c r="E38" s="36"/>
      <c r="F38" s="14"/>
      <c r="G38" s="14"/>
      <c r="H38" s="21"/>
      <c r="I38" s="21"/>
      <c r="J38" s="21"/>
      <c r="K38" s="21"/>
      <c r="L38" s="21"/>
      <c r="M38" s="21"/>
      <c r="N38" s="37"/>
      <c r="O38" s="18"/>
      <c r="P38" s="18"/>
      <c r="Q38" s="18"/>
      <c r="R38" s="21"/>
    </row>
    <row r="39" customFormat="false" ht="12.75" hidden="false" customHeight="false" outlineLevel="0" collapsed="false">
      <c r="B39" s="15" t="s">
        <v>33</v>
      </c>
      <c r="D39" s="32" t="n">
        <f aca="false">+'DWR Billing Determinants'!D15</f>
        <v>1211015</v>
      </c>
      <c r="E39" s="1"/>
      <c r="F39" s="14"/>
      <c r="G39" s="14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</row>
    <row r="40" customFormat="false" ht="12.75" hidden="false" customHeight="false" outlineLevel="0" collapsed="false">
      <c r="B40" s="15" t="s">
        <v>34</v>
      </c>
      <c r="D40" s="38" t="n">
        <f aca="false">+E40*D19*10</f>
        <v>609736.222260286</v>
      </c>
      <c r="E40" s="39" t="n">
        <v>6.5</v>
      </c>
      <c r="G40" s="40"/>
      <c r="H40" s="21"/>
      <c r="I40" s="21"/>
      <c r="J40" s="21"/>
      <c r="K40" s="21"/>
      <c r="L40" s="21"/>
      <c r="M40" s="21"/>
      <c r="N40" s="18"/>
      <c r="O40" s="18"/>
      <c r="P40" s="18"/>
      <c r="Q40" s="21"/>
      <c r="R40" s="21"/>
    </row>
    <row r="41" customFormat="false" ht="12.75" hidden="false" customHeight="false" outlineLevel="0" collapsed="false">
      <c r="B41" s="15"/>
      <c r="D41" s="32" t="n">
        <f aca="false">SUM(D39:D40)</f>
        <v>1820751.22226029</v>
      </c>
      <c r="E41" s="39"/>
      <c r="F41" s="29"/>
      <c r="G41" s="40"/>
      <c r="H41" s="21"/>
      <c r="I41" s="21"/>
      <c r="J41" s="21"/>
      <c r="K41" s="21"/>
      <c r="L41" s="21"/>
      <c r="M41" s="21"/>
      <c r="N41" s="3"/>
      <c r="O41" s="21"/>
      <c r="P41" s="21"/>
      <c r="Q41" s="21"/>
      <c r="R41" s="21"/>
    </row>
    <row r="42" customFormat="false" ht="12.75" hidden="false" customHeight="false" outlineLevel="0" collapsed="false">
      <c r="G42" s="40"/>
      <c r="H42" s="21"/>
      <c r="I42" s="21"/>
      <c r="J42" s="21"/>
      <c r="K42" s="21"/>
      <c r="L42" s="21"/>
      <c r="M42" s="21"/>
      <c r="N42" s="3"/>
      <c r="O42" s="21"/>
      <c r="P42" s="21"/>
      <c r="Q42" s="21"/>
      <c r="R42" s="21"/>
    </row>
    <row r="43" customFormat="false" ht="12.75" hidden="false" customHeight="false" outlineLevel="0" collapsed="false">
      <c r="B43" s="15" t="s">
        <v>35</v>
      </c>
      <c r="D43" s="32" t="n">
        <f aca="false">+D25-D39</f>
        <v>857426</v>
      </c>
      <c r="E43" s="39"/>
      <c r="F43" s="14"/>
      <c r="G43" s="40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customFormat="false" ht="13.5" hidden="false" customHeight="false" outlineLevel="0" collapsed="false">
      <c r="B44" s="15" t="s">
        <v>36</v>
      </c>
      <c r="D44" s="33" t="n">
        <f aca="false">+D31-D40</f>
        <v>377254.934487571</v>
      </c>
      <c r="E44" s="39"/>
      <c r="F44" s="14"/>
      <c r="H44" s="21"/>
      <c r="I44" s="21"/>
      <c r="J44" s="21"/>
      <c r="K44" s="21"/>
      <c r="L44" s="21"/>
      <c r="M44" s="21"/>
      <c r="N44" s="18"/>
      <c r="O44" s="37"/>
      <c r="P44" s="18"/>
      <c r="Q44" s="41"/>
      <c r="R44" s="21"/>
    </row>
    <row r="45" customFormat="false" ht="13.5" hidden="false" customHeight="false" outlineLevel="0" collapsed="false">
      <c r="B45" s="15" t="s">
        <v>37</v>
      </c>
      <c r="D45" s="32" t="n">
        <f aca="false">+D33-D41</f>
        <v>1234680.93448757</v>
      </c>
      <c r="E45" s="39"/>
      <c r="F45" s="29" t="s">
        <v>14</v>
      </c>
      <c r="G45" s="40"/>
      <c r="H45" s="21"/>
      <c r="I45" s="21"/>
      <c r="J45" s="21"/>
      <c r="K45" s="21"/>
      <c r="L45" s="21"/>
      <c r="M45" s="21"/>
      <c r="N45" s="28"/>
      <c r="O45" s="42"/>
      <c r="P45" s="43"/>
      <c r="Q45" s="43"/>
      <c r="R45" s="21"/>
    </row>
    <row r="46" customFormat="false" ht="12.75" hidden="false" customHeight="false" outlineLevel="0" collapsed="false">
      <c r="B46" s="15"/>
      <c r="D46" s="32"/>
      <c r="E46" s="39"/>
      <c r="F46" s="29"/>
      <c r="G46" s="40"/>
      <c r="H46" s="21"/>
      <c r="I46" s="21"/>
      <c r="J46" s="21"/>
      <c r="K46" s="21"/>
      <c r="L46" s="21"/>
      <c r="M46" s="21"/>
      <c r="N46" s="18"/>
      <c r="O46" s="18"/>
      <c r="P46" s="18"/>
      <c r="Q46" s="18"/>
      <c r="R46" s="21"/>
    </row>
    <row r="47" customFormat="false" ht="13.5" hidden="false" customHeight="false" outlineLevel="0" collapsed="false">
      <c r="B47" s="15"/>
      <c r="D47" s="32"/>
      <c r="E47" s="39"/>
      <c r="F47" s="14"/>
      <c r="G47" s="40"/>
      <c r="H47" s="21"/>
      <c r="I47" s="21"/>
      <c r="J47" s="21"/>
      <c r="K47" s="21"/>
      <c r="L47" s="21"/>
    </row>
    <row r="48" customFormat="false" ht="13.5" hidden="false" customHeight="false" outlineLevel="0" collapsed="false">
      <c r="B48" s="44" t="s">
        <v>38</v>
      </c>
      <c r="C48" s="21"/>
      <c r="D48" s="21"/>
      <c r="E48" s="40"/>
      <c r="F48" s="40"/>
      <c r="G48" s="21"/>
      <c r="H48" s="21"/>
      <c r="I48" s="21"/>
      <c r="J48" s="21"/>
      <c r="K48" s="21"/>
      <c r="L48" s="21"/>
    </row>
    <row r="49" customFormat="false" ht="15" hidden="false" customHeight="false" outlineLevel="0" collapsed="false">
      <c r="B49" s="45"/>
      <c r="C49" s="45"/>
      <c r="D49" s="45"/>
      <c r="E49" s="45"/>
      <c r="F49" s="40"/>
      <c r="G49" s="21"/>
      <c r="H49" s="21"/>
      <c r="I49" s="21"/>
      <c r="J49" s="21"/>
      <c r="K49" s="21"/>
      <c r="L49" s="21"/>
    </row>
    <row r="50" customFormat="false" ht="15" hidden="false" customHeight="false" outlineLevel="0" collapsed="false">
      <c r="B50" s="46" t="s">
        <v>14</v>
      </c>
      <c r="C50" s="32"/>
      <c r="D50" s="21" t="s">
        <v>39</v>
      </c>
      <c r="E50" s="47" t="s">
        <v>14</v>
      </c>
      <c r="F50" s="48"/>
      <c r="G50" s="17" t="s">
        <v>40</v>
      </c>
      <c r="H50" s="21"/>
      <c r="I50" s="21" t="s">
        <v>41</v>
      </c>
      <c r="K50" s="21"/>
      <c r="L50" s="21"/>
    </row>
    <row r="51" customFormat="false" ht="12.75" hidden="false" customHeight="false" outlineLevel="0" collapsed="false">
      <c r="B51" s="21"/>
      <c r="C51" s="32" t="s">
        <v>14</v>
      </c>
      <c r="D51" s="15" t="s">
        <v>14</v>
      </c>
      <c r="E51" s="40"/>
      <c r="F51" s="40"/>
      <c r="G51" s="21"/>
      <c r="H51" s="21"/>
      <c r="I51" s="21"/>
      <c r="K51" s="21"/>
      <c r="L51" s="21"/>
    </row>
    <row r="52" customFormat="false" ht="12.75" hidden="false" customHeight="false" outlineLevel="0" collapsed="false">
      <c r="B52" s="21" t="s">
        <v>42</v>
      </c>
      <c r="C52" s="32"/>
      <c r="D52" s="32" t="n">
        <f aca="false">+D25</f>
        <v>2068441</v>
      </c>
      <c r="E52" s="40"/>
      <c r="F52" s="40"/>
      <c r="G52" s="49" t="n">
        <f aca="false">+D52*(E18/E19)</f>
        <v>1062416.36401496</v>
      </c>
      <c r="H52" s="21"/>
      <c r="I52" s="50" t="n">
        <f aca="false">+D52-G52</f>
        <v>1006024.63598504</v>
      </c>
      <c r="K52" s="21"/>
      <c r="L52" s="21"/>
    </row>
    <row r="53" customFormat="false" ht="12.75" hidden="false" customHeight="false" outlineLevel="0" collapsed="false">
      <c r="B53" s="21" t="s">
        <v>43</v>
      </c>
      <c r="C53" s="32"/>
      <c r="D53" s="51" t="n">
        <f aca="false">-D39</f>
        <v>-1211015</v>
      </c>
      <c r="E53" s="52"/>
      <c r="F53" s="52"/>
      <c r="G53" s="53" t="n">
        <f aca="false">-'DWR Billing Determinants'!G15</f>
        <v>-622015.398586458</v>
      </c>
      <c r="H53" s="54"/>
      <c r="I53" s="53" t="n">
        <f aca="false">-'DWR Billing Determinants'!J15</f>
        <v>-588999.601413542</v>
      </c>
      <c r="K53" s="21"/>
      <c r="L53" s="21"/>
    </row>
    <row r="54" customFormat="false" ht="12.75" hidden="false" customHeight="false" outlineLevel="0" collapsed="false">
      <c r="B54" s="21"/>
      <c r="C54" s="32"/>
      <c r="D54" s="32"/>
      <c r="E54" s="40"/>
      <c r="F54" s="40"/>
      <c r="G54" s="21"/>
      <c r="H54" s="21"/>
      <c r="I54" s="21"/>
      <c r="K54" s="21"/>
      <c r="L54" s="21"/>
    </row>
    <row r="55" customFormat="false" ht="12.75" hidden="false" customHeight="false" outlineLevel="0" collapsed="false">
      <c r="B55" s="15" t="s">
        <v>35</v>
      </c>
      <c r="D55" s="32" t="n">
        <f aca="false">+D52+D53</f>
        <v>857426</v>
      </c>
      <c r="E55" s="15"/>
      <c r="F55" s="21"/>
      <c r="G55" s="32" t="n">
        <f aca="false">SUM(G52:G53)</f>
        <v>440400.965428498</v>
      </c>
      <c r="H55" s="55"/>
      <c r="I55" s="32" t="n">
        <f aca="false">+D55-G55</f>
        <v>417025.034571502</v>
      </c>
      <c r="K55" s="21"/>
      <c r="L55" s="21"/>
      <c r="O55" s="24"/>
      <c r="Q55" s="18"/>
    </row>
    <row r="56" customFormat="false" ht="12.75" hidden="false" customHeight="false" outlineLevel="0" collapsed="false">
      <c r="B56" s="21" t="s">
        <v>44</v>
      </c>
      <c r="C56" s="32"/>
      <c r="D56" s="51" t="n">
        <v>-94000</v>
      </c>
      <c r="E56" s="15"/>
      <c r="F56" s="21"/>
      <c r="G56" s="51" t="n">
        <f aca="false">D56</f>
        <v>-94000</v>
      </c>
      <c r="H56" s="55"/>
      <c r="I56" s="56" t="s">
        <v>45</v>
      </c>
      <c r="K56" s="21"/>
      <c r="L56" s="21"/>
      <c r="O56" s="24"/>
      <c r="Q56" s="18"/>
    </row>
    <row r="57" customFormat="false" ht="15" hidden="false" customHeight="false" outlineLevel="0" collapsed="false">
      <c r="B57" s="15" t="s">
        <v>46</v>
      </c>
      <c r="C57" s="32"/>
      <c r="D57" s="51" t="n">
        <f aca="false">-((G55+G56)/('DWR Billing Determinants'!B17*'Rate Increase Model'!F18*10))*('DWR Billing Determinants'!B17-'DWR Billing Determinants'!B16)*'Rate Increase Model'!F18*10</f>
        <v>-87696.0435628758</v>
      </c>
      <c r="E57" s="57"/>
      <c r="F57" s="40"/>
      <c r="G57" s="51" t="n">
        <f aca="false">D57</f>
        <v>-87696.0435628758</v>
      </c>
      <c r="H57" s="57"/>
      <c r="I57" s="56" t="s">
        <v>45</v>
      </c>
      <c r="K57" s="57"/>
      <c r="O57" s="24"/>
      <c r="Q57" s="18"/>
    </row>
    <row r="58" customFormat="false" ht="12.75" hidden="false" customHeight="false" outlineLevel="0" collapsed="false">
      <c r="B58" s="15" t="s">
        <v>47</v>
      </c>
      <c r="C58" s="43" t="s">
        <v>14</v>
      </c>
      <c r="D58" s="43" t="n">
        <f aca="false">+G19</f>
        <v>22553.5572655429</v>
      </c>
      <c r="E58" s="58"/>
      <c r="F58" s="21"/>
      <c r="G58" s="37" t="n">
        <f aca="false">+G18</f>
        <v>6766.06717966286</v>
      </c>
      <c r="H58" s="59"/>
      <c r="I58" s="43" t="n">
        <f aca="false">+G17</f>
        <v>15787.49008588</v>
      </c>
      <c r="K58" s="58"/>
      <c r="L58" s="21"/>
      <c r="O58" s="24"/>
      <c r="Q58" s="18"/>
    </row>
    <row r="59" customFormat="false" ht="12.75" hidden="false" customHeight="false" outlineLevel="0" collapsed="false">
      <c r="B59" s="15" t="s">
        <v>48</v>
      </c>
      <c r="C59" s="28" t="s">
        <v>14</v>
      </c>
      <c r="D59" s="29" t="n">
        <f aca="false">(D55+D57+D56)/(D58*10)</f>
        <v>2.99611253551341</v>
      </c>
      <c r="E59" s="60"/>
      <c r="G59" s="29" t="n">
        <f aca="false">(G55+G57+G56)/(G58*10)</f>
        <v>3.82356419166552</v>
      </c>
      <c r="H59" s="61"/>
      <c r="I59" s="24" t="n">
        <f aca="false">+I55/(I58*10)</f>
        <v>2.6414903971625</v>
      </c>
      <c r="K59" s="61"/>
      <c r="L59" s="21"/>
      <c r="M59" s="21"/>
      <c r="O59" s="24"/>
      <c r="Q59" s="18"/>
    </row>
    <row r="60" customFormat="false" ht="13.5" hidden="false" customHeight="false" outlineLevel="0" collapsed="false">
      <c r="B60" s="15" t="s">
        <v>49</v>
      </c>
      <c r="C60" s="0" t="s">
        <v>14</v>
      </c>
      <c r="D60" s="62" t="n">
        <f aca="false">+G60*C12</f>
        <v>-0.198</v>
      </c>
      <c r="E60" s="62"/>
      <c r="F60" s="63"/>
      <c r="G60" s="62" t="n">
        <v>-0.66</v>
      </c>
      <c r="H60" s="63"/>
      <c r="I60" s="62" t="n">
        <v>0</v>
      </c>
      <c r="K60" s="64"/>
      <c r="L60" s="21"/>
      <c r="Q60" s="18"/>
    </row>
    <row r="61" customFormat="false" ht="13.5" hidden="false" customHeight="false" outlineLevel="0" collapsed="false">
      <c r="B61" s="65" t="s">
        <v>50</v>
      </c>
      <c r="C61" s="66" t="s">
        <v>14</v>
      </c>
      <c r="D61" s="66" t="n">
        <f aca="false">+D59+D60</f>
        <v>2.79811253551341</v>
      </c>
      <c r="E61" s="66" t="s">
        <v>14</v>
      </c>
      <c r="F61" s="67"/>
      <c r="G61" s="66" t="n">
        <f aca="false">+G59+G60</f>
        <v>3.16356419166552</v>
      </c>
      <c r="H61" s="67"/>
      <c r="I61" s="68" t="n">
        <f aca="false">+I59-I60</f>
        <v>2.6414903971625</v>
      </c>
      <c r="K61" s="69"/>
      <c r="L61" s="21"/>
    </row>
    <row r="62" customFormat="false" ht="12.75" hidden="false" customHeight="false" outlineLevel="0" collapsed="false">
      <c r="C62" s="1"/>
      <c r="D62" s="14"/>
      <c r="E62" s="15"/>
      <c r="F62" s="21"/>
      <c r="G62" s="2" t="s">
        <v>14</v>
      </c>
      <c r="H62" s="21"/>
      <c r="I62" s="9" t="s">
        <v>14</v>
      </c>
      <c r="K62" s="21"/>
      <c r="L62" s="21"/>
      <c r="Q62" s="70"/>
    </row>
    <row r="63" customFormat="false" ht="12.75" hidden="false" customHeight="false" outlineLevel="0" collapsed="false">
      <c r="C63" s="1"/>
      <c r="K63" s="21"/>
      <c r="L63" s="21"/>
      <c r="Q63" s="71"/>
      <c r="R63" s="34"/>
    </row>
    <row r="64" customFormat="false" ht="12.75" hidden="false" customHeight="false" outlineLevel="0" collapsed="false">
      <c r="C64" s="49"/>
      <c r="D64" s="71"/>
      <c r="F64" s="21"/>
      <c r="G64" s="49"/>
      <c r="H64" s="21"/>
      <c r="I64" s="32"/>
      <c r="K64" s="21"/>
      <c r="L64" s="21"/>
      <c r="Q64" s="71"/>
      <c r="R64" s="34"/>
    </row>
    <row r="65" customFormat="false" ht="12.75" hidden="false" customHeight="false" outlineLevel="0" collapsed="false">
      <c r="B65" s="15"/>
      <c r="C65" s="11"/>
      <c r="D65" s="11"/>
      <c r="E65" s="40"/>
      <c r="F65" s="40"/>
      <c r="G65" s="37"/>
      <c r="H65" s="21"/>
      <c r="I65" s="37"/>
      <c r="K65" s="21"/>
      <c r="L65" s="21"/>
      <c r="Q65" s="71"/>
      <c r="R65" s="34"/>
    </row>
    <row r="66" customFormat="false" ht="12.75" hidden="false" customHeight="false" outlineLevel="0" collapsed="false">
      <c r="B66" s="21"/>
      <c r="C66" s="28"/>
      <c r="D66" s="29"/>
      <c r="E66" s="15"/>
      <c r="F66" s="21"/>
      <c r="G66" s="29"/>
      <c r="H66" s="21"/>
      <c r="I66" s="29"/>
      <c r="J66" s="21"/>
      <c r="K66" s="21"/>
      <c r="L66" s="21"/>
      <c r="Q66" s="71"/>
      <c r="R66" s="34"/>
    </row>
    <row r="67" customFormat="false" ht="12.75" hidden="false" customHeight="false" outlineLevel="0" collapsed="false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Q67" s="71"/>
      <c r="R67" s="34"/>
    </row>
    <row r="68" customFormat="false" ht="12.75" hidden="false" customHeight="false" outlineLevel="0" collapsed="false">
      <c r="B68" s="72"/>
      <c r="C68" s="73"/>
      <c r="D68" s="74"/>
      <c r="E68" s="46"/>
      <c r="F68" s="72"/>
      <c r="G68" s="46"/>
      <c r="H68" s="72"/>
      <c r="I68" s="74"/>
      <c r="J68" s="21"/>
      <c r="K68" s="21"/>
      <c r="L68" s="21"/>
      <c r="Q68" s="71"/>
      <c r="R68" s="34"/>
    </row>
    <row r="69" customFormat="false" ht="12.75" hidden="false" customHeight="false" outlineLevel="0" collapsed="false">
      <c r="G69" s="24" t="s">
        <v>14</v>
      </c>
      <c r="J69" s="24" t="s">
        <v>14</v>
      </c>
      <c r="K69" s="21"/>
      <c r="L69" s="21"/>
      <c r="Q69" s="71"/>
      <c r="R69" s="34"/>
    </row>
    <row r="70" customFormat="false" ht="12.75" hidden="false" customHeight="false" outlineLevel="0" collapsed="false">
      <c r="K70" s="21"/>
      <c r="L70" s="21"/>
    </row>
    <row r="71" customFormat="false" ht="12.75" hidden="false" customHeight="false" outlineLevel="0" collapsed="false">
      <c r="K71" s="21"/>
      <c r="L71" s="21"/>
    </row>
    <row r="72" customFormat="false" ht="12.75" hidden="false" customHeight="false" outlineLevel="0" collapsed="false">
      <c r="K72" s="21"/>
      <c r="L72" s="21"/>
    </row>
    <row r="73" customFormat="false" ht="12.75" hidden="false" customHeight="false" outlineLevel="0" collapsed="false">
      <c r="K73" s="21"/>
      <c r="L73" s="21"/>
    </row>
    <row r="74" customFormat="false" ht="12.75" hidden="false" customHeight="false" outlineLevel="0" collapsed="false">
      <c r="K74" s="21"/>
      <c r="L74" s="21"/>
    </row>
    <row r="75" customFormat="false" ht="12.75" hidden="false" customHeight="false" outlineLevel="0" collapsed="false">
      <c r="B75" s="46"/>
      <c r="C75" s="46"/>
      <c r="D75" s="72"/>
      <c r="E75" s="46"/>
      <c r="F75" s="21"/>
      <c r="G75" s="21"/>
      <c r="H75" s="21"/>
      <c r="I75" s="46"/>
      <c r="J75" s="72"/>
      <c r="K75" s="21"/>
      <c r="L75" s="21"/>
    </row>
    <row r="76" customFormat="false" ht="12.75" hidden="false" customHeight="false" outlineLevel="0" collapsed="false">
      <c r="B76" s="46"/>
      <c r="C76" s="46"/>
      <c r="D76" s="72"/>
      <c r="E76" s="46"/>
      <c r="F76" s="21"/>
      <c r="G76" s="21"/>
      <c r="H76" s="21"/>
      <c r="I76" s="46" t="s">
        <v>14</v>
      </c>
      <c r="J76" s="72"/>
      <c r="K76" s="21"/>
      <c r="L76" s="21"/>
    </row>
    <row r="77" customFormat="false" ht="12.75" hidden="false" customHeight="false" outlineLevel="0" collapsed="false">
      <c r="B77" s="15"/>
      <c r="C77" s="15"/>
      <c r="D77" s="21"/>
      <c r="F77" s="21"/>
      <c r="G77" s="21"/>
      <c r="H77" s="21"/>
      <c r="I77" s="15" t="s">
        <v>14</v>
      </c>
      <c r="J77" s="21"/>
      <c r="K77" s="21"/>
      <c r="L77" s="21"/>
    </row>
    <row r="78" customFormat="false" ht="12.75" hidden="false" customHeight="false" outlineLevel="0" collapsed="false">
      <c r="B78" s="21"/>
      <c r="C78" s="21"/>
      <c r="D78" s="21"/>
      <c r="E78" s="40"/>
      <c r="F78" s="21"/>
      <c r="G78" s="21"/>
      <c r="H78" s="21"/>
      <c r="I78" s="21"/>
      <c r="J78" s="21"/>
      <c r="K78" s="21"/>
      <c r="L78" s="21"/>
    </row>
    <row r="79" customFormat="false" ht="12.75" hidden="false" customHeight="false" outlineLevel="0" collapsed="false">
      <c r="B79" s="75"/>
      <c r="C79" s="76"/>
      <c r="D79" s="64"/>
      <c r="E79" s="40"/>
      <c r="F79" s="21"/>
      <c r="G79" s="21"/>
      <c r="H79" s="21"/>
      <c r="I79" s="76"/>
      <c r="J79" s="64"/>
      <c r="K79" s="21"/>
      <c r="L79" s="21"/>
      <c r="M79" s="21"/>
      <c r="N79" s="21"/>
    </row>
    <row r="80" customFormat="false" ht="12.75" hidden="false" customHeight="false" outlineLevel="0" collapsed="false">
      <c r="B80" s="77"/>
      <c r="C80" s="76"/>
      <c r="D80" s="64"/>
      <c r="E80" s="40"/>
      <c r="F80" s="21"/>
      <c r="G80" s="78"/>
      <c r="H80" s="21"/>
      <c r="I80" s="76"/>
      <c r="J80" s="64"/>
      <c r="K80" s="21"/>
      <c r="L80" s="21"/>
      <c r="M80" s="21"/>
      <c r="N80" s="21"/>
    </row>
    <row r="81" customFormat="false" ht="12.75" hidden="false" customHeight="false" outlineLevel="0" collapsed="false">
      <c r="B81" s="15"/>
      <c r="C81" s="43"/>
      <c r="D81" s="9"/>
      <c r="E81" s="40"/>
      <c r="F81" s="21"/>
      <c r="G81" s="18"/>
      <c r="H81" s="21"/>
      <c r="I81" s="18"/>
      <c r="J81" s="21"/>
      <c r="K81" s="21"/>
      <c r="L81" s="21"/>
      <c r="M81" s="21"/>
      <c r="N81" s="21"/>
    </row>
    <row r="82" customFormat="false" ht="12.75" hidden="false" customHeight="false" outlineLevel="0" collapsed="false">
      <c r="B82" s="15"/>
      <c r="C82" s="43"/>
      <c r="D82" s="9"/>
      <c r="E82" s="9"/>
      <c r="F82" s="21"/>
      <c r="G82" s="37"/>
      <c r="H82" s="55"/>
      <c r="I82" s="79"/>
      <c r="J82" s="21"/>
      <c r="K82" s="21"/>
      <c r="L82" s="21"/>
      <c r="M82" s="21"/>
      <c r="N82" s="21"/>
    </row>
    <row r="83" customFormat="false" ht="12.75" hidden="false" customHeight="false" outlineLevel="0" collapsed="false">
      <c r="B83" s="15"/>
      <c r="C83" s="43"/>
      <c r="D83" s="9"/>
      <c r="E83" s="9"/>
      <c r="F83" s="21"/>
      <c r="G83" s="37"/>
      <c r="H83" s="21"/>
      <c r="I83" s="37"/>
      <c r="J83" s="21"/>
      <c r="K83" s="21"/>
      <c r="L83" s="21"/>
      <c r="M83" s="21"/>
      <c r="N83" s="21"/>
    </row>
    <row r="84" customFormat="false" ht="12.75" hidden="false" customHeight="false" outlineLevel="0" collapsed="false">
      <c r="B84" s="15"/>
      <c r="C84" s="43"/>
      <c r="D84" s="9"/>
      <c r="E84" s="9"/>
      <c r="F84" s="21"/>
      <c r="G84" s="79"/>
      <c r="H84" s="21"/>
      <c r="I84" s="37"/>
      <c r="J84" s="21"/>
      <c r="K84" s="21"/>
      <c r="L84" s="21"/>
      <c r="M84" s="21"/>
      <c r="N84" s="21"/>
    </row>
    <row r="85" customFormat="false" ht="12.75" hidden="false" customHeight="false" outlineLevel="0" collapsed="false">
      <c r="B85" s="15"/>
      <c r="C85" s="43"/>
      <c r="D85" s="9"/>
      <c r="E85" s="9"/>
      <c r="F85" s="21"/>
      <c r="G85" s="79"/>
      <c r="H85" s="21"/>
      <c r="I85" s="37"/>
      <c r="J85" s="21"/>
      <c r="K85" s="21"/>
      <c r="L85" s="21"/>
      <c r="M85" s="21"/>
      <c r="N85" s="21"/>
    </row>
    <row r="86" customFormat="false" ht="12.75" hidden="false" customHeight="false" outlineLevel="0" collapsed="false">
      <c r="B86" s="15"/>
      <c r="C86" s="43"/>
      <c r="D86" s="9"/>
      <c r="E86" s="9"/>
      <c r="F86" s="21"/>
      <c r="G86" s="79"/>
      <c r="H86" s="21"/>
      <c r="I86" s="37"/>
      <c r="J86" s="21"/>
      <c r="K86" s="21"/>
      <c r="L86" s="21"/>
      <c r="M86" s="21"/>
      <c r="N86" s="21"/>
    </row>
    <row r="87" customFormat="false" ht="12.75" hidden="false" customHeight="false" outlineLevel="0" collapsed="false">
      <c r="B87" s="15"/>
      <c r="C87" s="43"/>
      <c r="D87" s="9"/>
      <c r="E87" s="40"/>
      <c r="F87" s="21"/>
      <c r="G87" s="21"/>
      <c r="H87" s="21"/>
      <c r="I87" s="21"/>
      <c r="J87" s="21"/>
      <c r="K87" s="21"/>
      <c r="L87" s="21"/>
      <c r="M87" s="21"/>
      <c r="N87" s="21"/>
    </row>
    <row r="88" customFormat="false" ht="12.75" hidden="false" customHeight="false" outlineLevel="0" collapsed="false">
      <c r="B88" s="15"/>
      <c r="C88" s="43"/>
      <c r="D88" s="9"/>
      <c r="E88" s="9"/>
      <c r="F88" s="21"/>
      <c r="G88" s="37"/>
      <c r="H88" s="21"/>
      <c r="I88" s="18"/>
      <c r="J88" s="21"/>
      <c r="K88" s="21"/>
      <c r="L88" s="21"/>
      <c r="M88" s="21"/>
      <c r="N88" s="21"/>
    </row>
    <row r="89" customFormat="false" ht="12.75" hidden="false" customHeight="false" outlineLevel="0" collapsed="false">
      <c r="B89" s="15"/>
      <c r="C89" s="43"/>
      <c r="D89" s="9"/>
      <c r="E89" s="9"/>
      <c r="F89" s="21"/>
      <c r="G89" s="37"/>
      <c r="H89" s="21"/>
      <c r="I89" s="21"/>
      <c r="J89" s="21"/>
      <c r="K89" s="21"/>
      <c r="L89" s="21"/>
      <c r="M89" s="21"/>
      <c r="N89" s="21"/>
    </row>
    <row r="90" customFormat="false" ht="12.75" hidden="false" customHeight="false" outlineLevel="0" collapsed="false">
      <c r="B90" s="15"/>
      <c r="C90" s="43"/>
      <c r="D90" s="9"/>
      <c r="E90" s="40"/>
      <c r="F90" s="40"/>
      <c r="G90" s="79"/>
      <c r="H90" s="21"/>
      <c r="I90" s="37"/>
      <c r="J90" s="21"/>
      <c r="K90" s="21"/>
      <c r="L90" s="21"/>
      <c r="M90" s="21"/>
      <c r="N90" s="21"/>
    </row>
    <row r="91" customFormat="false" ht="12.75" hidden="false" customHeight="false" outlineLevel="0" collapsed="false">
      <c r="B91" s="15"/>
      <c r="C91" s="43"/>
      <c r="D91" s="9"/>
      <c r="E91" s="40"/>
      <c r="F91" s="40"/>
      <c r="G91" s="37"/>
      <c r="H91" s="21"/>
      <c r="I91" s="37"/>
      <c r="J91" s="21"/>
      <c r="K91" s="21"/>
      <c r="L91" s="21"/>
      <c r="M91" s="21"/>
      <c r="N91" s="21"/>
    </row>
    <row r="92" customFormat="false" ht="15.75" hidden="false" customHeight="false" outlineLevel="0" collapsed="false">
      <c r="B92" s="15"/>
      <c r="C92" s="80"/>
      <c r="D92" s="80"/>
      <c r="E92" s="80"/>
      <c r="F92" s="40"/>
      <c r="G92" s="21"/>
      <c r="H92" s="21"/>
      <c r="I92" s="21"/>
    </row>
    <row r="93" customFormat="false" ht="12.75" hidden="false" customHeight="false" outlineLevel="0" collapsed="false">
      <c r="B93" s="21"/>
      <c r="C93" s="21"/>
      <c r="D93" s="21"/>
      <c r="E93" s="40"/>
      <c r="F93" s="40"/>
      <c r="G93" s="21"/>
      <c r="H93" s="21"/>
      <c r="I93" s="21"/>
    </row>
    <row r="94" customFormat="false" ht="15" hidden="false" customHeight="false" outlineLevel="0" collapsed="false">
      <c r="B94" s="81"/>
      <c r="C94" s="82"/>
      <c r="D94" s="45"/>
      <c r="E94" s="40"/>
      <c r="F94" s="40"/>
      <c r="G94" s="49"/>
      <c r="H94" s="21"/>
      <c r="I94" s="50"/>
    </row>
    <row r="95" customFormat="false" ht="12.75" hidden="false" customHeight="false" outlineLevel="0" collapsed="false">
      <c r="B95" s="15"/>
      <c r="C95" s="32"/>
      <c r="D95" s="29"/>
      <c r="E95" s="40"/>
      <c r="F95" s="40"/>
      <c r="G95" s="49"/>
      <c r="H95" s="21"/>
      <c r="I95" s="50"/>
    </row>
    <row r="96" customFormat="false" ht="12.75" hidden="false" customHeight="false" outlineLevel="0" collapsed="false">
      <c r="B96" s="15"/>
      <c r="C96" s="32"/>
      <c r="D96" s="29"/>
      <c r="E96" s="40"/>
      <c r="F96" s="40"/>
      <c r="G96" s="3"/>
      <c r="H96" s="21"/>
      <c r="I96" s="50"/>
    </row>
    <row r="97" customFormat="false" ht="12.75" hidden="false" customHeight="false" outlineLevel="0" collapsed="false">
      <c r="B97" s="15"/>
      <c r="C97" s="32"/>
      <c r="D97" s="29"/>
      <c r="E97" s="40"/>
      <c r="F97" s="40"/>
      <c r="G97" s="71"/>
      <c r="H97" s="21"/>
      <c r="I97" s="50"/>
    </row>
    <row r="98" customFormat="false" ht="12.75" hidden="false" customHeight="false" outlineLevel="0" collapsed="false">
      <c r="B98" s="15"/>
      <c r="C98" s="32"/>
      <c r="D98" s="29"/>
      <c r="E98" s="40"/>
      <c r="F98" s="40"/>
      <c r="H98" s="21"/>
      <c r="I98" s="21"/>
    </row>
    <row r="99" customFormat="false" ht="12.75" hidden="false" customHeight="false" outlineLevel="0" collapsed="false">
      <c r="B99" s="15"/>
      <c r="C99" s="15"/>
      <c r="D99" s="14"/>
      <c r="E99" s="40"/>
      <c r="F99" s="40"/>
    </row>
    <row r="100" customFormat="false" ht="12.75" hidden="false" customHeight="false" outlineLevel="0" collapsed="false">
      <c r="B100" s="15"/>
      <c r="C100" s="32"/>
      <c r="D100" s="29"/>
      <c r="E100" s="40"/>
      <c r="F100" s="40"/>
    </row>
    <row r="101" customFormat="false" ht="12.75" hidden="false" customHeight="false" outlineLevel="0" collapsed="false">
      <c r="B101" s="15"/>
      <c r="C101" s="32"/>
      <c r="D101" s="25"/>
      <c r="E101" s="40"/>
      <c r="F101" s="40"/>
    </row>
    <row r="102" customFormat="false" ht="12.75" hidden="false" customHeight="false" outlineLevel="0" collapsed="false">
      <c r="B102" s="15"/>
      <c r="C102" s="32"/>
      <c r="D102" s="25"/>
      <c r="E102" s="40"/>
      <c r="F102" s="40"/>
    </row>
    <row r="103" customFormat="false" ht="12.75" hidden="false" customHeight="false" outlineLevel="0" collapsed="false">
      <c r="B103" s="15"/>
      <c r="C103" s="32"/>
      <c r="D103" s="25"/>
      <c r="E103" s="40"/>
      <c r="F103" s="40"/>
    </row>
    <row r="104" customFormat="false" ht="12.75" hidden="false" customHeight="false" outlineLevel="0" collapsed="false">
      <c r="B104" s="15"/>
      <c r="C104" s="21"/>
      <c r="D104" s="83"/>
      <c r="E104" s="40"/>
      <c r="F104" s="40"/>
    </row>
    <row r="105" customFormat="false" ht="12.75" hidden="false" customHeight="false" outlineLevel="0" collapsed="false">
      <c r="B105" s="15"/>
      <c r="C105" s="50"/>
      <c r="D105" s="25"/>
      <c r="E105" s="40"/>
      <c r="F105" s="40"/>
      <c r="G105" s="21"/>
      <c r="H105" s="21"/>
      <c r="I105" s="21"/>
    </row>
    <row r="106" customFormat="false" ht="12.75" hidden="false" customHeight="false" outlineLevel="0" collapsed="false">
      <c r="B106" s="15"/>
      <c r="C106" s="49"/>
      <c r="D106" s="25"/>
      <c r="E106" s="40"/>
      <c r="F106" s="40"/>
      <c r="G106" s="21"/>
      <c r="H106" s="21"/>
      <c r="I106" s="21"/>
    </row>
    <row r="107" customFormat="false" ht="12.75" hidden="false" customHeight="false" outlineLevel="0" collapsed="false">
      <c r="B107" s="15"/>
      <c r="C107" s="37"/>
      <c r="D107" s="25"/>
      <c r="E107" s="40"/>
      <c r="F107" s="40"/>
      <c r="G107" s="21"/>
      <c r="H107" s="21"/>
      <c r="I107" s="21"/>
    </row>
    <row r="108" customFormat="false" ht="15" hidden="false" customHeight="false" outlineLevel="0" collapsed="false">
      <c r="B108" s="15"/>
      <c r="C108" s="50"/>
      <c r="D108" s="25"/>
      <c r="E108" s="84"/>
      <c r="F108" s="84"/>
      <c r="G108" s="21"/>
      <c r="H108" s="21"/>
      <c r="I108" s="21"/>
    </row>
    <row r="109" customFormat="false" ht="15" hidden="false" customHeight="false" outlineLevel="0" collapsed="false">
      <c r="B109" s="15"/>
      <c r="C109" s="85"/>
      <c r="D109" s="25"/>
      <c r="E109" s="84"/>
      <c r="F109" s="86"/>
    </row>
    <row r="110" customFormat="false" ht="15" hidden="false" customHeight="false" outlineLevel="0" collapsed="false">
      <c r="B110" s="15"/>
      <c r="C110" s="85"/>
      <c r="D110" s="87"/>
      <c r="E110" s="86"/>
      <c r="F110" s="86"/>
    </row>
    <row r="111" customFormat="false" ht="15" hidden="false" customHeight="false" outlineLevel="0" collapsed="false">
      <c r="B111" s="15"/>
      <c r="C111" s="85"/>
      <c r="D111" s="88"/>
      <c r="E111" s="43"/>
      <c r="F111" s="86"/>
      <c r="G111" s="71"/>
      <c r="J111" s="11"/>
      <c r="K111" s="71"/>
      <c r="L111" s="71"/>
    </row>
  </sheetData>
  <mergeCells count="3">
    <mergeCell ref="B2:F2"/>
    <mergeCell ref="B3:F3"/>
    <mergeCell ref="C92:E92"/>
  </mergeCells>
  <printOptions headings="false" gridLines="false" gridLinesSet="true" horizontalCentered="true" verticalCentered="false"/>
  <pageMargins left="0" right="0" top="0.470138888888889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&amp;L&amp;8&amp;F   &amp;A&amp;R&amp;8&amp;D 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15" min="4" style="0" width="10.28"/>
  </cols>
  <sheetData>
    <row r="1" customFormat="false" ht="12.75" hidden="false" customHeight="false" outlineLevel="0" collapsed="false">
      <c r="A1" s="0" t="s">
        <v>51</v>
      </c>
    </row>
    <row r="3" customFormat="false" ht="12.75" hidden="false" customHeight="false" outlineLevel="0" collapsed="false">
      <c r="A3" s="0" t="s">
        <v>52</v>
      </c>
    </row>
    <row r="4" customFormat="false" ht="12.75" hidden="false" customHeight="false" outlineLevel="0" collapsed="false">
      <c r="A4" s="0" t="s">
        <v>53</v>
      </c>
    </row>
    <row r="5" customFormat="false" ht="12.75" hidden="false" customHeight="false" outlineLevel="0" collapsed="false">
      <c r="A5" s="0" t="s">
        <v>54</v>
      </c>
    </row>
    <row r="7" customFormat="false" ht="12.75" hidden="false" customHeight="false" outlineLevel="0" collapsed="false">
      <c r="A7" s="89" t="s">
        <v>55</v>
      </c>
      <c r="B7" s="89"/>
      <c r="C7" s="89"/>
    </row>
    <row r="8" customFormat="false" ht="12.75" hidden="false" customHeight="false" outlineLevel="0" collapsed="false">
      <c r="A8" s="89" t="s">
        <v>56</v>
      </c>
      <c r="B8" s="89"/>
      <c r="C8" s="89"/>
    </row>
    <row r="9" customFormat="false" ht="12.75" hidden="false" customHeight="false" outlineLevel="0" collapsed="false">
      <c r="B9" s="90" t="s">
        <v>57</v>
      </c>
      <c r="D9" s="91" t="n">
        <v>37073</v>
      </c>
      <c r="E9" s="91" t="n">
        <v>37104</v>
      </c>
      <c r="F9" s="91" t="n">
        <v>37135</v>
      </c>
      <c r="G9" s="91" t="n">
        <v>37165</v>
      </c>
      <c r="H9" s="91" t="n">
        <v>37196</v>
      </c>
      <c r="I9" s="91" t="n">
        <v>37226</v>
      </c>
      <c r="J9" s="91" t="n">
        <v>37257</v>
      </c>
      <c r="K9" s="91" t="n">
        <v>37288</v>
      </c>
      <c r="L9" s="91" t="n">
        <v>37316</v>
      </c>
      <c r="M9" s="91" t="n">
        <v>37347</v>
      </c>
      <c r="N9" s="91" t="n">
        <v>37377</v>
      </c>
      <c r="O9" s="91" t="n">
        <v>37408</v>
      </c>
    </row>
    <row r="10" customFormat="false" ht="12.75" hidden="false" customHeight="false" outlineLevel="0" collapsed="false">
      <c r="A10" s="0" t="s">
        <v>58</v>
      </c>
      <c r="D10" s="92" t="n">
        <v>360</v>
      </c>
      <c r="E10" s="92" t="n">
        <v>500</v>
      </c>
      <c r="F10" s="92" t="n">
        <v>285</v>
      </c>
      <c r="G10" s="92" t="n">
        <v>212</v>
      </c>
      <c r="H10" s="92" t="n">
        <v>192</v>
      </c>
      <c r="I10" s="92" t="n">
        <v>164</v>
      </c>
      <c r="J10" s="92" t="n">
        <v>159</v>
      </c>
      <c r="K10" s="92" t="n">
        <v>120</v>
      </c>
      <c r="L10" s="92" t="n">
        <v>110</v>
      </c>
      <c r="M10" s="92" t="n">
        <v>100.519436528765</v>
      </c>
      <c r="N10" s="92" t="n">
        <v>100.947062903449</v>
      </c>
      <c r="O10" s="92" t="n">
        <v>143.533500567786</v>
      </c>
    </row>
    <row r="11" customFormat="false" ht="12.75" hidden="false" customHeight="false" outlineLevel="0" collapsed="false">
      <c r="A11" s="0" t="s">
        <v>59</v>
      </c>
      <c r="D11" s="92" t="n">
        <v>160</v>
      </c>
      <c r="E11" s="92" t="n">
        <v>195</v>
      </c>
      <c r="F11" s="92" t="n">
        <v>155</v>
      </c>
      <c r="G11" s="92" t="n">
        <v>119</v>
      </c>
      <c r="H11" s="92" t="n">
        <v>111</v>
      </c>
      <c r="I11" s="92" t="n">
        <v>120</v>
      </c>
      <c r="J11" s="92" t="n">
        <v>71</v>
      </c>
      <c r="K11" s="92" t="n">
        <v>74</v>
      </c>
      <c r="L11" s="92" t="n">
        <v>72</v>
      </c>
      <c r="M11" s="92" t="n">
        <v>62.975386326205</v>
      </c>
      <c r="N11" s="92" t="n">
        <v>68.6476331390979</v>
      </c>
      <c r="O11" s="92" t="n">
        <v>78.3769805346971</v>
      </c>
    </row>
    <row r="12" customFormat="false" ht="12.75" hidden="false" customHeight="false" outlineLevel="0" collapsed="false">
      <c r="A12" s="89" t="s">
        <v>60</v>
      </c>
      <c r="B12" s="89"/>
      <c r="C12" s="89"/>
    </row>
    <row r="13" customFormat="false" ht="12.75" hidden="false" customHeight="false" outlineLevel="0" collapsed="false">
      <c r="A13" s="0" t="s">
        <v>61</v>
      </c>
      <c r="D13" s="93" t="n">
        <v>0.0476640021156831</v>
      </c>
      <c r="E13" s="93" t="n">
        <v>0.0476640021156831</v>
      </c>
      <c r="F13" s="93" t="n">
        <v>0.0476640021156831</v>
      </c>
      <c r="G13" s="93" t="n">
        <v>0.0476640021156831</v>
      </c>
      <c r="H13" s="93" t="n">
        <v>0.0476640021156831</v>
      </c>
      <c r="I13" s="93" t="n">
        <v>0.0476640021156831</v>
      </c>
      <c r="J13" s="93" t="n">
        <v>0.0476640021156831</v>
      </c>
      <c r="K13" s="93" t="n">
        <v>0.0476640021156831</v>
      </c>
      <c r="L13" s="93" t="n">
        <v>0.0476640021156831</v>
      </c>
      <c r="M13" s="93" t="n">
        <v>0.0476640021156831</v>
      </c>
      <c r="N13" s="93" t="n">
        <v>0.0476640021156831</v>
      </c>
      <c r="O13" s="93" t="n">
        <v>0.0476640021156831</v>
      </c>
    </row>
    <row r="14" customFormat="false" ht="12.75" hidden="false" customHeight="false" outlineLevel="0" collapsed="false">
      <c r="A14" s="0" t="s">
        <v>62</v>
      </c>
      <c r="D14" s="93" t="n">
        <v>0.0163654698682833</v>
      </c>
      <c r="E14" s="93" t="n">
        <v>0.0163654698682833</v>
      </c>
      <c r="F14" s="93" t="n">
        <v>0.0163654698682833</v>
      </c>
      <c r="G14" s="93" t="n">
        <v>0.0163654698682833</v>
      </c>
      <c r="H14" s="93" t="n">
        <v>0.0163654698682833</v>
      </c>
      <c r="I14" s="93" t="n">
        <v>0.0163654698682833</v>
      </c>
      <c r="J14" s="93" t="n">
        <v>0.0163654698682833</v>
      </c>
      <c r="K14" s="93" t="n">
        <v>0.0163654698682833</v>
      </c>
      <c r="L14" s="93" t="n">
        <v>0.0163654698682833</v>
      </c>
      <c r="M14" s="93" t="n">
        <v>0.0163654698682833</v>
      </c>
      <c r="N14" s="93" t="n">
        <v>0.0163654698682833</v>
      </c>
      <c r="O14" s="93" t="n">
        <v>0.0163654698682833</v>
      </c>
    </row>
    <row r="15" customFormat="false" ht="12.75" hidden="false" customHeight="false" outlineLevel="0" collapsed="false">
      <c r="A15" s="0" t="s">
        <v>63</v>
      </c>
      <c r="D15" s="3" t="n">
        <v>1.14</v>
      </c>
      <c r="E15" s="3" t="n">
        <v>1.14</v>
      </c>
      <c r="F15" s="3" t="n">
        <v>1.14</v>
      </c>
      <c r="G15" s="3" t="n">
        <v>1.14</v>
      </c>
      <c r="H15" s="3" t="n">
        <v>1.14</v>
      </c>
      <c r="I15" s="3" t="n">
        <v>1.14</v>
      </c>
      <c r="J15" s="3" t="n">
        <v>1.14</v>
      </c>
      <c r="K15" s="3" t="n">
        <v>1.14</v>
      </c>
      <c r="L15" s="3" t="n">
        <v>1.14</v>
      </c>
      <c r="M15" s="3" t="n">
        <v>1.14</v>
      </c>
      <c r="N15" s="3" t="n">
        <v>1.14</v>
      </c>
      <c r="O15" s="3" t="n">
        <v>1.14</v>
      </c>
    </row>
    <row r="16" customFormat="false" ht="12.75" hidden="false" customHeight="false" outlineLevel="0" collapsed="false">
      <c r="A16" s="89" t="s">
        <v>64</v>
      </c>
      <c r="B16" s="89"/>
      <c r="C16" s="89"/>
    </row>
    <row r="17" customFormat="false" ht="12.75" hidden="false" customHeight="false" outlineLevel="0" collapsed="false">
      <c r="A17" s="0" t="s">
        <v>65</v>
      </c>
      <c r="B17" s="11" t="n">
        <f aca="false">SUM(D17:O17)</f>
        <v>17476449.372506</v>
      </c>
      <c r="D17" s="18" t="n">
        <v>1578120.25503627</v>
      </c>
      <c r="E17" s="18" t="n">
        <v>1671462.79168716</v>
      </c>
      <c r="F17" s="18" t="n">
        <v>1568277.99048257</v>
      </c>
      <c r="G17" s="18" t="n">
        <v>1474650.85910787</v>
      </c>
      <c r="H17" s="18" t="n">
        <v>1375096.81523137</v>
      </c>
      <c r="I17" s="18" t="n">
        <v>1454844.23389888</v>
      </c>
      <c r="J17" s="18" t="n">
        <v>1445449.17698596</v>
      </c>
      <c r="K17" s="18" t="n">
        <v>1291595.61019295</v>
      </c>
      <c r="L17" s="18" t="n">
        <v>1414096.36142271</v>
      </c>
      <c r="M17" s="18" t="n">
        <v>1356654.23942267</v>
      </c>
      <c r="N17" s="18" t="n">
        <v>1410521.70100191</v>
      </c>
      <c r="O17" s="18" t="n">
        <v>1435679.33803566</v>
      </c>
    </row>
    <row r="18" customFormat="false" ht="12.75" hidden="false" customHeight="false" outlineLevel="0" collapsed="false">
      <c r="A18" s="0" t="s">
        <v>66</v>
      </c>
      <c r="B18" s="11" t="n">
        <f aca="false">SUM(D18:O18)</f>
        <v>12949102.7263824</v>
      </c>
      <c r="D18" s="11" t="n">
        <v>1171603.30975</v>
      </c>
      <c r="E18" s="11" t="n">
        <v>1250233.19410939</v>
      </c>
      <c r="F18" s="11" t="n">
        <v>1164339.98946045</v>
      </c>
      <c r="G18" s="11" t="n">
        <v>1100105.58922865</v>
      </c>
      <c r="H18" s="11" t="n">
        <v>1021946.08010338</v>
      </c>
      <c r="I18" s="11" t="n">
        <v>1073268.75534729</v>
      </c>
      <c r="J18" s="11" t="n">
        <v>1067756.69664131</v>
      </c>
      <c r="K18" s="11" t="n">
        <v>953831.070310718</v>
      </c>
      <c r="L18" s="11" t="n">
        <v>1046699.3739928</v>
      </c>
      <c r="M18" s="11" t="n">
        <v>996409.41440265</v>
      </c>
      <c r="N18" s="11" t="n">
        <v>1038782.89168434</v>
      </c>
      <c r="O18" s="11" t="n">
        <v>1064126.36135138</v>
      </c>
    </row>
    <row r="19" customFormat="false" ht="12.75" hidden="false" customHeight="false" outlineLevel="0" collapsed="false">
      <c r="A19" s="0" t="s">
        <v>67</v>
      </c>
      <c r="B19" s="11" t="n">
        <f aca="false">SUM(D19:O19)</f>
        <v>4527346.64612362</v>
      </c>
      <c r="D19" s="11" t="n">
        <v>406516.94528627</v>
      </c>
      <c r="E19" s="11" t="n">
        <v>421229.597577764</v>
      </c>
      <c r="F19" s="11" t="n">
        <v>403938.00102212</v>
      </c>
      <c r="G19" s="11" t="n">
        <v>374545.269879229</v>
      </c>
      <c r="H19" s="11" t="n">
        <v>353150.735127989</v>
      </c>
      <c r="I19" s="11" t="n">
        <v>381575.478551586</v>
      </c>
      <c r="J19" s="11" t="n">
        <v>377692.480344648</v>
      </c>
      <c r="K19" s="11" t="n">
        <v>337764.539882228</v>
      </c>
      <c r="L19" s="11" t="n">
        <v>367396.987429918</v>
      </c>
      <c r="M19" s="11" t="n">
        <v>360244.825020022</v>
      </c>
      <c r="N19" s="11" t="n">
        <v>371738.809317563</v>
      </c>
      <c r="O19" s="11" t="n">
        <v>371552.976684284</v>
      </c>
    </row>
    <row r="20" customFormat="false" ht="12.75" hidden="false" customHeight="false" outlineLevel="0" collapsed="false"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customFormat="false" ht="12.75" hidden="false" customHeight="false" outlineLevel="0" collapsed="false">
      <c r="A21" s="89" t="s">
        <v>68</v>
      </c>
      <c r="B21" s="89"/>
      <c r="C21" s="89"/>
    </row>
    <row r="22" customFormat="false" ht="12.75" hidden="false" customHeight="false" outlineLevel="0" collapsed="false">
      <c r="D22" s="91" t="n">
        <v>37073</v>
      </c>
      <c r="E22" s="91" t="n">
        <v>37104</v>
      </c>
      <c r="F22" s="91" t="n">
        <v>37135</v>
      </c>
      <c r="G22" s="91" t="n">
        <v>37165</v>
      </c>
      <c r="H22" s="91" t="n">
        <v>37196</v>
      </c>
      <c r="I22" s="91" t="n">
        <v>37226</v>
      </c>
      <c r="J22" s="91" t="n">
        <v>37257</v>
      </c>
      <c r="K22" s="91" t="n">
        <v>37288</v>
      </c>
      <c r="L22" s="91" t="n">
        <v>37316</v>
      </c>
      <c r="M22" s="91" t="n">
        <v>37347</v>
      </c>
      <c r="N22" s="91" t="n">
        <v>37377</v>
      </c>
      <c r="O22" s="91" t="n">
        <v>37408</v>
      </c>
    </row>
    <row r="23" customFormat="false" ht="12.75" hidden="false" customHeight="false" outlineLevel="0" collapsed="false">
      <c r="A23" s="0" t="s">
        <v>69</v>
      </c>
      <c r="B23" s="49" t="n">
        <f aca="false">SUM(D23:O23)</f>
        <v>207215.61982028</v>
      </c>
      <c r="D23" s="49" t="n">
        <f aca="false">(D10*D18+D11*D19)*(D13+D14)/1000</f>
        <v>31170.82132474</v>
      </c>
      <c r="E23" s="49" t="n">
        <f aca="false">(E10*E18+E11*E19)*(E13+E14)/1000</f>
        <v>45285.2518376261</v>
      </c>
      <c r="F23" s="49" t="n">
        <f aca="false">(F10*F18+F11*F19)*(F13+F14)/1000</f>
        <v>25256.2515220207</v>
      </c>
      <c r="G23" s="49" t="n">
        <f aca="false">(G10*G18+G11*G19)*(G13+G14)/1000</f>
        <v>17786.9565289138</v>
      </c>
      <c r="H23" s="49" t="n">
        <f aca="false">(H10*H18+H11*H19)*(H13+H14)/1000</f>
        <v>15073.3943539903</v>
      </c>
      <c r="I23" s="49" t="n">
        <f aca="false">(I10*I18+I11*I19)*(I13+I14)/1000</f>
        <v>14202.0655687338</v>
      </c>
      <c r="J23" s="49" t="n">
        <f aca="false">(J10*J18+J11*J19)*(J13+J14)/1000</f>
        <v>12587.5206577362</v>
      </c>
      <c r="K23" s="49" t="n">
        <f aca="false">(K10*K18+K11*K19)*(K13+K14)/1000</f>
        <v>8929.18547589153</v>
      </c>
      <c r="L23" s="49" t="n">
        <f aca="false">(L10*L18+L11*L19)*(L13+L14)/1000</f>
        <v>9065.90183487967</v>
      </c>
      <c r="M23" s="49" t="n">
        <f aca="false">(M10*M18+M11*M19)*(M13+M14)/1000</f>
        <v>7865.70496251413</v>
      </c>
      <c r="N23" s="49" t="n">
        <f aca="false">(N10*N18+N11*N19)*(N13+N14)/1000</f>
        <v>8348.23115303427</v>
      </c>
      <c r="O23" s="49" t="n">
        <f aca="false">(O10*O18+O11*O19)*(O13+O14)/1000</f>
        <v>11644.3346001997</v>
      </c>
    </row>
    <row r="24" customFormat="false" ht="13.5" hidden="false" customHeight="false" outlineLevel="0" collapsed="false">
      <c r="A24" s="0" t="s">
        <v>70</v>
      </c>
      <c r="B24" s="49" t="n">
        <f aca="false">SUM(D24:O24)</f>
        <v>19923.1522846568</v>
      </c>
      <c r="D24" s="49" t="n">
        <f aca="false">D15*D17/1000</f>
        <v>1799.05709074135</v>
      </c>
      <c r="E24" s="49" t="n">
        <f aca="false">E15*E17/1000</f>
        <v>1905.46758252336</v>
      </c>
      <c r="F24" s="49" t="n">
        <f aca="false">F15*F17/1000</f>
        <v>1787.83690915013</v>
      </c>
      <c r="G24" s="49" t="n">
        <f aca="false">G15*G17/1000</f>
        <v>1681.10197938298</v>
      </c>
      <c r="H24" s="49" t="n">
        <f aca="false">H15*H17/1000</f>
        <v>1567.61036936376</v>
      </c>
      <c r="I24" s="49" t="n">
        <f aca="false">I15*I17/1000</f>
        <v>1658.52242664472</v>
      </c>
      <c r="J24" s="49" t="n">
        <f aca="false">J15*J17/1000</f>
        <v>1647.81206176399</v>
      </c>
      <c r="K24" s="49" t="n">
        <f aca="false">K15*K17/1000</f>
        <v>1472.41899561996</v>
      </c>
      <c r="L24" s="49" t="n">
        <f aca="false">L15*L17/1000</f>
        <v>1612.06985202189</v>
      </c>
      <c r="M24" s="49" t="n">
        <f aca="false">M15*M17/1000</f>
        <v>1546.58583294185</v>
      </c>
      <c r="N24" s="49" t="n">
        <f aca="false">N15*N17/1000</f>
        <v>1607.99473914217</v>
      </c>
      <c r="O24" s="49" t="n">
        <f aca="false">O15*O17/1000</f>
        <v>1636.67444536066</v>
      </c>
    </row>
    <row r="25" customFormat="false" ht="13.5" hidden="false" customHeight="false" outlineLevel="0" collapsed="false">
      <c r="A25" s="0" t="s">
        <v>57</v>
      </c>
      <c r="B25" s="94" t="n">
        <f aca="false">SUM(D25:O25)</f>
        <v>227138.772104937</v>
      </c>
      <c r="D25" s="71" t="n">
        <f aca="false">SUM(D23:D24)</f>
        <v>32969.8784154813</v>
      </c>
      <c r="E25" s="71" t="n">
        <f aca="false">SUM(E23:E24)</f>
        <v>47190.7194201495</v>
      </c>
      <c r="F25" s="71" t="n">
        <f aca="false">SUM(F23:F24)</f>
        <v>27044.0884311709</v>
      </c>
      <c r="G25" s="71" t="n">
        <f aca="false">SUM(G23:G24)</f>
        <v>19468.0585082968</v>
      </c>
      <c r="H25" s="71" t="n">
        <f aca="false">SUM(H23:H24)</f>
        <v>16641.0047233541</v>
      </c>
      <c r="I25" s="71" t="n">
        <f aca="false">SUM(I23:I24)</f>
        <v>15860.5879953785</v>
      </c>
      <c r="J25" s="71" t="n">
        <f aca="false">SUM(J23:J24)</f>
        <v>14235.3327195002</v>
      </c>
      <c r="K25" s="71" t="n">
        <f aca="false">SUM(K23:K24)</f>
        <v>10401.6044715115</v>
      </c>
      <c r="L25" s="71" t="n">
        <f aca="false">SUM(L23:L24)</f>
        <v>10677.9716869016</v>
      </c>
      <c r="M25" s="71" t="n">
        <f aca="false">SUM(M23:M24)</f>
        <v>9412.29079545598</v>
      </c>
      <c r="N25" s="71" t="n">
        <f aca="false">SUM(N23:N24)</f>
        <v>9956.22589217644</v>
      </c>
      <c r="O25" s="71" t="n">
        <f aca="false">SUM(O23:O24)</f>
        <v>13281.0090455603</v>
      </c>
    </row>
    <row r="28" customFormat="false" ht="12.75" hidden="false" customHeight="false" outlineLevel="0" collapsed="false">
      <c r="A28" s="0" t="s">
        <v>71</v>
      </c>
    </row>
    <row r="29" customFormat="false" ht="12.75" hidden="false" customHeight="false" outlineLevel="0" collapsed="false">
      <c r="A29" s="0" t="s">
        <v>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28"/>
  </cols>
  <sheetData>
    <row r="1" customFormat="false" ht="12.75" hidden="false" customHeight="false" outlineLevel="0" collapsed="false">
      <c r="A1" s="0" t="s">
        <v>73</v>
      </c>
    </row>
    <row r="3" customFormat="false" ht="12.75" hidden="false" customHeight="false" outlineLevel="0" collapsed="false">
      <c r="A3" s="0" t="s">
        <v>74</v>
      </c>
    </row>
    <row r="4" customFormat="false" ht="12.75" hidden="false" customHeight="false" outlineLevel="0" collapsed="false">
      <c r="A4" s="0" t="s">
        <v>75</v>
      </c>
    </row>
    <row r="5" customFormat="false" ht="12.75" hidden="false" customHeight="false" outlineLevel="0" collapsed="false">
      <c r="A5" s="0" t="s">
        <v>76</v>
      </c>
    </row>
    <row r="6" customFormat="false" ht="12.75" hidden="false" customHeight="false" outlineLevel="0" collapsed="false">
      <c r="A6" s="0" t="s">
        <v>77</v>
      </c>
    </row>
    <row r="7" customFormat="false" ht="12.75" hidden="false" customHeight="false" outlineLevel="0" collapsed="false">
      <c r="A7" s="0" t="s">
        <v>78</v>
      </c>
      <c r="E7" s="2"/>
    </row>
    <row r="9" customFormat="false" ht="25.5" hidden="false" customHeight="false" outlineLevel="0" collapsed="false">
      <c r="B9" s="95" t="s">
        <v>79</v>
      </c>
      <c r="C9" s="95" t="n">
        <v>2002</v>
      </c>
      <c r="D9" s="95" t="n">
        <v>2003</v>
      </c>
      <c r="F9" s="96" t="n">
        <v>36982</v>
      </c>
      <c r="G9" s="96" t="n">
        <v>37012</v>
      </c>
      <c r="H9" s="96" t="n">
        <v>37043</v>
      </c>
      <c r="I9" s="96" t="n">
        <v>37073</v>
      </c>
      <c r="J9" s="96" t="n">
        <v>37104</v>
      </c>
      <c r="K9" s="96" t="n">
        <v>37135</v>
      </c>
      <c r="L9" s="96" t="n">
        <v>37165</v>
      </c>
      <c r="M9" s="96" t="n">
        <v>37196</v>
      </c>
      <c r="N9" s="96" t="n">
        <v>37226</v>
      </c>
      <c r="O9" s="96" t="n">
        <v>37257</v>
      </c>
      <c r="P9" s="96" t="n">
        <v>37288</v>
      </c>
      <c r="Q9" s="96" t="n">
        <v>37316</v>
      </c>
      <c r="R9" s="96" t="n">
        <v>37347</v>
      </c>
      <c r="S9" s="96" t="n">
        <v>37377</v>
      </c>
      <c r="T9" s="96" t="n">
        <v>37408</v>
      </c>
    </row>
    <row r="11" customFormat="false" ht="12.75" hidden="false" customHeight="false" outlineLevel="0" collapsed="false">
      <c r="A11" s="89" t="s">
        <v>80</v>
      </c>
    </row>
    <row r="12" customFormat="false" ht="12.75" hidden="false" customHeight="false" outlineLevel="0" collapsed="false">
      <c r="A12" s="0" t="s">
        <v>81</v>
      </c>
      <c r="B12" s="11" t="n">
        <v>2440791.84931507</v>
      </c>
      <c r="C12" s="11" t="n">
        <v>3444816</v>
      </c>
      <c r="D12" s="11" t="n">
        <v>3691464</v>
      </c>
      <c r="F12" s="18" t="n">
        <v>150998.383561644</v>
      </c>
      <c r="G12" s="18" t="n">
        <v>156031.663013699</v>
      </c>
      <c r="H12" s="18" t="n">
        <v>272918.383561644</v>
      </c>
      <c r="I12" s="18" t="n">
        <v>313511.663013699</v>
      </c>
      <c r="J12" s="18" t="n">
        <v>313511.663013699</v>
      </c>
      <c r="K12" s="18" t="n">
        <v>303398.383561644</v>
      </c>
      <c r="L12" s="18" t="n">
        <v>313511.663013699</v>
      </c>
      <c r="M12" s="18" t="n">
        <v>303398.383561644</v>
      </c>
      <c r="N12" s="18" t="n">
        <v>313511.663013699</v>
      </c>
      <c r="O12" s="18" t="n">
        <v>311793.253125</v>
      </c>
      <c r="P12" s="18" t="n">
        <v>281619.7125</v>
      </c>
      <c r="Q12" s="18" t="n">
        <v>311793.253125</v>
      </c>
      <c r="R12" s="18" t="n">
        <v>301735.40625</v>
      </c>
      <c r="S12" s="18" t="n">
        <v>281620.171875</v>
      </c>
      <c r="T12" s="18" t="n">
        <v>150870</v>
      </c>
    </row>
    <row r="13" customFormat="false" ht="12.75" hidden="false" customHeight="false" outlineLevel="0" collapsed="false">
      <c r="A13" s="0" t="s">
        <v>82</v>
      </c>
      <c r="B13" s="11" t="n">
        <v>68400</v>
      </c>
      <c r="C13" s="11" t="n">
        <v>0</v>
      </c>
      <c r="D13" s="11" t="n">
        <v>0</v>
      </c>
      <c r="F13" s="18" t="n">
        <v>68400</v>
      </c>
      <c r="G13" s="18" t="n">
        <v>0</v>
      </c>
      <c r="H13" s="18" t="n">
        <v>0</v>
      </c>
      <c r="I13" s="18" t="n">
        <v>0</v>
      </c>
      <c r="J13" s="18" t="n">
        <v>0</v>
      </c>
      <c r="K13" s="18" t="n">
        <v>0</v>
      </c>
      <c r="L13" s="18" t="n">
        <v>0</v>
      </c>
      <c r="M13" s="18" t="n">
        <v>0</v>
      </c>
      <c r="N13" s="18" t="n">
        <v>0</v>
      </c>
      <c r="O13" s="18" t="n">
        <v>0</v>
      </c>
      <c r="P13" s="18" t="n">
        <v>0</v>
      </c>
      <c r="Q13" s="18" t="n">
        <v>0</v>
      </c>
      <c r="R13" s="18" t="n">
        <v>0</v>
      </c>
      <c r="S13" s="18" t="n">
        <v>0</v>
      </c>
      <c r="T13" s="18" t="n">
        <v>0</v>
      </c>
    </row>
    <row r="14" customFormat="false" ht="12.75" hidden="false" customHeight="false" outlineLevel="0" collapsed="false">
      <c r="A14" s="0" t="s">
        <v>83</v>
      </c>
      <c r="B14" s="11" t="n">
        <v>519612</v>
      </c>
      <c r="C14" s="11" t="n">
        <v>649540.8</v>
      </c>
      <c r="D14" s="11" t="n">
        <v>649540.8</v>
      </c>
      <c r="F14" s="18" t="n">
        <v>58824</v>
      </c>
      <c r="G14" s="18" t="n">
        <v>50980.8</v>
      </c>
      <c r="H14" s="18" t="n">
        <v>49020</v>
      </c>
      <c r="I14" s="18" t="n">
        <v>60784.8</v>
      </c>
      <c r="J14" s="18" t="n">
        <v>60784.8</v>
      </c>
      <c r="K14" s="18" t="n">
        <v>58824</v>
      </c>
      <c r="L14" s="18" t="n">
        <v>60784.8</v>
      </c>
      <c r="M14" s="18" t="n">
        <v>58824</v>
      </c>
      <c r="N14" s="18" t="n">
        <v>60784.8</v>
      </c>
      <c r="O14" s="18" t="n">
        <v>60784.8</v>
      </c>
      <c r="P14" s="18" t="n">
        <v>54902.4</v>
      </c>
      <c r="Q14" s="18" t="n">
        <v>60784.8</v>
      </c>
      <c r="R14" s="18" t="n">
        <v>58824</v>
      </c>
      <c r="S14" s="18" t="n">
        <v>25593.6</v>
      </c>
      <c r="T14" s="18" t="n">
        <v>27864</v>
      </c>
    </row>
    <row r="15" customFormat="false" ht="12.75" hidden="false" customHeight="false" outlineLevel="0" collapsed="false">
      <c r="A15" s="0" t="s">
        <v>84</v>
      </c>
      <c r="B15" s="11" t="n">
        <v>1345570.68333333</v>
      </c>
      <c r="C15" s="11" t="n">
        <v>1781033.33333333</v>
      </c>
      <c r="D15" s="11" t="n">
        <v>1781033.33333333</v>
      </c>
      <c r="F15" s="18" t="n">
        <v>145154.216666667</v>
      </c>
      <c r="G15" s="18" t="n">
        <v>152990.763333333</v>
      </c>
      <c r="H15" s="18" t="n">
        <v>152990.763333333</v>
      </c>
      <c r="I15" s="18" t="n">
        <v>152990.763333333</v>
      </c>
      <c r="J15" s="18" t="n">
        <v>152990.763333333</v>
      </c>
      <c r="K15" s="18" t="n">
        <v>152990.763333333</v>
      </c>
      <c r="L15" s="18" t="n">
        <v>145154.216666667</v>
      </c>
      <c r="M15" s="18" t="n">
        <v>145154.216666667</v>
      </c>
      <c r="N15" s="18" t="n">
        <v>145154.216666667</v>
      </c>
      <c r="O15" s="18" t="n">
        <v>145154.216666667</v>
      </c>
      <c r="P15" s="18" t="n">
        <v>145154.216666667</v>
      </c>
      <c r="Q15" s="18" t="n">
        <v>145154.216666667</v>
      </c>
      <c r="R15" s="18" t="n">
        <v>145154.216666667</v>
      </c>
      <c r="S15" s="18" t="n">
        <v>152990.763333333</v>
      </c>
      <c r="T15" s="18" t="n">
        <v>152990.763333333</v>
      </c>
    </row>
    <row r="16" customFormat="false" ht="12.75" hidden="false" customHeight="false" outlineLevel="0" collapsed="false">
      <c r="A16" s="0" t="s">
        <v>85</v>
      </c>
      <c r="B16" s="11" t="n">
        <v>795800</v>
      </c>
      <c r="C16" s="11" t="n">
        <v>1056520</v>
      </c>
      <c r="D16" s="11" t="n">
        <v>1056520</v>
      </c>
      <c r="F16" s="18" t="n">
        <v>86800</v>
      </c>
      <c r="G16" s="18" t="n">
        <v>89720</v>
      </c>
      <c r="H16" s="18" t="n">
        <v>86960</v>
      </c>
      <c r="I16" s="18" t="n">
        <v>89560</v>
      </c>
      <c r="J16" s="18" t="n">
        <v>89880</v>
      </c>
      <c r="K16" s="18" t="n">
        <v>86640</v>
      </c>
      <c r="L16" s="18" t="n">
        <v>89880</v>
      </c>
      <c r="M16" s="18" t="n">
        <v>86800</v>
      </c>
      <c r="N16" s="18" t="n">
        <v>89560</v>
      </c>
      <c r="O16" s="18" t="n">
        <v>89720</v>
      </c>
      <c r="P16" s="18" t="n">
        <v>81120</v>
      </c>
      <c r="Q16" s="18" t="n">
        <v>89720</v>
      </c>
      <c r="R16" s="18" t="n">
        <v>86960</v>
      </c>
      <c r="S16" s="18" t="n">
        <v>89720</v>
      </c>
      <c r="T16" s="18" t="n">
        <v>86800</v>
      </c>
    </row>
    <row r="17" customFormat="false" ht="12.75" hidden="false" customHeight="false" outlineLevel="0" collapsed="false">
      <c r="A17" s="0" t="s">
        <v>86</v>
      </c>
      <c r="B17" s="11" t="n">
        <v>1212000</v>
      </c>
      <c r="C17" s="11"/>
      <c r="D17" s="11"/>
      <c r="F17" s="18" t="n">
        <v>132000</v>
      </c>
      <c r="G17" s="18" t="n">
        <v>136800</v>
      </c>
      <c r="H17" s="18" t="n">
        <v>134400</v>
      </c>
      <c r="I17" s="18" t="n">
        <v>134400</v>
      </c>
      <c r="J17" s="18" t="n">
        <v>139200</v>
      </c>
      <c r="K17" s="18" t="n">
        <v>129600</v>
      </c>
      <c r="L17" s="18" t="n">
        <v>139200</v>
      </c>
      <c r="M17" s="18" t="n">
        <v>132000</v>
      </c>
      <c r="N17" s="18" t="n">
        <v>134400</v>
      </c>
      <c r="O17" s="18" t="n">
        <v>0</v>
      </c>
      <c r="P17" s="18" t="n">
        <v>0</v>
      </c>
      <c r="Q17" s="18" t="n">
        <v>0</v>
      </c>
      <c r="R17" s="18" t="n">
        <v>0</v>
      </c>
      <c r="S17" s="18" t="n">
        <v>0</v>
      </c>
      <c r="T17" s="18" t="n">
        <v>0</v>
      </c>
    </row>
    <row r="19" customFormat="false" ht="13.5" hidden="false" customHeight="false" outlineLevel="0" collapsed="false">
      <c r="A19" s="0" t="s">
        <v>57</v>
      </c>
      <c r="B19" s="11" t="n">
        <v>6382174.5326484</v>
      </c>
      <c r="C19" s="11" t="n">
        <v>6931910.13333333</v>
      </c>
      <c r="D19" s="11" t="n">
        <v>7178558.13333333</v>
      </c>
      <c r="F19" s="11" t="n">
        <v>642176.600228311</v>
      </c>
      <c r="G19" s="11" t="n">
        <v>586523.226347032</v>
      </c>
      <c r="H19" s="11" t="n">
        <v>696289.146894977</v>
      </c>
      <c r="I19" s="11" t="n">
        <v>751247.226347032</v>
      </c>
      <c r="J19" s="11" t="n">
        <v>756367.226347032</v>
      </c>
      <c r="K19" s="11" t="n">
        <v>731453.146894977</v>
      </c>
      <c r="L19" s="11" t="n">
        <v>748530.679680365</v>
      </c>
      <c r="M19" s="11" t="n">
        <v>726176.600228311</v>
      </c>
      <c r="N19" s="11" t="n">
        <v>743410.679680365</v>
      </c>
      <c r="O19" s="11" t="n">
        <v>607452.269791667</v>
      </c>
      <c r="P19" s="11" t="n">
        <v>562796.329166667</v>
      </c>
      <c r="Q19" s="11" t="n">
        <v>607452.269791667</v>
      </c>
      <c r="R19" s="11" t="n">
        <v>592673.622916667</v>
      </c>
      <c r="S19" s="11" t="n">
        <v>549924.535208333</v>
      </c>
      <c r="T19" s="11" t="n">
        <v>418524.763333333</v>
      </c>
    </row>
    <row r="20" customFormat="false" ht="13.5" hidden="false" customHeight="false" outlineLevel="0" collapsed="false">
      <c r="A20" s="0" t="s">
        <v>87</v>
      </c>
      <c r="B20" s="97" t="n">
        <v>6987209.34938642</v>
      </c>
      <c r="F20" s="18"/>
      <c r="G20" s="18"/>
      <c r="H20" s="18"/>
      <c r="I20" s="18" t="n">
        <v>616847.226347032</v>
      </c>
      <c r="J20" s="18" t="n">
        <v>617167.226347032</v>
      </c>
      <c r="K20" s="18" t="n">
        <v>601853.146894977</v>
      </c>
      <c r="L20" s="18" t="n">
        <v>609330.679680365</v>
      </c>
      <c r="M20" s="18" t="n">
        <v>594176.600228311</v>
      </c>
      <c r="N20" s="18" t="n">
        <v>609010.679680365</v>
      </c>
      <c r="O20" s="18" t="n">
        <v>607452.269791667</v>
      </c>
      <c r="P20" s="18" t="n">
        <v>562796.329166667</v>
      </c>
      <c r="Q20" s="18" t="n">
        <v>607452.269791667</v>
      </c>
      <c r="R20" s="18" t="n">
        <v>592673.622916667</v>
      </c>
      <c r="S20" s="18" t="n">
        <v>549924.535208333</v>
      </c>
      <c r="T20" s="18" t="n">
        <v>418524.763333333</v>
      </c>
    </row>
    <row r="21" customFormat="false" ht="12.75" hidden="false" customHeight="false" outlineLevel="0" collapsed="false">
      <c r="F21" s="24"/>
    </row>
    <row r="22" customFormat="false" ht="12.75" hidden="false" customHeight="false" outlineLevel="0" collapsed="false">
      <c r="A22" s="89" t="s">
        <v>88</v>
      </c>
      <c r="F22" s="98"/>
    </row>
    <row r="23" customFormat="false" ht="12.75" hidden="false" customHeight="false" outlineLevel="0" collapsed="false">
      <c r="A23" s="0" t="s">
        <v>81</v>
      </c>
      <c r="B23" s="11" t="n">
        <v>106906.683</v>
      </c>
      <c r="C23" s="11" t="n">
        <v>152605.3488</v>
      </c>
      <c r="D23" s="11" t="n">
        <v>163531.8552</v>
      </c>
      <c r="F23" s="49" t="n">
        <v>6613.7292</v>
      </c>
      <c r="G23" s="49" t="n">
        <v>6834.18684</v>
      </c>
      <c r="H23" s="49" t="n">
        <v>11953.8252</v>
      </c>
      <c r="I23" s="49" t="n">
        <v>13731.81084</v>
      </c>
      <c r="J23" s="49" t="n">
        <v>13731.81084</v>
      </c>
      <c r="K23" s="49" t="n">
        <v>13288.8492</v>
      </c>
      <c r="L23" s="49" t="n">
        <v>13731.81084</v>
      </c>
      <c r="M23" s="49" t="n">
        <v>13288.8492</v>
      </c>
      <c r="N23" s="49" t="n">
        <v>13731.81084</v>
      </c>
      <c r="O23" s="49" t="n">
        <v>13812.4411134375</v>
      </c>
      <c r="P23" s="49" t="n">
        <v>12475.75326375</v>
      </c>
      <c r="Q23" s="49" t="n">
        <v>13812.4411134375</v>
      </c>
      <c r="R23" s="49" t="n">
        <v>13366.878496875</v>
      </c>
      <c r="S23" s="49" t="n">
        <v>12475.7736140625</v>
      </c>
      <c r="T23" s="49" t="n">
        <v>6683.541</v>
      </c>
    </row>
    <row r="24" customFormat="false" ht="12.75" hidden="false" customHeight="false" outlineLevel="0" collapsed="false">
      <c r="A24" s="0" t="s">
        <v>82</v>
      </c>
      <c r="B24" s="11" t="n">
        <v>6786</v>
      </c>
      <c r="C24" s="11" t="n">
        <v>0</v>
      </c>
      <c r="D24" s="11" t="n">
        <v>0</v>
      </c>
      <c r="F24" s="49" t="n">
        <v>6786</v>
      </c>
      <c r="G24" s="49" t="n">
        <v>0</v>
      </c>
      <c r="H24" s="49" t="n">
        <v>0</v>
      </c>
      <c r="I24" s="49" t="n">
        <v>0</v>
      </c>
      <c r="J24" s="49" t="n">
        <v>0</v>
      </c>
      <c r="K24" s="49" t="n">
        <v>0</v>
      </c>
      <c r="L24" s="49" t="n">
        <v>0</v>
      </c>
      <c r="M24" s="49" t="n">
        <v>0</v>
      </c>
      <c r="N24" s="49" t="n">
        <v>0</v>
      </c>
      <c r="O24" s="49" t="n">
        <v>0</v>
      </c>
      <c r="P24" s="49" t="n">
        <v>0</v>
      </c>
      <c r="Q24" s="49" t="n">
        <v>0</v>
      </c>
      <c r="R24" s="49" t="n">
        <v>0</v>
      </c>
      <c r="S24" s="49" t="n">
        <v>0</v>
      </c>
      <c r="T24" s="49" t="n">
        <v>0</v>
      </c>
    </row>
    <row r="25" customFormat="false" ht="12.75" hidden="false" customHeight="false" outlineLevel="0" collapsed="false">
      <c r="A25" s="0" t="s">
        <v>83</v>
      </c>
      <c r="B25" s="11" t="n">
        <v>35117.194383973</v>
      </c>
      <c r="C25" s="11" t="n">
        <v>46572.343378279</v>
      </c>
      <c r="D25" s="11" t="n">
        <v>46786.7094568874</v>
      </c>
      <c r="F25" s="49" t="n">
        <v>3913.45596799694</v>
      </c>
      <c r="G25" s="49" t="n">
        <v>3830.32850559735</v>
      </c>
      <c r="H25" s="49" t="n">
        <v>3809.54663999745</v>
      </c>
      <c r="I25" s="49" t="n">
        <v>3934.23783359684</v>
      </c>
      <c r="J25" s="49" t="n">
        <v>3934.23783359684</v>
      </c>
      <c r="K25" s="49" t="n">
        <v>3913.45596799694</v>
      </c>
      <c r="L25" s="49" t="n">
        <v>3934.23783359684</v>
      </c>
      <c r="M25" s="49" t="n">
        <v>3913.45596799694</v>
      </c>
      <c r="N25" s="49" t="n">
        <v>3934.23783359684</v>
      </c>
      <c r="O25" s="49" t="n">
        <v>3953.7099221173</v>
      </c>
      <c r="P25" s="49" t="n">
        <v>3889.47992965434</v>
      </c>
      <c r="Q25" s="49" t="n">
        <v>3953.7099221173</v>
      </c>
      <c r="R25" s="49" t="n">
        <v>3932.29992462965</v>
      </c>
      <c r="S25" s="49" t="n">
        <v>3569.45680931255</v>
      </c>
      <c r="T25" s="49" t="n">
        <v>3594.24733271931</v>
      </c>
    </row>
    <row r="26" customFormat="false" ht="12.75" hidden="false" customHeight="false" outlineLevel="0" collapsed="false">
      <c r="A26" s="0" t="s">
        <v>84</v>
      </c>
      <c r="B26" s="11" t="n">
        <v>151224.978407056</v>
      </c>
      <c r="C26" s="11" t="n">
        <v>175348.538793662</v>
      </c>
      <c r="D26" s="11" t="n">
        <v>144998.038811995</v>
      </c>
      <c r="F26" s="49" t="n">
        <v>13952.3360973242</v>
      </c>
      <c r="G26" s="49" t="n">
        <v>18867.3745627918</v>
      </c>
      <c r="H26" s="49" t="n">
        <v>18940.8101291918</v>
      </c>
      <c r="I26" s="49" t="n">
        <v>19087.6812619918</v>
      </c>
      <c r="J26" s="49" t="n">
        <v>19087.6812619918</v>
      </c>
      <c r="K26" s="49" t="n">
        <v>18500.1967307918</v>
      </c>
      <c r="L26" s="49" t="n">
        <v>14216.5167716575</v>
      </c>
      <c r="M26" s="49" t="n">
        <v>14286.1907956575</v>
      </c>
      <c r="N26" s="49" t="n">
        <v>14286.1907956575</v>
      </c>
      <c r="O26" s="49" t="n">
        <v>14784.0697588242</v>
      </c>
      <c r="P26" s="49" t="n">
        <v>14393.6049159909</v>
      </c>
      <c r="Q26" s="49" t="n">
        <v>13781.0541216575</v>
      </c>
      <c r="R26" s="49" t="n">
        <v>12868.0340988242</v>
      </c>
      <c r="S26" s="49" t="n">
        <v>17019.2461417251</v>
      </c>
      <c r="T26" s="49" t="n">
        <v>16889.2039928918</v>
      </c>
    </row>
    <row r="27" customFormat="false" ht="12.75" hidden="false" customHeight="false" outlineLevel="0" collapsed="false">
      <c r="A27" s="0" t="s">
        <v>85</v>
      </c>
      <c r="B27" s="11" t="n">
        <v>52554.7</v>
      </c>
      <c r="C27" s="11" t="n">
        <v>55981.74</v>
      </c>
      <c r="D27" s="11" t="n">
        <v>50185.86</v>
      </c>
      <c r="F27" s="49" t="n">
        <v>5730.2</v>
      </c>
      <c r="G27" s="49" t="n">
        <v>5926.78</v>
      </c>
      <c r="H27" s="49" t="n">
        <v>5763.64</v>
      </c>
      <c r="I27" s="49" t="n">
        <v>5893.34</v>
      </c>
      <c r="J27" s="49" t="n">
        <v>5960.22</v>
      </c>
      <c r="K27" s="49" t="n">
        <v>5696.76</v>
      </c>
      <c r="L27" s="49" t="n">
        <v>5960.22</v>
      </c>
      <c r="M27" s="49" t="n">
        <v>5730.2</v>
      </c>
      <c r="N27" s="49" t="n">
        <v>5893.34</v>
      </c>
      <c r="O27" s="49" t="n">
        <v>4753.14</v>
      </c>
      <c r="P27" s="49" t="n">
        <v>4303.44</v>
      </c>
      <c r="Q27" s="49" t="n">
        <v>4753.14</v>
      </c>
      <c r="R27" s="49" t="n">
        <v>4616.52</v>
      </c>
      <c r="S27" s="49" t="n">
        <v>4753.14</v>
      </c>
      <c r="T27" s="49" t="n">
        <v>4596.6</v>
      </c>
    </row>
    <row r="28" customFormat="false" ht="12.75" hidden="false" customHeight="false" outlineLevel="0" collapsed="false">
      <c r="A28" s="0" t="s">
        <v>86</v>
      </c>
      <c r="B28" s="11" t="n">
        <v>252205.2</v>
      </c>
      <c r="C28" s="11"/>
      <c r="D28" s="11"/>
      <c r="F28" s="49" t="n">
        <v>22542</v>
      </c>
      <c r="G28" s="49" t="n">
        <v>25338.16</v>
      </c>
      <c r="H28" s="49" t="n">
        <v>30886.96</v>
      </c>
      <c r="I28" s="49" t="n">
        <v>35278.4</v>
      </c>
      <c r="J28" s="49" t="n">
        <v>51071.4</v>
      </c>
      <c r="K28" s="49" t="n">
        <v>27682.8</v>
      </c>
      <c r="L28" s="49" t="n">
        <v>22617.48</v>
      </c>
      <c r="M28" s="49" t="n">
        <v>19339.2</v>
      </c>
      <c r="N28" s="49" t="n">
        <v>17448.8</v>
      </c>
      <c r="O28" s="49" t="n">
        <v>0</v>
      </c>
      <c r="P28" s="49" t="n">
        <v>0</v>
      </c>
      <c r="Q28" s="49" t="n">
        <v>0</v>
      </c>
      <c r="R28" s="49" t="n">
        <v>0</v>
      </c>
      <c r="S28" s="49" t="n">
        <v>0</v>
      </c>
      <c r="T28" s="49" t="n">
        <v>0</v>
      </c>
    </row>
    <row r="30" customFormat="false" ht="13.5" hidden="false" customHeight="false" outlineLevel="0" collapsed="false">
      <c r="A30" s="0" t="s">
        <v>89</v>
      </c>
      <c r="B30" s="11" t="n">
        <v>604794.755791029</v>
      </c>
      <c r="C30" s="11" t="n">
        <v>430507.970971941</v>
      </c>
      <c r="D30" s="11" t="n">
        <v>405502.463468882</v>
      </c>
      <c r="F30" s="71" t="n">
        <v>59537.7212653211</v>
      </c>
      <c r="G30" s="71" t="n">
        <v>60796.8299083891</v>
      </c>
      <c r="H30" s="71" t="n">
        <v>71354.7819691892</v>
      </c>
      <c r="I30" s="71" t="n">
        <v>77925.4699355886</v>
      </c>
      <c r="J30" s="71" t="n">
        <v>93785.3499355886</v>
      </c>
      <c r="K30" s="71" t="n">
        <v>69082.0618987887</v>
      </c>
      <c r="L30" s="71" t="n">
        <v>60460.2654452544</v>
      </c>
      <c r="M30" s="71" t="n">
        <v>56557.8959636545</v>
      </c>
      <c r="N30" s="71" t="n">
        <v>55294.3794692544</v>
      </c>
      <c r="O30" s="71" t="n">
        <v>37303.360794379</v>
      </c>
      <c r="P30" s="71" t="n">
        <v>35062.2781093952</v>
      </c>
      <c r="Q30" s="71" t="n">
        <v>36300.3451572123</v>
      </c>
      <c r="R30" s="71" t="n">
        <v>34783.7325203289</v>
      </c>
      <c r="S30" s="71" t="n">
        <v>37817.6165651002</v>
      </c>
      <c r="T30" s="71" t="n">
        <v>31763.5923256111</v>
      </c>
    </row>
    <row r="31" customFormat="false" ht="13.5" hidden="false" customHeight="false" outlineLevel="0" collapsed="false">
      <c r="A31" s="0" t="s">
        <v>90</v>
      </c>
      <c r="B31" s="99" t="n">
        <v>452698.268120156</v>
      </c>
      <c r="I31" s="71" t="n">
        <v>42647.0699355886</v>
      </c>
      <c r="J31" s="71" t="n">
        <v>42713.9499355886</v>
      </c>
      <c r="K31" s="71" t="n">
        <v>41399.2618987887</v>
      </c>
      <c r="L31" s="71" t="n">
        <v>37842.7854452544</v>
      </c>
      <c r="M31" s="71" t="n">
        <v>37218.6959636545</v>
      </c>
      <c r="N31" s="71" t="n">
        <v>37845.5794692544</v>
      </c>
      <c r="O31" s="71" t="n">
        <v>37303.360794379</v>
      </c>
      <c r="P31" s="71" t="n">
        <v>35062.2781093952</v>
      </c>
      <c r="Q31" s="71" t="n">
        <v>36300.3451572123</v>
      </c>
      <c r="R31" s="71" t="n">
        <v>34783.7325203289</v>
      </c>
      <c r="S31" s="71" t="n">
        <v>37817.6165651002</v>
      </c>
      <c r="T31" s="71" t="n">
        <v>31763.5923256111</v>
      </c>
    </row>
    <row r="32" customFormat="false" ht="12.75" hidden="false" customHeight="false" outlineLevel="0" collapsed="false">
      <c r="B32" s="0" t="n">
        <v>24000</v>
      </c>
      <c r="I32" s="0" t="n">
        <f aca="false">+B32/12</f>
        <v>2000</v>
      </c>
      <c r="J32" s="0" t="n">
        <f aca="false">+I32</f>
        <v>2000</v>
      </c>
      <c r="K32" s="0" t="n">
        <f aca="false">+J32</f>
        <v>2000</v>
      </c>
      <c r="L32" s="0" t="n">
        <f aca="false">+K32</f>
        <v>2000</v>
      </c>
      <c r="M32" s="0" t="n">
        <f aca="false">+L32</f>
        <v>2000</v>
      </c>
      <c r="N32" s="0" t="n">
        <f aca="false">+M32</f>
        <v>2000</v>
      </c>
      <c r="O32" s="0" t="n">
        <f aca="false">+N32</f>
        <v>2000</v>
      </c>
      <c r="P32" s="0" t="n">
        <f aca="false">+O32</f>
        <v>2000</v>
      </c>
      <c r="Q32" s="0" t="n">
        <f aca="false">+P32</f>
        <v>2000</v>
      </c>
      <c r="R32" s="0" t="n">
        <f aca="false">+Q32</f>
        <v>2000</v>
      </c>
      <c r="S32" s="0" t="n">
        <f aca="false">+R32</f>
        <v>2000</v>
      </c>
      <c r="T32" s="0" t="n">
        <f aca="false">+S32</f>
        <v>2000</v>
      </c>
    </row>
    <row r="33" customFormat="false" ht="12.75" hidden="false" customHeight="false" outlineLevel="0" collapsed="false">
      <c r="B33" s="0" t="s">
        <v>14</v>
      </c>
      <c r="I33" s="71" t="n">
        <f aca="false">SUM(I31:I32)</f>
        <v>44647.0699355886</v>
      </c>
      <c r="J33" s="71" t="n">
        <f aca="false">SUM(J31:J32)</f>
        <v>44713.9499355886</v>
      </c>
      <c r="K33" s="71" t="n">
        <f aca="false">SUM(K31:K32)</f>
        <v>43399.2618987887</v>
      </c>
      <c r="L33" s="71" t="n">
        <f aca="false">SUM(L31:L32)</f>
        <v>39842.7854452544</v>
      </c>
      <c r="M33" s="71" t="n">
        <f aca="false">SUM(M31:M32)</f>
        <v>39218.6959636545</v>
      </c>
      <c r="N33" s="71" t="n">
        <f aca="false">SUM(N31:N32)</f>
        <v>39845.5794692544</v>
      </c>
      <c r="O33" s="71" t="n">
        <f aca="false">SUM(O31:O32)</f>
        <v>39303.360794379</v>
      </c>
      <c r="P33" s="71" t="n">
        <f aca="false">SUM(P31:P32)</f>
        <v>37062.2781093952</v>
      </c>
      <c r="Q33" s="71" t="n">
        <f aca="false">SUM(Q31:Q32)</f>
        <v>38300.3451572123</v>
      </c>
      <c r="R33" s="71" t="n">
        <f aca="false">SUM(R31:R32)</f>
        <v>36783.7325203289</v>
      </c>
      <c r="S33" s="71" t="n">
        <f aca="false">SUM(S31:S32)</f>
        <v>39817.6165651002</v>
      </c>
      <c r="T33" s="71" t="n">
        <f aca="false">SUM(T31:T32)</f>
        <v>33763.5923256111</v>
      </c>
    </row>
    <row r="34" customFormat="false" ht="12.75" hidden="false" customHeight="false" outlineLevel="0" collapsed="false">
      <c r="B34" s="71" t="s">
        <v>14</v>
      </c>
      <c r="I34" s="3" t="n">
        <f aca="false">+I33/1000</f>
        <v>44.6470699355886</v>
      </c>
      <c r="J34" s="3" t="n">
        <f aca="false">+J33/1000</f>
        <v>44.7139499355886</v>
      </c>
      <c r="K34" s="3" t="n">
        <f aca="false">+K33/1000</f>
        <v>43.3992618987887</v>
      </c>
      <c r="L34" s="3" t="n">
        <f aca="false">+L33/1000</f>
        <v>39.8427854452544</v>
      </c>
      <c r="M34" s="3" t="n">
        <f aca="false">+M33/1000</f>
        <v>39.2186959636545</v>
      </c>
      <c r="N34" s="3" t="n">
        <f aca="false">+N33/1000</f>
        <v>39.8455794692544</v>
      </c>
      <c r="O34" s="3" t="n">
        <f aca="false">+O33/1000</f>
        <v>39.303360794379</v>
      </c>
      <c r="P34" s="3" t="n">
        <f aca="false">+P33/1000</f>
        <v>37.0622781093952</v>
      </c>
      <c r="Q34" s="3" t="n">
        <f aca="false">+Q33/1000</f>
        <v>38.3003451572123</v>
      </c>
      <c r="R34" s="3" t="n">
        <f aca="false">+R33/1000</f>
        <v>36.7837325203289</v>
      </c>
      <c r="S34" s="3" t="n">
        <f aca="false">+S33/1000</f>
        <v>39.8176165651002</v>
      </c>
      <c r="T34" s="3" t="n">
        <f aca="false">+T33/1000</f>
        <v>33.7635923256111</v>
      </c>
    </row>
    <row r="35" customFormat="false" ht="12.75" hidden="false" customHeight="false" outlineLevel="0" collapsed="false">
      <c r="I35" s="92" t="n">
        <f aca="false">SUM(I34:T34)/12</f>
        <v>39.7248556766797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7.7"/>
    <col collapsed="false" customWidth="true" hidden="false" outlineLevel="0" max="3" min="3" style="0" width="11.56"/>
    <col collapsed="false" customWidth="true" hidden="false" outlineLevel="0" max="4" min="4" style="0" width="11.28"/>
    <col collapsed="false" customWidth="true" hidden="false" outlineLevel="0" max="6" min="5" style="0" width="11.42"/>
    <col collapsed="false" customWidth="true" hidden="false" outlineLevel="0" max="8" min="7" style="0" width="11.28"/>
    <col collapsed="false" customWidth="true" hidden="false" outlineLevel="0" max="9" min="9" style="0" width="11.42"/>
    <col collapsed="false" customWidth="true" hidden="false" outlineLevel="0" max="10" min="10" style="0" width="9.7"/>
    <col collapsed="false" customWidth="true" hidden="false" outlineLevel="0" max="11" min="11" style="0" width="11.28"/>
  </cols>
  <sheetData>
    <row r="1" customFormat="false" ht="15" hidden="false" customHeight="false" outlineLevel="0" collapsed="false">
      <c r="E1" s="100"/>
    </row>
    <row r="2" customFormat="false" ht="15" hidden="false" customHeight="false" outlineLevel="0" collapsed="false">
      <c r="A2" s="101" t="s">
        <v>91</v>
      </c>
      <c r="B2" s="101"/>
      <c r="C2" s="101"/>
      <c r="D2" s="101"/>
      <c r="E2" s="101"/>
      <c r="F2" s="101"/>
      <c r="G2" s="101"/>
      <c r="H2" s="101"/>
      <c r="I2" s="101"/>
      <c r="J2" s="101"/>
    </row>
    <row r="3" customFormat="false" ht="15" hidden="false" customHeight="false" outlineLevel="0" collapsed="false">
      <c r="A3" s="101" t="s">
        <v>92</v>
      </c>
      <c r="B3" s="101"/>
      <c r="C3" s="101"/>
      <c r="D3" s="101"/>
      <c r="E3" s="101"/>
      <c r="F3" s="101"/>
      <c r="G3" s="101"/>
      <c r="H3" s="101"/>
      <c r="I3" s="101"/>
      <c r="J3" s="101"/>
    </row>
    <row r="4" customFormat="false" ht="12.75" hidden="false" customHeight="false" outlineLevel="0" collapsed="false">
      <c r="E4" s="3"/>
    </row>
    <row r="5" customFormat="false" ht="12.75" hidden="false" customHeight="false" outlineLevel="0" collapsed="false">
      <c r="A5" s="21"/>
      <c r="B5" s="102" t="s">
        <v>93</v>
      </c>
      <c r="C5" s="102"/>
      <c r="D5" s="102"/>
      <c r="E5" s="103" t="s">
        <v>94</v>
      </c>
      <c r="F5" s="103"/>
      <c r="G5" s="103"/>
      <c r="H5" s="103" t="s">
        <v>41</v>
      </c>
      <c r="I5" s="103"/>
      <c r="J5" s="103"/>
    </row>
    <row r="6" customFormat="false" ht="12.75" hidden="false" customHeight="false" outlineLevel="0" collapsed="false">
      <c r="A6" s="104" t="s">
        <v>95</v>
      </c>
      <c r="B6" s="105" t="s">
        <v>96</v>
      </c>
      <c r="C6" s="104" t="s">
        <v>97</v>
      </c>
      <c r="D6" s="106" t="s">
        <v>98</v>
      </c>
      <c r="E6" s="107" t="s">
        <v>99</v>
      </c>
      <c r="F6" s="104" t="s">
        <v>97</v>
      </c>
      <c r="G6" s="108" t="s">
        <v>98</v>
      </c>
      <c r="H6" s="107" t="s">
        <v>100</v>
      </c>
      <c r="I6" s="104" t="s">
        <v>97</v>
      </c>
      <c r="J6" s="108" t="s">
        <v>98</v>
      </c>
      <c r="K6" s="21"/>
    </row>
    <row r="7" customFormat="false" ht="12.75" hidden="false" customHeight="false" outlineLevel="0" collapsed="false">
      <c r="A7" s="109" t="s">
        <v>101</v>
      </c>
      <c r="B7" s="110" t="n">
        <v>1096</v>
      </c>
      <c r="C7" s="111" t="n">
        <v>6.5</v>
      </c>
      <c r="D7" s="112" t="n">
        <f aca="false">+B7*C7*10</f>
        <v>71240</v>
      </c>
      <c r="E7" s="110" t="n">
        <f aca="false">+B7*'Rate Increase Model'!$F$12</f>
        <v>562.940076589273</v>
      </c>
      <c r="F7" s="55" t="n">
        <v>6.5</v>
      </c>
      <c r="G7" s="112" t="n">
        <f aca="false">E7*F7*10</f>
        <v>36591.1049783027</v>
      </c>
      <c r="H7" s="110" t="n">
        <f aca="false">+B7*'Rate Increase Model'!$F$11</f>
        <v>533.059923410727</v>
      </c>
      <c r="I7" s="113" t="n">
        <v>6.5</v>
      </c>
      <c r="J7" s="112" t="n">
        <f aca="false">+I7*H7*10</f>
        <v>34648.8950216973</v>
      </c>
      <c r="K7" s="71" t="n">
        <f aca="false">+J7+G7</f>
        <v>71240</v>
      </c>
      <c r="L7" s="71" t="n">
        <f aca="false">+K7-D7</f>
        <v>0</v>
      </c>
    </row>
    <row r="8" customFormat="false" ht="12.75" hidden="false" customHeight="false" outlineLevel="0" collapsed="false">
      <c r="A8" s="109" t="s">
        <v>102</v>
      </c>
      <c r="B8" s="110" t="n">
        <v>1919</v>
      </c>
      <c r="C8" s="111" t="n">
        <v>6.5</v>
      </c>
      <c r="D8" s="112" t="n">
        <f aca="false">+B8*C8*10</f>
        <v>124735</v>
      </c>
      <c r="E8" s="110" t="n">
        <f aca="false">+B8*'Rate Increase Model'!$F$12</f>
        <v>985.65876548797</v>
      </c>
      <c r="F8" s="55" t="n">
        <v>6.5</v>
      </c>
      <c r="G8" s="112" t="n">
        <f aca="false">+F8*E8*10</f>
        <v>64067.819756718</v>
      </c>
      <c r="H8" s="110" t="n">
        <f aca="false">+B8*'Rate Increase Model'!$F$11</f>
        <v>933.34123451203</v>
      </c>
      <c r="I8" s="113" t="n">
        <v>6.5</v>
      </c>
      <c r="J8" s="112" t="n">
        <f aca="false">+I8*H8*10</f>
        <v>60667.180243282</v>
      </c>
      <c r="K8" s="71" t="n">
        <f aca="false">+J8+G8</f>
        <v>124735</v>
      </c>
      <c r="L8" s="71" t="n">
        <f aca="false">+K8-D8</f>
        <v>0</v>
      </c>
    </row>
    <row r="9" customFormat="false" ht="12.75" hidden="false" customHeight="false" outlineLevel="0" collapsed="false">
      <c r="A9" s="109" t="s">
        <v>103</v>
      </c>
      <c r="B9" s="110" t="n">
        <v>2443</v>
      </c>
      <c r="C9" s="111" t="n">
        <v>6.5</v>
      </c>
      <c r="D9" s="112" t="n">
        <f aca="false">+B9*C9*10</f>
        <v>158795</v>
      </c>
      <c r="E9" s="110" t="n">
        <f aca="false">+B9*'Rate Increase Model'!$F$12</f>
        <v>1254.8016488208</v>
      </c>
      <c r="F9" s="55" t="n">
        <v>6.5</v>
      </c>
      <c r="G9" s="112" t="n">
        <f aca="false">+F9*E9*10</f>
        <v>81562.1071733518</v>
      </c>
      <c r="H9" s="110" t="n">
        <f aca="false">+B9*'Rate Increase Model'!$F$11</f>
        <v>1188.1983511792</v>
      </c>
      <c r="I9" s="113" t="n">
        <v>6.5</v>
      </c>
      <c r="J9" s="112" t="n">
        <f aca="false">+I9*H9*10</f>
        <v>77232.8928266482</v>
      </c>
      <c r="K9" s="71" t="n">
        <f aca="false">+J9+G9</f>
        <v>158795</v>
      </c>
      <c r="L9" s="71" t="n">
        <f aca="false">+K9-D9</f>
        <v>0</v>
      </c>
    </row>
    <row r="10" customFormat="false" ht="12.75" hidden="false" customHeight="false" outlineLevel="0" collapsed="false">
      <c r="A10" s="109" t="s">
        <v>104</v>
      </c>
      <c r="B10" s="110" t="n">
        <v>2348</v>
      </c>
      <c r="C10" s="111" t="n">
        <v>6.5</v>
      </c>
      <c r="D10" s="112" t="n">
        <f aca="false">+B10*C10*10</f>
        <v>152620</v>
      </c>
      <c r="E10" s="110" t="n">
        <f aca="false">+B10*'Rate Increase Model'!$F$12</f>
        <v>1206.0066604303</v>
      </c>
      <c r="F10" s="55" t="n">
        <v>6.5</v>
      </c>
      <c r="G10" s="112" t="n">
        <f aca="false">+F10*E10*10</f>
        <v>78390.4329279697</v>
      </c>
      <c r="H10" s="110" t="n">
        <f aca="false">+B10*'Rate Increase Model'!$F$11</f>
        <v>1141.9933395697</v>
      </c>
      <c r="I10" s="113" t="n">
        <v>6.5</v>
      </c>
      <c r="J10" s="112" t="n">
        <f aca="false">+I10*H10*10</f>
        <v>74229.5670720303</v>
      </c>
      <c r="K10" s="71" t="n">
        <f aca="false">+J10+G10</f>
        <v>152620</v>
      </c>
      <c r="L10" s="71" t="n">
        <f aca="false">+K10-D10</f>
        <v>0</v>
      </c>
    </row>
    <row r="11" customFormat="false" ht="12.75" hidden="false" customHeight="false" outlineLevel="0" collapsed="false">
      <c r="A11" s="114" t="s">
        <v>105</v>
      </c>
      <c r="B11" s="110" t="n">
        <v>2514</v>
      </c>
      <c r="C11" s="111" t="n">
        <v>6.5</v>
      </c>
      <c r="D11" s="112" t="n">
        <f aca="false">+B11*C11*10</f>
        <v>163410</v>
      </c>
      <c r="E11" s="110" t="n">
        <f aca="false">+B11*'Rate Increase Model'!$F$12</f>
        <v>1291.26948224948</v>
      </c>
      <c r="F11" s="55" t="n">
        <v>6.5</v>
      </c>
      <c r="G11" s="112" t="n">
        <f aca="false">+F11*E11*10</f>
        <v>83932.5163462163</v>
      </c>
      <c r="H11" s="110" t="n">
        <f aca="false">+B11*'Rate Increase Model'!$F$11</f>
        <v>1222.73051775052</v>
      </c>
      <c r="I11" s="113" t="n">
        <v>6.5</v>
      </c>
      <c r="J11" s="112" t="n">
        <f aca="false">+I11*H11*10</f>
        <v>79477.4836537837</v>
      </c>
      <c r="K11" s="71" t="n">
        <f aca="false">+J11+G11</f>
        <v>163410</v>
      </c>
      <c r="L11" s="71" t="n">
        <f aca="false">+K11-D11</f>
        <v>0</v>
      </c>
    </row>
    <row r="12" customFormat="false" ht="12.75" hidden="false" customHeight="false" outlineLevel="0" collapsed="false">
      <c r="A12" s="109" t="s">
        <v>106</v>
      </c>
      <c r="B12" s="110" t="n">
        <v>2662</v>
      </c>
      <c r="C12" s="111" t="n">
        <v>6.5</v>
      </c>
      <c r="D12" s="112" t="n">
        <f aca="false">+B12*C12*10</f>
        <v>173030</v>
      </c>
      <c r="E12" s="110" t="n">
        <f aca="false">+B12*'Rate Increase Model'!$F$12</f>
        <v>1367.2869378473</v>
      </c>
      <c r="F12" s="55" t="n">
        <v>6.5</v>
      </c>
      <c r="G12" s="112" t="n">
        <f aca="false">+F12*E12*10</f>
        <v>88873.6509600747</v>
      </c>
      <c r="H12" s="110" t="n">
        <f aca="false">+B12*'Rate Increase Model'!$F$11</f>
        <v>1294.7130621527</v>
      </c>
      <c r="I12" s="113" t="n">
        <v>6.5</v>
      </c>
      <c r="J12" s="112" t="n">
        <f aca="false">+I12*H12*10</f>
        <v>84156.3490399253</v>
      </c>
      <c r="K12" s="71" t="n">
        <f aca="false">+J12+G12</f>
        <v>173030</v>
      </c>
      <c r="L12" s="71" t="n">
        <f aca="false">+K12-D12</f>
        <v>0</v>
      </c>
    </row>
    <row r="13" customFormat="false" ht="12.75" hidden="false" customHeight="false" outlineLevel="0" collapsed="false">
      <c r="A13" s="109" t="s">
        <v>107</v>
      </c>
      <c r="B13" s="110" t="n">
        <v>2994</v>
      </c>
      <c r="C13" s="111" t="n">
        <v>6.5</v>
      </c>
      <c r="D13" s="112" t="n">
        <f aca="false">+B13*C13*10</f>
        <v>194610</v>
      </c>
      <c r="E13" s="110" t="n">
        <f aca="false">+B13*'Rate Increase Model'!$F$12</f>
        <v>1537.81258148566</v>
      </c>
      <c r="F13" s="55" t="n">
        <v>6.5</v>
      </c>
      <c r="G13" s="112" t="n">
        <f aca="false">+F13*E13*10</f>
        <v>99957.8177965679</v>
      </c>
      <c r="H13" s="110" t="n">
        <f aca="false">+B13*'Rate Increase Model'!$F$11</f>
        <v>1456.18741851434</v>
      </c>
      <c r="I13" s="113" t="n">
        <v>6.5</v>
      </c>
      <c r="J13" s="112" t="n">
        <f aca="false">+I13*H13*10</f>
        <v>94652.1822034321</v>
      </c>
      <c r="K13" s="71" t="n">
        <f aca="false">+J13+G13</f>
        <v>194610</v>
      </c>
      <c r="L13" s="71" t="n">
        <f aca="false">+K13-D13</f>
        <v>0</v>
      </c>
    </row>
    <row r="14" customFormat="false" ht="12.75" hidden="false" customHeight="false" outlineLevel="0" collapsed="false">
      <c r="A14" s="109" t="s">
        <v>108</v>
      </c>
      <c r="B14" s="110" t="n">
        <v>2655</v>
      </c>
      <c r="C14" s="111" t="n">
        <v>6.5</v>
      </c>
      <c r="D14" s="112" t="n">
        <f aca="false">+B14*C14*10</f>
        <v>172575</v>
      </c>
      <c r="E14" s="110" t="n">
        <f aca="false">+B14*'Rate Increase Model'!$F$12</f>
        <v>1363.69151765011</v>
      </c>
      <c r="F14" s="55" t="n">
        <v>6.5</v>
      </c>
      <c r="G14" s="112" t="n">
        <f aca="false">+F14*E14*10</f>
        <v>88639.9486472571</v>
      </c>
      <c r="H14" s="110" t="n">
        <f aca="false">+B14*'Rate Increase Model'!$F$11</f>
        <v>1291.30848234989</v>
      </c>
      <c r="I14" s="113" t="n">
        <v>6.5</v>
      </c>
      <c r="J14" s="112" t="n">
        <f aca="false">+I14*H14*10</f>
        <v>83935.0513527429</v>
      </c>
      <c r="K14" s="71" t="n">
        <f aca="false">+J14+G14</f>
        <v>172575</v>
      </c>
      <c r="L14" s="71" t="n">
        <f aca="false">+K14-D14</f>
        <v>0</v>
      </c>
    </row>
    <row r="15" customFormat="false" ht="12.75" hidden="false" customHeight="false" outlineLevel="0" collapsed="false">
      <c r="A15" s="21" t="s">
        <v>109</v>
      </c>
      <c r="B15" s="115" t="n">
        <f aca="false">SUM(B7:B14)</f>
        <v>18631</v>
      </c>
      <c r="C15" s="116" t="n">
        <f aca="false">SUM(C7:C14)/8</f>
        <v>6.5</v>
      </c>
      <c r="D15" s="117" t="n">
        <f aca="false">SUM(D7:D14)</f>
        <v>1211015</v>
      </c>
      <c r="E15" s="118" t="n">
        <f aca="false">SUM(E7:E14)</f>
        <v>9569.46767056089</v>
      </c>
      <c r="F15" s="119" t="s">
        <v>14</v>
      </c>
      <c r="G15" s="120" t="n">
        <f aca="false">SUM(G7:G14)</f>
        <v>622015.398586458</v>
      </c>
      <c r="H15" s="118" t="n">
        <f aca="false">SUM(H7:H14)</f>
        <v>9061.5323294391</v>
      </c>
      <c r="I15" s="119" t="s">
        <v>14</v>
      </c>
      <c r="J15" s="120" t="n">
        <f aca="false">SUM(J7:J14)</f>
        <v>588999.601413542</v>
      </c>
      <c r="K15" s="71" t="n">
        <f aca="false">SUM(K7:K14)</f>
        <v>1211015</v>
      </c>
      <c r="L15" s="71" t="n">
        <f aca="false">+K15-D15</f>
        <v>0</v>
      </c>
    </row>
    <row r="16" customFormat="false" ht="12.75" hidden="false" customHeight="false" outlineLevel="0" collapsed="false">
      <c r="A16" s="21" t="s">
        <v>110</v>
      </c>
      <c r="B16" s="37" t="n">
        <f aca="false">SUM(B10:B14)</f>
        <v>13173</v>
      </c>
      <c r="C16" s="18" t="s">
        <v>14</v>
      </c>
      <c r="D16" s="21"/>
      <c r="E16" s="18" t="n">
        <f aca="false">SUM(E10:E14)</f>
        <v>6766.06717966286</v>
      </c>
      <c r="F16" s="21"/>
      <c r="G16" s="21"/>
      <c r="H16" s="18" t="n">
        <f aca="false">SUM(H10:H14)</f>
        <v>6406.93282033714</v>
      </c>
      <c r="I16" s="121" t="s">
        <v>14</v>
      </c>
      <c r="J16" s="21"/>
      <c r="K16" s="71"/>
    </row>
    <row r="17" customFormat="false" ht="12.75" hidden="false" customHeight="false" outlineLevel="0" collapsed="false">
      <c r="A17" s="0" t="s">
        <v>111</v>
      </c>
      <c r="B17" s="18" t="n">
        <f aca="false">SUM(B8:B14)+5/53*B7</f>
        <v>17638.3962264151</v>
      </c>
      <c r="G17" s="24"/>
    </row>
    <row r="18" customFormat="false" ht="12.75" hidden="false" customHeight="false" outlineLevel="0" collapsed="false">
      <c r="F18" s="11"/>
    </row>
    <row r="19" customFormat="false" ht="12.75" hidden="false" customHeight="false" outlineLevel="0" collapsed="false">
      <c r="C19" s="11"/>
    </row>
    <row r="20" customFormat="false" ht="12.75" hidden="false" customHeight="false" outlineLevel="0" collapsed="false">
      <c r="C20" s="24"/>
      <c r="D20" s="24"/>
      <c r="F20" s="24"/>
      <c r="G20" s="24"/>
    </row>
    <row r="21" customFormat="false" ht="12.75" hidden="false" customHeight="false" outlineLevel="0" collapsed="false">
      <c r="F21" s="24"/>
      <c r="G21" s="24"/>
    </row>
    <row r="22" customFormat="false" ht="12.75" hidden="false" customHeight="false" outlineLevel="0" collapsed="false">
      <c r="G22" s="24"/>
    </row>
    <row r="23" customFormat="false" ht="12.75" hidden="false" customHeight="false" outlineLevel="0" collapsed="false">
      <c r="C23" s="122"/>
      <c r="D23" s="114"/>
    </row>
    <row r="24" customFormat="false" ht="12.75" hidden="false" customHeight="false" outlineLevel="0" collapsed="false">
      <c r="B24" s="18"/>
      <c r="C24" s="18"/>
      <c r="D24" s="18"/>
      <c r="E24" s="18"/>
    </row>
    <row r="26" customFormat="false" ht="12.75" hidden="false" customHeight="false" outlineLevel="0" collapsed="false">
      <c r="B26" s="11"/>
      <c r="C26" s="18"/>
      <c r="D26" s="18"/>
      <c r="E26" s="18"/>
    </row>
    <row r="27" customFormat="false" ht="12.75" hidden="false" customHeight="false" outlineLevel="0" collapsed="false">
      <c r="D27" s="18"/>
    </row>
    <row r="28" customFormat="false" ht="12.75" hidden="false" customHeight="false" outlineLevel="0" collapsed="false">
      <c r="B28" s="18"/>
      <c r="C28" s="18"/>
      <c r="D28" s="18"/>
      <c r="E28" s="18"/>
    </row>
  </sheetData>
  <mergeCells count="5">
    <mergeCell ref="A2:J2"/>
    <mergeCell ref="A3:J3"/>
    <mergeCell ref="B5:D5"/>
    <mergeCell ref="E5:G5"/>
    <mergeCell ref="H5:J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2001-04-12T20:10:34Z</dcterms:created>
  <dc:creator>jstraman</dc:creator>
  <dc:description/>
  <dc:language>en-US</dc:language>
  <cp:lastModifiedBy>william saxe</cp:lastModifiedBy>
  <cp:lastPrinted>2001-08-16T15:22:01Z</cp:lastPrinted>
  <cp:revision>0</cp:revision>
  <dc:subject/>
  <dc:title/>
</cp:coreProperties>
</file>